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https://kkumail-my.sharepoint.com/personal/itsariyabhorn_b_kkumail_com/Documents/ปี 2565/1.รายงานผล PARA 65/02.Export จาก Google Sheet/13. ข้อมูล ณ 30 เม.ย. 65/"/>
    </mc:Choice>
  </mc:AlternateContent>
  <xr:revisionPtr revIDLastSave="3" documentId="11_B58FDE5908A778229E1E88D93BEE42E632653259" xr6:coauthVersionLast="47" xr6:coauthVersionMax="47" xr10:uidLastSave="{B5D45EB1-1169-437D-B865-C358E4E19725}"/>
  <bookViews>
    <workbookView xWindow="-120" yWindow="-120" windowWidth="29040" windowHeight="15840" firstSheet="4" activeTab="17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77" i="18" l="1"/>
  <c r="J676" i="18"/>
  <c r="J675" i="18"/>
  <c r="J674" i="18"/>
  <c r="J671" i="18" s="1"/>
  <c r="K671" i="18" s="1"/>
  <c r="J673" i="18"/>
  <c r="J672" i="18"/>
  <c r="N671" i="18"/>
  <c r="L671" i="18"/>
  <c r="I671" i="18"/>
  <c r="J670" i="18"/>
  <c r="J669" i="18"/>
  <c r="N668" i="18"/>
  <c r="L668" i="18"/>
  <c r="J668" i="18"/>
  <c r="I668" i="18"/>
  <c r="J667" i="18"/>
  <c r="J666" i="18"/>
  <c r="N665" i="18"/>
  <c r="L665" i="18"/>
  <c r="O665" i="18" s="1"/>
  <c r="K665" i="18"/>
  <c r="J665" i="18"/>
  <c r="I665" i="18"/>
  <c r="J663" i="18"/>
  <c r="I663" i="18"/>
  <c r="J662" i="18"/>
  <c r="N661" i="18"/>
  <c r="L661" i="18"/>
  <c r="J661" i="18"/>
  <c r="J660" i="18"/>
  <c r="J659" i="18"/>
  <c r="J658" i="18"/>
  <c r="J657" i="18"/>
  <c r="J656" i="18"/>
  <c r="J655" i="18"/>
  <c r="J653" i="18"/>
  <c r="J652" i="18"/>
  <c r="N651" i="18"/>
  <c r="L651" i="18"/>
  <c r="I651" i="18"/>
  <c r="N650" i="18"/>
  <c r="L650" i="18"/>
  <c r="J650" i="18"/>
  <c r="I650" i="18"/>
  <c r="N649" i="18"/>
  <c r="L649" i="18"/>
  <c r="O649" i="18" s="1"/>
  <c r="J649" i="18"/>
  <c r="I649" i="18"/>
  <c r="K649" i="18" s="1"/>
  <c r="N648" i="18"/>
  <c r="L648" i="18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O599" i="18" s="1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O568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K560" i="18"/>
  <c r="J560" i="18"/>
  <c r="I560" i="18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K499" i="18" s="1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K474" i="18" s="1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K464" i="18" s="1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K455" i="18" s="1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N437" i="18"/>
  <c r="L437" i="18"/>
  <c r="N436" i="18"/>
  <c r="L436" i="18"/>
  <c r="O436" i="18" s="1"/>
  <c r="N435" i="18"/>
  <c r="L435" i="18"/>
  <c r="J435" i="18"/>
  <c r="I435" i="18"/>
  <c r="K435" i="18" s="1"/>
  <c r="J434" i="18"/>
  <c r="J433" i="18"/>
  <c r="J432" i="18"/>
  <c r="I432" i="18"/>
  <c r="J431" i="18"/>
  <c r="I431" i="18"/>
  <c r="J430" i="18"/>
  <c r="I430" i="18"/>
  <c r="K430" i="18" s="1"/>
  <c r="J429" i="18"/>
  <c r="I429" i="18"/>
  <c r="J428" i="18"/>
  <c r="I428" i="18"/>
  <c r="K428" i="18" s="1"/>
  <c r="J427" i="18"/>
  <c r="I427" i="18"/>
  <c r="K427" i="18" s="1"/>
  <c r="J426" i="18"/>
  <c r="I426" i="18"/>
  <c r="J425" i="18"/>
  <c r="I425" i="18"/>
  <c r="J424" i="18"/>
  <c r="I424" i="18"/>
  <c r="J423" i="18"/>
  <c r="I423" i="18"/>
  <c r="K423" i="18" s="1"/>
  <c r="J422" i="18"/>
  <c r="I422" i="18"/>
  <c r="J421" i="18"/>
  <c r="I421" i="18"/>
  <c r="J420" i="18"/>
  <c r="I420" i="18"/>
  <c r="J419" i="18"/>
  <c r="I419" i="18"/>
  <c r="K419" i="18" s="1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O330" i="18"/>
  <c r="N330" i="18"/>
  <c r="M330" i="18"/>
  <c r="P330" i="18" s="1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N312" i="18" s="1"/>
  <c r="N310" i="18" s="1"/>
  <c r="M314" i="18"/>
  <c r="O313" i="18"/>
  <c r="N311" i="18"/>
  <c r="M311" i="18"/>
  <c r="L311" i="18"/>
  <c r="O311" i="18" s="1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N291" i="18"/>
  <c r="M291" i="18"/>
  <c r="L291" i="18"/>
  <c r="O291" i="18" s="1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N273" i="18" s="1"/>
  <c r="N271" i="18" s="1"/>
  <c r="M275" i="18"/>
  <c r="M273" i="18" s="1"/>
  <c r="M271" i="18" s="1"/>
  <c r="O274" i="18"/>
  <c r="P272" i="18"/>
  <c r="N272" i="18"/>
  <c r="M272" i="18"/>
  <c r="L272" i="18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M252" i="18"/>
  <c r="O251" i="18"/>
  <c r="N251" i="18"/>
  <c r="M251" i="18"/>
  <c r="P251" i="18" s="1"/>
  <c r="L251" i="18"/>
  <c r="J249" i="18"/>
  <c r="I249" i="18"/>
  <c r="J246" i="18"/>
  <c r="J245" i="18"/>
  <c r="J244" i="18"/>
  <c r="I244" i="18"/>
  <c r="K244" i="18" s="1"/>
  <c r="J243" i="18"/>
  <c r="J242" i="18"/>
  <c r="J241" i="18"/>
  <c r="J240" i="18"/>
  <c r="K238" i="18"/>
  <c r="J238" i="18"/>
  <c r="I238" i="18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P221" i="18"/>
  <c r="O221" i="18"/>
  <c r="N221" i="18"/>
  <c r="M221" i="18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K201" i="18"/>
  <c r="J201" i="18"/>
  <c r="I201" i="18"/>
  <c r="J200" i="18"/>
  <c r="I200" i="18"/>
  <c r="J199" i="18"/>
  <c r="I199" i="18"/>
  <c r="J197" i="18"/>
  <c r="J196" i="18"/>
  <c r="J195" i="18"/>
  <c r="J194" i="18"/>
  <c r="J189" i="18"/>
  <c r="I189" i="18"/>
  <c r="K189" i="18" s="1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K173" i="18" s="1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K149" i="18" s="1"/>
  <c r="N148" i="18"/>
  <c r="L148" i="18"/>
  <c r="O148" i="18" s="1"/>
  <c r="L146" i="18"/>
  <c r="L145" i="18"/>
  <c r="N144" i="18"/>
  <c r="M144" i="18"/>
  <c r="M142" i="18" s="1"/>
  <c r="O143" i="18"/>
  <c r="O141" i="18"/>
  <c r="N141" i="18"/>
  <c r="M141" i="18"/>
  <c r="L141" i="18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P119" i="18"/>
  <c r="O119" i="18"/>
  <c r="N119" i="18"/>
  <c r="M119" i="18"/>
  <c r="L119" i="18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M102" i="18" s="1"/>
  <c r="L100" i="18"/>
  <c r="L99" i="18"/>
  <c r="N98" i="18"/>
  <c r="M98" i="18"/>
  <c r="O97" i="18"/>
  <c r="O95" i="18"/>
  <c r="N95" i="18"/>
  <c r="M95" i="18"/>
  <c r="L95" i="18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K82" i="18" s="1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L70" i="18" s="1"/>
  <c r="N70" i="18"/>
  <c r="M70" i="18"/>
  <c r="M68" i="18" s="1"/>
  <c r="O69" i="18"/>
  <c r="P67" i="18"/>
  <c r="O67" i="18"/>
  <c r="N67" i="18"/>
  <c r="M67" i="18"/>
  <c r="L67" i="18"/>
  <c r="J65" i="18"/>
  <c r="I65" i="18"/>
  <c r="J64" i="18"/>
  <c r="I64" i="18"/>
  <c r="N61" i="18"/>
  <c r="L61" i="18"/>
  <c r="L59" i="18"/>
  <c r="L58" i="18"/>
  <c r="N57" i="18"/>
  <c r="N55" i="18" s="1"/>
  <c r="N53" i="18" s="1"/>
  <c r="M57" i="18"/>
  <c r="M55" i="18"/>
  <c r="O54" i="18"/>
  <c r="N54" i="18"/>
  <c r="M54" i="18"/>
  <c r="L54" i="18"/>
  <c r="N49" i="18"/>
  <c r="L49" i="18"/>
  <c r="O49" i="18" s="1"/>
  <c r="L47" i="18"/>
  <c r="L46" i="18"/>
  <c r="N45" i="18"/>
  <c r="M45" i="18"/>
  <c r="P42" i="18"/>
  <c r="O42" i="18"/>
  <c r="N42" i="18"/>
  <c r="M42" i="18"/>
  <c r="L42" i="18"/>
  <c r="P36" i="18"/>
  <c r="O36" i="18"/>
  <c r="P35" i="18"/>
  <c r="O35" i="18"/>
  <c r="M34" i="18"/>
  <c r="P33" i="18"/>
  <c r="M33" i="18"/>
  <c r="M32" i="18"/>
  <c r="P32" i="18" s="1"/>
  <c r="P31" i="18"/>
  <c r="M31" i="18"/>
  <c r="M29" i="18" s="1"/>
  <c r="M30" i="18"/>
  <c r="P30" i="18" s="1"/>
  <c r="O25" i="18"/>
  <c r="N25" i="18"/>
  <c r="M25" i="18"/>
  <c r="L25" i="18"/>
  <c r="P24" i="18"/>
  <c r="N24" i="18"/>
  <c r="M24" i="18"/>
  <c r="N23" i="18"/>
  <c r="M23" i="18"/>
  <c r="P23" i="18" s="1"/>
  <c r="O21" i="18"/>
  <c r="N21" i="18"/>
  <c r="N19" i="18" s="1"/>
  <c r="M21" i="18"/>
  <c r="L21" i="18"/>
  <c r="O19" i="18"/>
  <c r="L19" i="18"/>
  <c r="O15" i="18"/>
  <c r="N15" i="18"/>
  <c r="L15" i="18"/>
  <c r="P13" i="18"/>
  <c r="M13" i="18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O651" i="17" s="1"/>
  <c r="I651" i="17"/>
  <c r="K651" i="17" s="1"/>
  <c r="N650" i="17"/>
  <c r="L650" i="17"/>
  <c r="J650" i="17"/>
  <c r="I650" i="17"/>
  <c r="N649" i="17"/>
  <c r="L649" i="17"/>
  <c r="J649" i="17"/>
  <c r="I649" i="17"/>
  <c r="K649" i="17" s="1"/>
  <c r="N648" i="17"/>
  <c r="L648" i="17"/>
  <c r="O648" i="17" s="1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O597" i="17" s="1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K497" i="17" s="1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K464" i="17" s="1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K450" i="17" s="1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O439" i="17" s="1"/>
  <c r="N438" i="17"/>
  <c r="L438" i="17"/>
  <c r="N437" i="17"/>
  <c r="L437" i="17"/>
  <c r="O437" i="17" s="1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O404" i="17" s="1"/>
  <c r="N403" i="17"/>
  <c r="L403" i="17"/>
  <c r="O403" i="17" s="1"/>
  <c r="J402" i="17"/>
  <c r="I402" i="17"/>
  <c r="K402" i="17" s="1"/>
  <c r="N401" i="17"/>
  <c r="L401" i="17"/>
  <c r="J401" i="17"/>
  <c r="I401" i="17"/>
  <c r="J400" i="17"/>
  <c r="J399" i="17"/>
  <c r="J398" i="17"/>
  <c r="I398" i="17"/>
  <c r="K398" i="17" s="1"/>
  <c r="J397" i="17"/>
  <c r="I397" i="17"/>
  <c r="J396" i="17"/>
  <c r="I396" i="17"/>
  <c r="K396" i="17" s="1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O352" i="17" s="1"/>
  <c r="N351" i="17"/>
  <c r="L351" i="17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M331" i="17" s="1"/>
  <c r="O332" i="17"/>
  <c r="O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M312" i="17" s="1"/>
  <c r="P312" i="17" s="1"/>
  <c r="O313" i="17"/>
  <c r="P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N291" i="17"/>
  <c r="M291" i="17"/>
  <c r="P291" i="17" s="1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P272" i="17"/>
  <c r="O272" i="17"/>
  <c r="N272" i="17"/>
  <c r="M272" i="17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O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O223" i="17"/>
  <c r="P221" i="17"/>
  <c r="O221" i="17"/>
  <c r="N221" i="17"/>
  <c r="M221" i="17"/>
  <c r="L221" i="17"/>
  <c r="J219" i="17"/>
  <c r="I219" i="17"/>
  <c r="K219" i="17" s="1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O141" i="17"/>
  <c r="N141" i="17"/>
  <c r="M141" i="17"/>
  <c r="L141" i="17"/>
  <c r="J138" i="17"/>
  <c r="I138" i="17"/>
  <c r="K138" i="17" s="1"/>
  <c r="J135" i="17"/>
  <c r="J134" i="17"/>
  <c r="J133" i="17"/>
  <c r="I133" i="17"/>
  <c r="K133" i="17" s="1"/>
  <c r="J132" i="17"/>
  <c r="I132" i="17"/>
  <c r="J131" i="17"/>
  <c r="J130" i="17"/>
  <c r="J129" i="17"/>
  <c r="J128" i="17"/>
  <c r="N126" i="17"/>
  <c r="L126" i="17"/>
  <c r="O126" i="17" s="1"/>
  <c r="L124" i="17"/>
  <c r="L123" i="17"/>
  <c r="L122" i="17" s="1"/>
  <c r="N122" i="17"/>
  <c r="M122" i="17"/>
  <c r="O121" i="17"/>
  <c r="P119" i="17"/>
  <c r="O119" i="17"/>
  <c r="N119" i="17"/>
  <c r="M119" i="17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M102" i="17" s="1"/>
  <c r="L100" i="17"/>
  <c r="L99" i="17"/>
  <c r="N98" i="17"/>
  <c r="M98" i="17"/>
  <c r="O97" i="17"/>
  <c r="O95" i="17"/>
  <c r="N95" i="17"/>
  <c r="M95" i="17"/>
  <c r="L95" i="17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L72" i="17"/>
  <c r="L71" i="17"/>
  <c r="N70" i="17"/>
  <c r="M70" i="17"/>
  <c r="O69" i="17"/>
  <c r="P67" i="17"/>
  <c r="N67" i="17"/>
  <c r="M67" i="17"/>
  <c r="L67" i="17"/>
  <c r="J65" i="17"/>
  <c r="I65" i="17"/>
  <c r="K65" i="17" s="1"/>
  <c r="J64" i="17"/>
  <c r="I64" i="17"/>
  <c r="K64" i="17" s="1"/>
  <c r="N61" i="17"/>
  <c r="L61" i="17"/>
  <c r="O61" i="17" s="1"/>
  <c r="L59" i="17"/>
  <c r="L58" i="17"/>
  <c r="N57" i="17"/>
  <c r="M57" i="17"/>
  <c r="O54" i="17"/>
  <c r="N54" i="17"/>
  <c r="M54" i="17"/>
  <c r="L54" i="17"/>
  <c r="N49" i="17"/>
  <c r="L49" i="17"/>
  <c r="L47" i="17"/>
  <c r="L46" i="17"/>
  <c r="N45" i="17"/>
  <c r="M45" i="17"/>
  <c r="N42" i="17"/>
  <c r="M42" i="17"/>
  <c r="P42" i="17" s="1"/>
  <c r="L42" i="17"/>
  <c r="P36" i="17"/>
  <c r="O36" i="17"/>
  <c r="P35" i="17"/>
  <c r="O35" i="17"/>
  <c r="P34" i="17"/>
  <c r="M34" i="17"/>
  <c r="P33" i="17"/>
  <c r="M33" i="17"/>
  <c r="M32" i="17"/>
  <c r="P32" i="17" s="1"/>
  <c r="P31" i="17"/>
  <c r="M31" i="17"/>
  <c r="P30" i="17"/>
  <c r="M30" i="17"/>
  <c r="P29" i="17"/>
  <c r="M29" i="17"/>
  <c r="M28" i="17"/>
  <c r="P28" i="17" s="1"/>
  <c r="P25" i="17"/>
  <c r="O25" i="17"/>
  <c r="N25" i="17"/>
  <c r="M25" i="17"/>
  <c r="L25" i="17"/>
  <c r="L15" i="17" s="1"/>
  <c r="O15" i="17" s="1"/>
  <c r="P24" i="17"/>
  <c r="N24" i="17"/>
  <c r="M24" i="17"/>
  <c r="N23" i="17"/>
  <c r="M23" i="17"/>
  <c r="P21" i="17"/>
  <c r="N21" i="17"/>
  <c r="M21" i="17"/>
  <c r="L21" i="17"/>
  <c r="N19" i="17"/>
  <c r="M19" i="17"/>
  <c r="P15" i="17"/>
  <c r="N15" i="17"/>
  <c r="M15" i="17"/>
  <c r="M14" i="17"/>
  <c r="P14" i="17" s="1"/>
  <c r="M11" i="17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I651" i="16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O648" i="16" s="1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K597" i="16" s="1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O537" i="16" s="1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K450" i="16" s="1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K396" i="16" s="1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N383" i="16"/>
  <c r="L383" i="16"/>
  <c r="N382" i="16"/>
  <c r="L382" i="16"/>
  <c r="J381" i="16"/>
  <c r="I381" i="16"/>
  <c r="N380" i="16"/>
  <c r="L380" i="16"/>
  <c r="O380" i="16" s="1"/>
  <c r="J380" i="16"/>
  <c r="I380" i="16"/>
  <c r="J379" i="16"/>
  <c r="J378" i="16"/>
  <c r="J377" i="16"/>
  <c r="I377" i="16"/>
  <c r="J376" i="16"/>
  <c r="I376" i="16"/>
  <c r="K376" i="16" s="1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O337" i="16" s="1"/>
  <c r="L335" i="16"/>
  <c r="L334" i="16"/>
  <c r="L333" i="16" s="1"/>
  <c r="N333" i="16"/>
  <c r="M333" i="16"/>
  <c r="O332" i="16"/>
  <c r="P330" i="16"/>
  <c r="O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O313" i="16"/>
  <c r="O311" i="16"/>
  <c r="N311" i="16"/>
  <c r="M311" i="16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M292" i="16" s="1"/>
  <c r="O293" i="16"/>
  <c r="P291" i="16"/>
  <c r="O291" i="16"/>
  <c r="N291" i="16"/>
  <c r="M291" i="16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P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M252" i="16" s="1"/>
  <c r="P252" i="16" s="1"/>
  <c r="O253" i="16"/>
  <c r="P251" i="16"/>
  <c r="O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K235" i="16" s="1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N222" i="16" s="1"/>
  <c r="N220" i="16" s="1"/>
  <c r="M224" i="16"/>
  <c r="O223" i="16"/>
  <c r="P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P141" i="16"/>
  <c r="O141" i="16"/>
  <c r="N141" i="16"/>
  <c r="M141" i="16"/>
  <c r="L141" i="16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M120" i="16" s="1"/>
  <c r="O121" i="16"/>
  <c r="N119" i="16"/>
  <c r="M119" i="16"/>
  <c r="P119" i="16" s="1"/>
  <c r="L119" i="16"/>
  <c r="O119" i="16" s="1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O97" i="16"/>
  <c r="O95" i="16"/>
  <c r="N95" i="16"/>
  <c r="M95" i="16"/>
  <c r="L95" i="16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M74" i="16" s="1"/>
  <c r="L72" i="16"/>
  <c r="L71" i="16"/>
  <c r="N70" i="16"/>
  <c r="M70" i="16"/>
  <c r="O69" i="16"/>
  <c r="P67" i="16"/>
  <c r="N67" i="16"/>
  <c r="M67" i="16"/>
  <c r="L67" i="16"/>
  <c r="J65" i="16"/>
  <c r="I65" i="16"/>
  <c r="K65" i="16" s="1"/>
  <c r="J64" i="16"/>
  <c r="I64" i="16"/>
  <c r="N61" i="16"/>
  <c r="L61" i="16"/>
  <c r="L59" i="16"/>
  <c r="L58" i="16"/>
  <c r="N57" i="16"/>
  <c r="M57" i="16"/>
  <c r="P54" i="16"/>
  <c r="O54" i="16"/>
  <c r="N54" i="16"/>
  <c r="M54" i="16"/>
  <c r="L54" i="16"/>
  <c r="N49" i="16"/>
  <c r="L49" i="16"/>
  <c r="M49" i="16" s="1"/>
  <c r="L47" i="16"/>
  <c r="L46" i="16"/>
  <c r="N45" i="16"/>
  <c r="M45" i="16"/>
  <c r="P42" i="16"/>
  <c r="O42" i="16"/>
  <c r="N42" i="16"/>
  <c r="M42" i="16"/>
  <c r="L42" i="16"/>
  <c r="P36" i="16"/>
  <c r="O36" i="16"/>
  <c r="P35" i="16"/>
  <c r="O35" i="16"/>
  <c r="M34" i="16"/>
  <c r="P33" i="16"/>
  <c r="M33" i="16"/>
  <c r="P32" i="16"/>
  <c r="M32" i="16"/>
  <c r="P31" i="16"/>
  <c r="M31" i="16"/>
  <c r="M29" i="16" s="1"/>
  <c r="M30" i="16"/>
  <c r="P30" i="16" s="1"/>
  <c r="O25" i="16"/>
  <c r="N25" i="16"/>
  <c r="M25" i="16"/>
  <c r="L25" i="16"/>
  <c r="P24" i="16"/>
  <c r="N24" i="16"/>
  <c r="M24" i="16"/>
  <c r="P23" i="16"/>
  <c r="N23" i="16"/>
  <c r="M23" i="16"/>
  <c r="O21" i="16"/>
  <c r="N21" i="16"/>
  <c r="N19" i="16" s="1"/>
  <c r="M21" i="16"/>
  <c r="L21" i="16"/>
  <c r="O19" i="16"/>
  <c r="L19" i="16"/>
  <c r="O15" i="16"/>
  <c r="N15" i="16"/>
  <c r="L15" i="16"/>
  <c r="P13" i="16"/>
  <c r="M13" i="16"/>
  <c r="J677" i="15"/>
  <c r="J676" i="15"/>
  <c r="J675" i="15"/>
  <c r="J674" i="15"/>
  <c r="J673" i="15"/>
  <c r="J672" i="15"/>
  <c r="N671" i="15"/>
  <c r="L671" i="15"/>
  <c r="I671" i="15"/>
  <c r="J670" i="15"/>
  <c r="J669" i="15"/>
  <c r="N668" i="15"/>
  <c r="L668" i="15"/>
  <c r="J668" i="15"/>
  <c r="I668" i="15"/>
  <c r="J667" i="15"/>
  <c r="J666" i="15"/>
  <c r="N665" i="15"/>
  <c r="L665" i="15"/>
  <c r="J665" i="15"/>
  <c r="I665" i="15"/>
  <c r="J663" i="15"/>
  <c r="I663" i="15"/>
  <c r="J662" i="15"/>
  <c r="N661" i="15"/>
  <c r="L661" i="15"/>
  <c r="J661" i="15"/>
  <c r="J660" i="15"/>
  <c r="J659" i="15"/>
  <c r="J658" i="15"/>
  <c r="J657" i="15"/>
  <c r="J656" i="15"/>
  <c r="J655" i="15"/>
  <c r="J653" i="15"/>
  <c r="J652" i="15"/>
  <c r="N651" i="15"/>
  <c r="L651" i="15"/>
  <c r="I651" i="15"/>
  <c r="N650" i="15"/>
  <c r="L650" i="15"/>
  <c r="J650" i="15"/>
  <c r="I650" i="15"/>
  <c r="N649" i="15"/>
  <c r="L649" i="15"/>
  <c r="J649" i="15"/>
  <c r="I649" i="15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O537" i="15" s="1"/>
  <c r="N536" i="15"/>
  <c r="L536" i="15"/>
  <c r="O536" i="15" s="1"/>
  <c r="N535" i="15"/>
  <c r="L535" i="15"/>
  <c r="O535" i="15" s="1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K499" i="15" s="1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K478" i="15"/>
  <c r="J478" i="15"/>
  <c r="I478" i="15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K471" i="15"/>
  <c r="J471" i="15"/>
  <c r="I471" i="15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O406" i="15" s="1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O330" i="15"/>
  <c r="N330" i="15"/>
  <c r="M330" i="15"/>
  <c r="P330" i="15" s="1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P311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N292" i="15" s="1"/>
  <c r="N290" i="15" s="1"/>
  <c r="M294" i="15"/>
  <c r="P294" i="15" s="1"/>
  <c r="O293" i="15"/>
  <c r="N291" i="15"/>
  <c r="M291" i="15"/>
  <c r="L291" i="15"/>
  <c r="O291" i="15" s="1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P272" i="15"/>
  <c r="O272" i="15"/>
  <c r="N272" i="15"/>
  <c r="M272" i="15"/>
  <c r="L272" i="15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O251" i="15"/>
  <c r="N251" i="15"/>
  <c r="M251" i="15"/>
  <c r="P251" i="15" s="1"/>
  <c r="L251" i="15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M148" i="15" s="1"/>
  <c r="L146" i="15"/>
  <c r="L145" i="15"/>
  <c r="N144" i="15"/>
  <c r="M144" i="15"/>
  <c r="O143" i="15"/>
  <c r="P141" i="15"/>
  <c r="N141" i="15"/>
  <c r="M141" i="15"/>
  <c r="L141" i="15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N119" i="15"/>
  <c r="M119" i="15"/>
  <c r="L119" i="15"/>
  <c r="O119" i="15" s="1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L100" i="15"/>
  <c r="L99" i="15"/>
  <c r="N98" i="15"/>
  <c r="M98" i="15"/>
  <c r="O97" i="15"/>
  <c r="N95" i="15"/>
  <c r="M95" i="15"/>
  <c r="P95" i="15" s="1"/>
  <c r="L95" i="15"/>
  <c r="O95" i="15" s="1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M68" i="15"/>
  <c r="O67" i="15"/>
  <c r="N67" i="15"/>
  <c r="M67" i="15"/>
  <c r="P67" i="15" s="1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N54" i="15"/>
  <c r="M54" i="15"/>
  <c r="P54" i="15" s="1"/>
  <c r="L54" i="15"/>
  <c r="O54" i="15" s="1"/>
  <c r="N49" i="15"/>
  <c r="L49" i="15"/>
  <c r="O49" i="15" s="1"/>
  <c r="L47" i="15"/>
  <c r="L46" i="15"/>
  <c r="N45" i="15"/>
  <c r="M45" i="15"/>
  <c r="O42" i="15"/>
  <c r="N42" i="15"/>
  <c r="M42" i="15"/>
  <c r="P42" i="15" s="1"/>
  <c r="L42" i="15"/>
  <c r="P36" i="15"/>
  <c r="O36" i="15"/>
  <c r="P35" i="15"/>
  <c r="O35" i="15"/>
  <c r="M34" i="15"/>
  <c r="P34" i="15" s="1"/>
  <c r="M33" i="15"/>
  <c r="P33" i="15" s="1"/>
  <c r="P32" i="15"/>
  <c r="M32" i="15"/>
  <c r="M31" i="15"/>
  <c r="M30" i="15"/>
  <c r="P30" i="15" s="1"/>
  <c r="N25" i="15"/>
  <c r="N15" i="15" s="1"/>
  <c r="M25" i="15"/>
  <c r="P25" i="15" s="1"/>
  <c r="L25" i="15"/>
  <c r="O25" i="15" s="1"/>
  <c r="N24" i="15"/>
  <c r="M24" i="15"/>
  <c r="P24" i="15" s="1"/>
  <c r="P23" i="15"/>
  <c r="N23" i="15"/>
  <c r="M23" i="15"/>
  <c r="N21" i="15"/>
  <c r="M21" i="15"/>
  <c r="P21" i="15" s="1"/>
  <c r="L21" i="15"/>
  <c r="O21" i="15" s="1"/>
  <c r="L19" i="15"/>
  <c r="O15" i="15"/>
  <c r="M15" i="15"/>
  <c r="P15" i="15" s="1"/>
  <c r="L15" i="15"/>
  <c r="P14" i="15"/>
  <c r="M14" i="15"/>
  <c r="M13" i="15"/>
  <c r="P13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4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K466" i="14" s="1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K435" i="14" s="1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K427" i="14" s="1"/>
  <c r="J426" i="14"/>
  <c r="I426" i="14"/>
  <c r="J425" i="14"/>
  <c r="I425" i="14"/>
  <c r="J424" i="14"/>
  <c r="I424" i="14"/>
  <c r="J423" i="14"/>
  <c r="I423" i="14"/>
  <c r="K423" i="14" s="1"/>
  <c r="J422" i="14"/>
  <c r="I422" i="14"/>
  <c r="J421" i="14"/>
  <c r="I421" i="14"/>
  <c r="J420" i="14"/>
  <c r="I420" i="14"/>
  <c r="J419" i="14"/>
  <c r="I419" i="14"/>
  <c r="K419" i="14" s="1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K402" i="14" s="1"/>
  <c r="N401" i="14"/>
  <c r="L401" i="14"/>
  <c r="J401" i="14"/>
  <c r="I401" i="14"/>
  <c r="J400" i="14"/>
  <c r="J399" i="14"/>
  <c r="J398" i="14"/>
  <c r="I398" i="14"/>
  <c r="K398" i="14" s="1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O380" i="14" s="1"/>
  <c r="J380" i="14"/>
  <c r="I380" i="14"/>
  <c r="K380" i="14" s="1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P330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N312" i="14" s="1"/>
  <c r="N310" i="14" s="1"/>
  <c r="M314" i="14"/>
  <c r="O313" i="14"/>
  <c r="N311" i="14"/>
  <c r="M311" i="14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L296" i="14"/>
  <c r="L295" i="14"/>
  <c r="N294" i="14"/>
  <c r="M294" i="14"/>
  <c r="P294" i="14" s="1"/>
  <c r="O293" i="14"/>
  <c r="O291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O258" i="14"/>
  <c r="N258" i="14"/>
  <c r="L258" i="14"/>
  <c r="L256" i="14"/>
  <c r="L255" i="14"/>
  <c r="N254" i="14"/>
  <c r="M254" i="14"/>
  <c r="M252" i="14" s="1"/>
  <c r="O253" i="14"/>
  <c r="P251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K229" i="14" s="1"/>
  <c r="N228" i="14"/>
  <c r="L228" i="14"/>
  <c r="O228" i="14" s="1"/>
  <c r="L226" i="14"/>
  <c r="L225" i="14"/>
  <c r="N224" i="14"/>
  <c r="M224" i="14"/>
  <c r="O223" i="14"/>
  <c r="P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K204" i="14"/>
  <c r="J204" i="14"/>
  <c r="I204" i="14"/>
  <c r="J203" i="14"/>
  <c r="J202" i="14"/>
  <c r="J201" i="14"/>
  <c r="I201" i="14"/>
  <c r="K201" i="14" s="1"/>
  <c r="J200" i="14"/>
  <c r="I200" i="14"/>
  <c r="K200" i="14" s="1"/>
  <c r="J199" i="14"/>
  <c r="I199" i="14"/>
  <c r="J197" i="14"/>
  <c r="J196" i="14"/>
  <c r="J195" i="14"/>
  <c r="J194" i="14"/>
  <c r="J189" i="14"/>
  <c r="I189" i="14"/>
  <c r="K189" i="14" s="1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4" i="14" s="1"/>
  <c r="L145" i="14"/>
  <c r="P144" i="14"/>
  <c r="N144" i="14"/>
  <c r="M144" i="14"/>
  <c r="M142" i="14" s="1"/>
  <c r="O143" i="14"/>
  <c r="P141" i="14"/>
  <c r="O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N119" i="14"/>
  <c r="M119" i="14"/>
  <c r="L119" i="14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L100" i="14"/>
  <c r="L99" i="14"/>
  <c r="N98" i="14"/>
  <c r="N96" i="14" s="1"/>
  <c r="M98" i="14"/>
  <c r="O97" i="14"/>
  <c r="P95" i="14"/>
  <c r="O95" i="14"/>
  <c r="N95" i="14"/>
  <c r="M95" i="14"/>
  <c r="L95" i="14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N68" i="14" s="1"/>
  <c r="N66" i="14" s="1"/>
  <c r="M70" i="14"/>
  <c r="O69" i="14"/>
  <c r="P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P54" i="14"/>
  <c r="O54" i="14"/>
  <c r="N54" i="14"/>
  <c r="M54" i="14"/>
  <c r="L54" i="14"/>
  <c r="N49" i="14"/>
  <c r="L49" i="14"/>
  <c r="L47" i="14"/>
  <c r="L46" i="14"/>
  <c r="N45" i="14"/>
  <c r="M45" i="14"/>
  <c r="P42" i="14"/>
  <c r="N42" i="14"/>
  <c r="M42" i="14"/>
  <c r="L42" i="14"/>
  <c r="P36" i="14"/>
  <c r="O36" i="14"/>
  <c r="P35" i="14"/>
  <c r="O35" i="14"/>
  <c r="P34" i="14"/>
  <c r="M34" i="14"/>
  <c r="P33" i="14"/>
  <c r="M33" i="14"/>
  <c r="M32" i="14"/>
  <c r="M31" i="14"/>
  <c r="P31" i="14" s="1"/>
  <c r="P29" i="14"/>
  <c r="M29" i="14"/>
  <c r="P25" i="14"/>
  <c r="O25" i="14"/>
  <c r="N25" i="14"/>
  <c r="M25" i="14"/>
  <c r="L25" i="14"/>
  <c r="P24" i="14"/>
  <c r="N24" i="14"/>
  <c r="M24" i="14"/>
  <c r="N23" i="14"/>
  <c r="M23" i="14"/>
  <c r="P21" i="14"/>
  <c r="O21" i="14"/>
  <c r="N21" i="14"/>
  <c r="M21" i="14"/>
  <c r="L21" i="14"/>
  <c r="L19" i="14" s="1"/>
  <c r="N19" i="14"/>
  <c r="M19" i="14"/>
  <c r="P15" i="14"/>
  <c r="N15" i="14"/>
  <c r="M15" i="14"/>
  <c r="L15" i="14"/>
  <c r="O15" i="14" s="1"/>
  <c r="M14" i="14"/>
  <c r="P14" i="14" s="1"/>
  <c r="P11" i="14"/>
  <c r="M11" i="14"/>
  <c r="M9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J648" i="13"/>
  <c r="I648" i="13"/>
  <c r="K648" i="13" s="1"/>
  <c r="J647" i="13"/>
  <c r="J646" i="13"/>
  <c r="O639" i="13"/>
  <c r="O637" i="13"/>
  <c r="J635" i="13"/>
  <c r="I635" i="13"/>
  <c r="J634" i="13"/>
  <c r="I634" i="13"/>
  <c r="K634" i="13" s="1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4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K597" i="13" s="1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7" i="1" s="1"/>
  <c r="N586" i="13"/>
  <c r="N585" i="13"/>
  <c r="N584" i="13"/>
  <c r="L584" i="13"/>
  <c r="O583" i="13"/>
  <c r="N583" i="13"/>
  <c r="L583" i="13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K577" i="13"/>
  <c r="J577" i="13"/>
  <c r="I577" i="13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K548" i="13"/>
  <c r="J548" i="13"/>
  <c r="I548" i="13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K504" i="13"/>
  <c r="J504" i="13"/>
  <c r="I504" i="13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K498" i="13" s="1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K485" i="13"/>
  <c r="J485" i="13"/>
  <c r="I485" i="13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O455" i="13" s="1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K368" i="13" s="1"/>
  <c r="I368" i="13"/>
  <c r="J367" i="13"/>
  <c r="I367" i="13"/>
  <c r="K367" i="13" s="1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6" i="1" s="1"/>
  <c r="N355" i="13"/>
  <c r="N354" i="13"/>
  <c r="L354" i="13"/>
  <c r="N353" i="13"/>
  <c r="L353" i="13"/>
  <c r="O353" i="13" s="1"/>
  <c r="N352" i="13"/>
  <c r="L352" i="13"/>
  <c r="N351" i="13"/>
  <c r="N351" i="1" s="1"/>
  <c r="L351" i="13"/>
  <c r="O351" i="13" s="1"/>
  <c r="J350" i="13"/>
  <c r="I350" i="13"/>
  <c r="N349" i="13"/>
  <c r="L349" i="13"/>
  <c r="J349" i="13"/>
  <c r="I349" i="13"/>
  <c r="N347" i="13"/>
  <c r="N347" i="1" s="1"/>
  <c r="L347" i="13"/>
  <c r="J346" i="13"/>
  <c r="I346" i="13"/>
  <c r="K346" i="13" s="1"/>
  <c r="J345" i="13"/>
  <c r="I345" i="13"/>
  <c r="J344" i="13"/>
  <c r="I344" i="13"/>
  <c r="K344" i="13" s="1"/>
  <c r="J343" i="13"/>
  <c r="J343" i="1" s="1"/>
  <c r="I343" i="13"/>
  <c r="J342" i="13"/>
  <c r="I342" i="13"/>
  <c r="K342" i="13" s="1"/>
  <c r="J341" i="13"/>
  <c r="I341" i="13"/>
  <c r="J340" i="13"/>
  <c r="I340" i="13"/>
  <c r="J339" i="13"/>
  <c r="J339" i="1" s="1"/>
  <c r="I339" i="13"/>
  <c r="K339" i="13" s="1"/>
  <c r="N337" i="13"/>
  <c r="L337" i="13"/>
  <c r="L335" i="13"/>
  <c r="L334" i="13"/>
  <c r="N333" i="13"/>
  <c r="P333" i="13" s="1"/>
  <c r="M333" i="13"/>
  <c r="O332" i="13"/>
  <c r="O330" i="13"/>
  <c r="N330" i="13"/>
  <c r="M330" i="13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J304" i="1" s="1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P291" i="13"/>
  <c r="N291" i="13"/>
  <c r="M291" i="13"/>
  <c r="L291" i="13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L277" i="13"/>
  <c r="L276" i="13"/>
  <c r="N275" i="13"/>
  <c r="N273" i="13" s="1"/>
  <c r="M275" i="13"/>
  <c r="M273" i="13" s="1"/>
  <c r="O274" i="13"/>
  <c r="P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O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K235" i="13" s="1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N222" i="13" s="1"/>
  <c r="M224" i="13"/>
  <c r="O223" i="13"/>
  <c r="P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J204" i="1" s="1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O141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P119" i="13"/>
  <c r="N119" i="13"/>
  <c r="M119" i="13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O97" i="13"/>
  <c r="O95" i="13"/>
  <c r="N95" i="13"/>
  <c r="M95" i="13"/>
  <c r="L95" i="13"/>
  <c r="J93" i="13"/>
  <c r="I93" i="13"/>
  <c r="K93" i="13" s="1"/>
  <c r="J92" i="13"/>
  <c r="I92" i="13"/>
  <c r="K92" i="13" s="1"/>
  <c r="J90" i="13"/>
  <c r="J90" i="1" s="1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J81" i="1" s="1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P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N55" i="13" s="1"/>
  <c r="N53" i="13" s="1"/>
  <c r="M57" i="13"/>
  <c r="O54" i="13"/>
  <c r="N54" i="13"/>
  <c r="M54" i="13"/>
  <c r="L54" i="13"/>
  <c r="N49" i="13"/>
  <c r="L49" i="13"/>
  <c r="O49" i="13" s="1"/>
  <c r="L47" i="13"/>
  <c r="L46" i="13"/>
  <c r="N45" i="13"/>
  <c r="M45" i="13"/>
  <c r="M43" i="13" s="1"/>
  <c r="P42" i="13"/>
  <c r="N42" i="13"/>
  <c r="M42" i="13"/>
  <c r="L42" i="13"/>
  <c r="P36" i="13"/>
  <c r="O36" i="13"/>
  <c r="P35" i="13"/>
  <c r="O35" i="13"/>
  <c r="M34" i="13"/>
  <c r="P34" i="13" s="1"/>
  <c r="P33" i="13"/>
  <c r="M33" i="13"/>
  <c r="M32" i="13"/>
  <c r="P32" i="13" s="1"/>
  <c r="P31" i="13"/>
  <c r="M31" i="13"/>
  <c r="M29" i="13" s="1"/>
  <c r="P29" i="13" s="1"/>
  <c r="M30" i="13"/>
  <c r="P30" i="13" s="1"/>
  <c r="M28" i="13"/>
  <c r="P28" i="13" s="1"/>
  <c r="O25" i="13"/>
  <c r="N25" i="13"/>
  <c r="M25" i="13"/>
  <c r="L25" i="13"/>
  <c r="P24" i="13"/>
  <c r="N24" i="13"/>
  <c r="M24" i="13"/>
  <c r="N23" i="13"/>
  <c r="M23" i="13"/>
  <c r="P23" i="13" s="1"/>
  <c r="O21" i="13"/>
  <c r="N21" i="13"/>
  <c r="M21" i="13"/>
  <c r="L21" i="13"/>
  <c r="O19" i="13"/>
  <c r="L19" i="13"/>
  <c r="N15" i="13"/>
  <c r="L15" i="13"/>
  <c r="O15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J665" i="12"/>
  <c r="I665" i="12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J649" i="12"/>
  <c r="I649" i="12"/>
  <c r="K649" i="12" s="1"/>
  <c r="N648" i="12"/>
  <c r="L648" i="12"/>
  <c r="O648" i="12" s="1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3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I614" i="1" s="1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L597" i="1" s="1"/>
  <c r="J597" i="12"/>
  <c r="I597" i="12"/>
  <c r="K597" i="12" s="1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K575" i="12"/>
  <c r="J575" i="12"/>
  <c r="I575" i="12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K478" i="12"/>
  <c r="J478" i="12"/>
  <c r="I478" i="12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K431" i="12" s="1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K340" i="12" s="1"/>
  <c r="J339" i="12"/>
  <c r="I339" i="12"/>
  <c r="K339" i="12" s="1"/>
  <c r="N337" i="12"/>
  <c r="L337" i="12"/>
  <c r="M337" i="12" s="1"/>
  <c r="L335" i="12"/>
  <c r="L334" i="12"/>
  <c r="N333" i="12"/>
  <c r="N331" i="12" s="1"/>
  <c r="N329" i="12" s="1"/>
  <c r="M333" i="12"/>
  <c r="O332" i="12"/>
  <c r="N330" i="12"/>
  <c r="M330" i="12"/>
  <c r="P330" i="12" s="1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O313" i="12"/>
  <c r="P311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P292" i="12" s="1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O274" i="12"/>
  <c r="O272" i="12"/>
  <c r="N272" i="12"/>
  <c r="M272" i="12"/>
  <c r="L272" i="12"/>
  <c r="J270" i="12"/>
  <c r="I270" i="12"/>
  <c r="J269" i="12"/>
  <c r="J268" i="12"/>
  <c r="J267" i="12"/>
  <c r="I267" i="12"/>
  <c r="J266" i="12"/>
  <c r="I266" i="12"/>
  <c r="K266" i="12" s="1"/>
  <c r="J265" i="12"/>
  <c r="I265" i="12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N252" i="12" s="1"/>
  <c r="N250" i="12" s="1"/>
  <c r="M254" i="12"/>
  <c r="O253" i="12"/>
  <c r="N251" i="12"/>
  <c r="M251" i="12"/>
  <c r="P251" i="12" s="1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O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N141" i="12"/>
  <c r="M141" i="12"/>
  <c r="L141" i="12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O121" i="12"/>
  <c r="O119" i="12"/>
  <c r="N119" i="12"/>
  <c r="M119" i="12"/>
  <c r="L119" i="12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M96" i="12" s="1"/>
  <c r="O97" i="12"/>
  <c r="N95" i="12"/>
  <c r="M95" i="12"/>
  <c r="P95" i="12" s="1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M74" i="12" s="1"/>
  <c r="L72" i="12"/>
  <c r="L71" i="12"/>
  <c r="N70" i="12"/>
  <c r="M70" i="12"/>
  <c r="P70" i="12" s="1"/>
  <c r="O69" i="12"/>
  <c r="N67" i="12"/>
  <c r="M67" i="12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P54" i="12"/>
  <c r="O54" i="12"/>
  <c r="N54" i="12"/>
  <c r="M54" i="12"/>
  <c r="L54" i="12"/>
  <c r="N49" i="12"/>
  <c r="L49" i="12"/>
  <c r="L47" i="12"/>
  <c r="L46" i="12"/>
  <c r="L45" i="12" s="1"/>
  <c r="N45" i="12"/>
  <c r="M45" i="12"/>
  <c r="O42" i="12"/>
  <c r="N42" i="12"/>
  <c r="M42" i="12"/>
  <c r="L42" i="12"/>
  <c r="P36" i="12"/>
  <c r="O36" i="12"/>
  <c r="P35" i="12"/>
  <c r="O35" i="12"/>
  <c r="M34" i="12"/>
  <c r="P34" i="12" s="1"/>
  <c r="M33" i="12"/>
  <c r="P33" i="12" s="1"/>
  <c r="P32" i="12"/>
  <c r="M32" i="12"/>
  <c r="M31" i="12"/>
  <c r="P31" i="12" s="1"/>
  <c r="M30" i="12"/>
  <c r="P30" i="12" s="1"/>
  <c r="M29" i="12"/>
  <c r="N25" i="12"/>
  <c r="N15" i="12" s="1"/>
  <c r="M25" i="12"/>
  <c r="L25" i="12"/>
  <c r="N24" i="12"/>
  <c r="M24" i="12"/>
  <c r="P23" i="12"/>
  <c r="N23" i="12"/>
  <c r="M23" i="12"/>
  <c r="N21" i="12"/>
  <c r="M21" i="12"/>
  <c r="L21" i="12"/>
  <c r="N19" i="12"/>
  <c r="L19" i="12"/>
  <c r="J677" i="11"/>
  <c r="J676" i="11"/>
  <c r="J675" i="11"/>
  <c r="J674" i="11"/>
  <c r="J671" i="11" s="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J649" i="11"/>
  <c r="I649" i="11"/>
  <c r="N648" i="11"/>
  <c r="L648" i="1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K633" i="11" s="1"/>
  <c r="J632" i="11"/>
  <c r="I632" i="11"/>
  <c r="J631" i="11"/>
  <c r="I631" i="11"/>
  <c r="J630" i="11"/>
  <c r="I630" i="11"/>
  <c r="J629" i="11"/>
  <c r="I629" i="11"/>
  <c r="K629" i="11" s="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K617" i="11" s="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K597" i="11" s="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K591" i="11" s="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K490" i="11"/>
  <c r="J490" i="11"/>
  <c r="I490" i="1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K473" i="11" s="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N455" i="11"/>
  <c r="L455" i="11"/>
  <c r="J455" i="11"/>
  <c r="I455" i="11"/>
  <c r="K455" i="11" s="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K435" i="11" s="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K396" i="11" s="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O383" i="11" s="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K343" i="11" s="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P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N312" i="11" s="1"/>
  <c r="M314" i="11"/>
  <c r="O313" i="11"/>
  <c r="P311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N292" i="11" s="1"/>
  <c r="N290" i="11" s="1"/>
  <c r="M294" i="1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O272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O258" i="11" s="1"/>
  <c r="L256" i="11"/>
  <c r="L255" i="11"/>
  <c r="N254" i="11"/>
  <c r="N252" i="11" s="1"/>
  <c r="N250" i="11" s="1"/>
  <c r="M254" i="11"/>
  <c r="P254" i="11" s="1"/>
  <c r="O253" i="11"/>
  <c r="N251" i="11"/>
  <c r="M251" i="11"/>
  <c r="P251" i="11" s="1"/>
  <c r="L251" i="11"/>
  <c r="J249" i="11"/>
  <c r="I249" i="11"/>
  <c r="J246" i="11"/>
  <c r="J245" i="11"/>
  <c r="J244" i="11"/>
  <c r="I244" i="11"/>
  <c r="K244" i="11" s="1"/>
  <c r="J243" i="11"/>
  <c r="J242" i="11"/>
  <c r="J241" i="11"/>
  <c r="J240" i="11"/>
  <c r="K238" i="11"/>
  <c r="J238" i="11"/>
  <c r="I238" i="1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K158" i="11" s="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N142" i="11" s="1"/>
  <c r="N140" i="11" s="1"/>
  <c r="M144" i="11"/>
  <c r="O143" i="11"/>
  <c r="P141" i="11"/>
  <c r="N141" i="11"/>
  <c r="M141" i="11"/>
  <c r="L141" i="1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L124" i="11"/>
  <c r="L123" i="11"/>
  <c r="N122" i="11"/>
  <c r="M122" i="11"/>
  <c r="M120" i="11" s="1"/>
  <c r="O121" i="11"/>
  <c r="O119" i="11"/>
  <c r="N119" i="11"/>
  <c r="M119" i="1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P95" i="11"/>
  <c r="N95" i="11"/>
  <c r="M95" i="11"/>
  <c r="L95" i="11"/>
  <c r="O95" i="11" s="1"/>
  <c r="J93" i="11"/>
  <c r="I93" i="11"/>
  <c r="K93" i="11" s="1"/>
  <c r="K92" i="11"/>
  <c r="J92" i="11"/>
  <c r="I92" i="1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L70" i="11" s="1"/>
  <c r="L68" i="11" s="1"/>
  <c r="N70" i="11"/>
  <c r="M70" i="11"/>
  <c r="M68" i="11" s="1"/>
  <c r="M66" i="11" s="1"/>
  <c r="O69" i="11"/>
  <c r="N67" i="11"/>
  <c r="M67" i="11"/>
  <c r="P67" i="11" s="1"/>
  <c r="L67" i="11"/>
  <c r="O67" i="11" s="1"/>
  <c r="J65" i="11"/>
  <c r="I65" i="11"/>
  <c r="J64" i="11"/>
  <c r="I64" i="11"/>
  <c r="N61" i="11"/>
  <c r="L61" i="11"/>
  <c r="O61" i="11" s="1"/>
  <c r="L59" i="11"/>
  <c r="L57" i="11" s="1"/>
  <c r="L58" i="11"/>
  <c r="N57" i="11"/>
  <c r="M57" i="11"/>
  <c r="M55" i="11" s="1"/>
  <c r="M53" i="11" s="1"/>
  <c r="P54" i="11"/>
  <c r="O54" i="11"/>
  <c r="N54" i="11"/>
  <c r="M54" i="11"/>
  <c r="L54" i="11"/>
  <c r="N49" i="11"/>
  <c r="L49" i="11"/>
  <c r="L47" i="11"/>
  <c r="L46" i="11"/>
  <c r="N45" i="11"/>
  <c r="M45" i="11"/>
  <c r="O42" i="11"/>
  <c r="N42" i="11"/>
  <c r="M42" i="11"/>
  <c r="L42" i="11"/>
  <c r="P36" i="11"/>
  <c r="O36" i="11"/>
  <c r="P35" i="11"/>
  <c r="O35" i="11"/>
  <c r="M34" i="11"/>
  <c r="P34" i="11" s="1"/>
  <c r="M33" i="11"/>
  <c r="P33" i="11" s="1"/>
  <c r="P32" i="11"/>
  <c r="M32" i="11"/>
  <c r="M31" i="11"/>
  <c r="P31" i="11" s="1"/>
  <c r="M30" i="11"/>
  <c r="P30" i="11" s="1"/>
  <c r="M29" i="11"/>
  <c r="N25" i="11"/>
  <c r="N15" i="11" s="1"/>
  <c r="M25" i="11"/>
  <c r="L25" i="11"/>
  <c r="N24" i="11"/>
  <c r="M24" i="11"/>
  <c r="P23" i="11"/>
  <c r="N23" i="11"/>
  <c r="M23" i="11"/>
  <c r="N21" i="11"/>
  <c r="M21" i="11"/>
  <c r="L21" i="11"/>
  <c r="N19" i="11"/>
  <c r="L19" i="11"/>
  <c r="O19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J649" i="10"/>
  <c r="J649" i="1" s="1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O583" i="10"/>
  <c r="N583" i="10"/>
  <c r="L583" i="10"/>
  <c r="N582" i="10"/>
  <c r="L582" i="10"/>
  <c r="L582" i="1" s="1"/>
  <c r="N581" i="10"/>
  <c r="L581" i="10"/>
  <c r="O581" i="10" s="1"/>
  <c r="N580" i="10"/>
  <c r="L580" i="10"/>
  <c r="J580" i="10"/>
  <c r="I580" i="10"/>
  <c r="J579" i="10"/>
  <c r="I579" i="10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K564" i="10" s="1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K533" i="10" s="1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O404" i="10" s="1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K371" i="10" s="1"/>
  <c r="J370" i="10"/>
  <c r="I370" i="10"/>
  <c r="K370" i="10" s="1"/>
  <c r="J369" i="10"/>
  <c r="I369" i="10"/>
  <c r="K369" i="10" s="1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O353" i="10" s="1"/>
  <c r="N352" i="10"/>
  <c r="L352" i="10"/>
  <c r="O352" i="10" s="1"/>
  <c r="N351" i="10"/>
  <c r="L351" i="10"/>
  <c r="O351" i="10" s="1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K345" i="10" s="1"/>
  <c r="J344" i="10"/>
  <c r="I344" i="10"/>
  <c r="K344" i="10" s="1"/>
  <c r="J343" i="10"/>
  <c r="I343" i="10"/>
  <c r="J342" i="10"/>
  <c r="I342" i="10"/>
  <c r="K342" i="10" s="1"/>
  <c r="J341" i="10"/>
  <c r="I341" i="10"/>
  <c r="K341" i="10" s="1"/>
  <c r="J340" i="10"/>
  <c r="I340" i="10"/>
  <c r="J339" i="10"/>
  <c r="I339" i="10"/>
  <c r="K339" i="10" s="1"/>
  <c r="N337" i="10"/>
  <c r="L337" i="10"/>
  <c r="M337" i="10" s="1"/>
  <c r="L335" i="10"/>
  <c r="L334" i="10"/>
  <c r="N333" i="10"/>
  <c r="M333" i="10"/>
  <c r="O332" i="10"/>
  <c r="P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O311" i="10"/>
  <c r="N311" i="10"/>
  <c r="M311" i="10"/>
  <c r="P311" i="10" s="1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P291" i="10"/>
  <c r="O291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N273" i="10" s="1"/>
  <c r="N271" i="10" s="1"/>
  <c r="M275" i="10"/>
  <c r="O274" i="10"/>
  <c r="N272" i="10"/>
  <c r="M272" i="10"/>
  <c r="L272" i="10"/>
  <c r="O272" i="10" s="1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P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O228" i="10" s="1"/>
  <c r="L226" i="10"/>
  <c r="L225" i="10"/>
  <c r="N224" i="10"/>
  <c r="N222" i="10" s="1"/>
  <c r="N220" i="10" s="1"/>
  <c r="M224" i="10"/>
  <c r="P224" i="10" s="1"/>
  <c r="O223" i="10"/>
  <c r="N221" i="10"/>
  <c r="M221" i="10"/>
  <c r="L221" i="10"/>
  <c r="O221" i="10" s="1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P141" i="10"/>
  <c r="O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N120" i="10" s="1"/>
  <c r="N118" i="10" s="1"/>
  <c r="M122" i="10"/>
  <c r="O121" i="10"/>
  <c r="N119" i="10"/>
  <c r="M119" i="10"/>
  <c r="L119" i="10"/>
  <c r="J117" i="10"/>
  <c r="I117" i="10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L100" i="10"/>
  <c r="L99" i="10"/>
  <c r="N98" i="10"/>
  <c r="M98" i="10"/>
  <c r="O97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M74" i="10" s="1"/>
  <c r="L72" i="10"/>
  <c r="L71" i="10"/>
  <c r="N70" i="10"/>
  <c r="M70" i="10"/>
  <c r="O69" i="10"/>
  <c r="N67" i="10"/>
  <c r="M67" i="10"/>
  <c r="L67" i="10"/>
  <c r="J65" i="10"/>
  <c r="I65" i="10"/>
  <c r="J64" i="10"/>
  <c r="I64" i="10"/>
  <c r="N61" i="10"/>
  <c r="L61" i="10"/>
  <c r="O61" i="10" s="1"/>
  <c r="L59" i="10"/>
  <c r="L58" i="10"/>
  <c r="N57" i="10"/>
  <c r="N55" i="10" s="1"/>
  <c r="N53" i="10" s="1"/>
  <c r="M57" i="10"/>
  <c r="P54" i="10"/>
  <c r="O54" i="10"/>
  <c r="N54" i="10"/>
  <c r="M54" i="10"/>
  <c r="L54" i="10"/>
  <c r="N49" i="10"/>
  <c r="L49" i="10"/>
  <c r="L47" i="10"/>
  <c r="L46" i="10"/>
  <c r="N45" i="10"/>
  <c r="M45" i="10"/>
  <c r="M43" i="10" s="1"/>
  <c r="P42" i="10"/>
  <c r="N42" i="10"/>
  <c r="M42" i="10"/>
  <c r="L42" i="10"/>
  <c r="P36" i="10"/>
  <c r="O36" i="10"/>
  <c r="P35" i="10"/>
  <c r="O35" i="10"/>
  <c r="P34" i="10"/>
  <c r="M34" i="10"/>
  <c r="P33" i="10"/>
  <c r="M33" i="10"/>
  <c r="M32" i="10"/>
  <c r="P31" i="10"/>
  <c r="M31" i="10"/>
  <c r="M29" i="10"/>
  <c r="P29" i="10" s="1"/>
  <c r="P25" i="10"/>
  <c r="N25" i="10"/>
  <c r="M25" i="10"/>
  <c r="L25" i="10"/>
  <c r="N24" i="10"/>
  <c r="M24" i="10"/>
  <c r="M14" i="10" s="1"/>
  <c r="P14" i="10" s="1"/>
  <c r="N23" i="10"/>
  <c r="M23" i="10"/>
  <c r="P21" i="10"/>
  <c r="N21" i="10"/>
  <c r="M21" i="10"/>
  <c r="M11" i="10" s="1"/>
  <c r="L21" i="10"/>
  <c r="N19" i="10"/>
  <c r="M19" i="10"/>
  <c r="P15" i="10"/>
  <c r="N15" i="10"/>
  <c r="M15" i="10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I651" i="9"/>
  <c r="N650" i="9"/>
  <c r="L650" i="9"/>
  <c r="J650" i="9"/>
  <c r="I650" i="9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K634" i="9" s="1"/>
  <c r="J633" i="9"/>
  <c r="I633" i="9"/>
  <c r="J632" i="9"/>
  <c r="I632" i="9"/>
  <c r="K632" i="9" s="1"/>
  <c r="J631" i="9"/>
  <c r="I631" i="9"/>
  <c r="J630" i="9"/>
  <c r="I630" i="9"/>
  <c r="K630" i="9" s="1"/>
  <c r="J629" i="9"/>
  <c r="I629" i="9"/>
  <c r="K629" i="9" s="1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K615" i="9" s="1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O568" i="9" s="1"/>
  <c r="N567" i="9"/>
  <c r="L567" i="9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I528" i="1" s="1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K503" i="9"/>
  <c r="J503" i="9"/>
  <c r="I503" i="9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K480" i="9"/>
  <c r="J480" i="9"/>
  <c r="I480" i="9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K464" i="9" s="1"/>
  <c r="I464" i="9"/>
  <c r="N463" i="9"/>
  <c r="N462" i="9"/>
  <c r="N461" i="9"/>
  <c r="N460" i="9"/>
  <c r="N459" i="9"/>
  <c r="O459" i="9" s="1"/>
  <c r="L459" i="9"/>
  <c r="N458" i="9"/>
  <c r="L458" i="9"/>
  <c r="O458" i="9" s="1"/>
  <c r="N457" i="9"/>
  <c r="L457" i="9"/>
  <c r="N456" i="9"/>
  <c r="L456" i="9"/>
  <c r="O456" i="9" s="1"/>
  <c r="N455" i="9"/>
  <c r="O455" i="9" s="1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O439" i="9" s="1"/>
  <c r="L439" i="9"/>
  <c r="N438" i="9"/>
  <c r="L438" i="9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M337" i="9" s="1"/>
  <c r="M26" i="9" s="1"/>
  <c r="L335" i="9"/>
  <c r="L334" i="9"/>
  <c r="N333" i="9"/>
  <c r="N331" i="9" s="1"/>
  <c r="N329" i="9" s="1"/>
  <c r="M333" i="9"/>
  <c r="O332" i="9"/>
  <c r="P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N312" i="9" s="1"/>
  <c r="M314" i="9"/>
  <c r="P314" i="9" s="1"/>
  <c r="O313" i="9"/>
  <c r="P311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P291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M273" i="9" s="1"/>
  <c r="P273" i="9" s="1"/>
  <c r="O274" i="9"/>
  <c r="O272" i="9"/>
  <c r="N272" i="9"/>
  <c r="M272" i="9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N252" i="9" s="1"/>
  <c r="N250" i="9" s="1"/>
  <c r="M254" i="9"/>
  <c r="O253" i="9"/>
  <c r="P251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M222" i="9"/>
  <c r="O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N142" i="9" s="1"/>
  <c r="N140" i="9" s="1"/>
  <c r="M144" i="9"/>
  <c r="O143" i="9"/>
  <c r="P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O119" i="9"/>
  <c r="N119" i="9"/>
  <c r="M119" i="9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P98" i="9" s="1"/>
  <c r="O97" i="9"/>
  <c r="P95" i="9"/>
  <c r="O95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L70" i="9" s="1"/>
  <c r="N70" i="9"/>
  <c r="M70" i="9"/>
  <c r="O69" i="9"/>
  <c r="P67" i="9"/>
  <c r="O67" i="9"/>
  <c r="N67" i="9"/>
  <c r="M67" i="9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P54" i="9"/>
  <c r="O54" i="9"/>
  <c r="N54" i="9"/>
  <c r="M54" i="9"/>
  <c r="L54" i="9"/>
  <c r="N49" i="9"/>
  <c r="L49" i="9"/>
  <c r="O49" i="9" s="1"/>
  <c r="L47" i="9"/>
  <c r="L46" i="9"/>
  <c r="N45" i="9"/>
  <c r="N43" i="9" s="1"/>
  <c r="N41" i="9" s="1"/>
  <c r="M45" i="9"/>
  <c r="P42" i="9"/>
  <c r="O42" i="9"/>
  <c r="N42" i="9"/>
  <c r="M42" i="9"/>
  <c r="L42" i="9"/>
  <c r="P36" i="9"/>
  <c r="O36" i="9"/>
  <c r="P35" i="9"/>
  <c r="O35" i="9"/>
  <c r="P34" i="9"/>
  <c r="M34" i="9"/>
  <c r="P33" i="9"/>
  <c r="M33" i="9"/>
  <c r="P32" i="9"/>
  <c r="M32" i="9"/>
  <c r="M30" i="9" s="1"/>
  <c r="P30" i="9" s="1"/>
  <c r="M31" i="9"/>
  <c r="P25" i="9"/>
  <c r="O25" i="9"/>
  <c r="N25" i="9"/>
  <c r="N15" i="9" s="1"/>
  <c r="M25" i="9"/>
  <c r="L25" i="9"/>
  <c r="P24" i="9"/>
  <c r="N24" i="9"/>
  <c r="M24" i="9"/>
  <c r="P23" i="9"/>
  <c r="N23" i="9"/>
  <c r="M23" i="9"/>
  <c r="P21" i="9"/>
  <c r="O21" i="9"/>
  <c r="N21" i="9"/>
  <c r="M21" i="9"/>
  <c r="L21" i="9"/>
  <c r="P19" i="9"/>
  <c r="M19" i="9"/>
  <c r="L19" i="9"/>
  <c r="P15" i="9"/>
  <c r="O15" i="9"/>
  <c r="M15" i="9"/>
  <c r="L15" i="9"/>
  <c r="P14" i="9"/>
  <c r="M14" i="9"/>
  <c r="M13" i="9"/>
  <c r="P13" i="9" s="1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O650" i="8" s="1"/>
  <c r="J650" i="8"/>
  <c r="I650" i="8"/>
  <c r="K650" i="8" s="1"/>
  <c r="N649" i="8"/>
  <c r="L649" i="8"/>
  <c r="O649" i="8" s="1"/>
  <c r="J649" i="8"/>
  <c r="I649" i="8"/>
  <c r="K649" i="8" s="1"/>
  <c r="N648" i="8"/>
  <c r="L648" i="8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K498" i="8" s="1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O455" i="8" s="1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N437" i="8"/>
  <c r="L437" i="8"/>
  <c r="N436" i="8"/>
  <c r="L436" i="8"/>
  <c r="O436" i="8" s="1"/>
  <c r="N435" i="8"/>
  <c r="L435" i="8"/>
  <c r="O435" i="8" s="1"/>
  <c r="J435" i="8"/>
  <c r="I435" i="8"/>
  <c r="J434" i="8"/>
  <c r="J433" i="8"/>
  <c r="J432" i="8"/>
  <c r="I432" i="8"/>
  <c r="J431" i="8"/>
  <c r="I431" i="8"/>
  <c r="K431" i="8" s="1"/>
  <c r="J430" i="8"/>
  <c r="I430" i="8"/>
  <c r="J429" i="8"/>
  <c r="I429" i="8"/>
  <c r="J428" i="8"/>
  <c r="I428" i="8"/>
  <c r="K428" i="8" s="1"/>
  <c r="J427" i="8"/>
  <c r="I427" i="8"/>
  <c r="K427" i="8" s="1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K419" i="8" s="1"/>
  <c r="J418" i="8"/>
  <c r="I418" i="8"/>
  <c r="J417" i="8"/>
  <c r="I417" i="8"/>
  <c r="K417" i="8" s="1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O404" i="8" s="1"/>
  <c r="N403" i="8"/>
  <c r="L403" i="8"/>
  <c r="O403" i="8" s="1"/>
  <c r="J402" i="8"/>
  <c r="I402" i="8"/>
  <c r="K402" i="8" s="1"/>
  <c r="N401" i="8"/>
  <c r="L401" i="8"/>
  <c r="J401" i="8"/>
  <c r="I401" i="8"/>
  <c r="K401" i="8" s="1"/>
  <c r="J400" i="8"/>
  <c r="J399" i="8"/>
  <c r="J398" i="8"/>
  <c r="I398" i="8"/>
  <c r="J397" i="8"/>
  <c r="I397" i="8"/>
  <c r="J396" i="8"/>
  <c r="I396" i="8"/>
  <c r="K396" i="8" s="1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J368" i="8"/>
  <c r="I368" i="8"/>
  <c r="K368" i="8" s="1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P330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P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O291" i="8"/>
  <c r="N291" i="8"/>
  <c r="M291" i="8"/>
  <c r="L291" i="8"/>
  <c r="J289" i="8"/>
  <c r="I289" i="8"/>
  <c r="K289" i="8" s="1"/>
  <c r="J287" i="8"/>
  <c r="J286" i="8"/>
  <c r="J285" i="8"/>
  <c r="J285" i="1" s="1"/>
  <c r="I285" i="8"/>
  <c r="J284" i="8"/>
  <c r="J283" i="8"/>
  <c r="J282" i="8"/>
  <c r="J281" i="8"/>
  <c r="N279" i="8"/>
  <c r="L279" i="8"/>
  <c r="O279" i="8" s="1"/>
  <c r="L277" i="8"/>
  <c r="L277" i="1" s="1"/>
  <c r="L276" i="8"/>
  <c r="N275" i="8"/>
  <c r="M275" i="8"/>
  <c r="M273" i="8" s="1"/>
  <c r="O274" i="8"/>
  <c r="P272" i="8"/>
  <c r="O272" i="8"/>
  <c r="N272" i="8"/>
  <c r="M272" i="8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O253" i="8"/>
  <c r="P251" i="8"/>
  <c r="O251" i="8"/>
  <c r="N251" i="8"/>
  <c r="M251" i="8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P221" i="8"/>
  <c r="O221" i="8"/>
  <c r="N221" i="8"/>
  <c r="M221" i="8"/>
  <c r="L221" i="8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O141" i="8"/>
  <c r="N141" i="8"/>
  <c r="M141" i="8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O119" i="8"/>
  <c r="N119" i="8"/>
  <c r="M119" i="8"/>
  <c r="L119" i="8"/>
  <c r="J117" i="8"/>
  <c r="I117" i="8"/>
  <c r="J115" i="8"/>
  <c r="J114" i="8"/>
  <c r="J113" i="8"/>
  <c r="I113" i="8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N96" i="8"/>
  <c r="P95" i="8"/>
  <c r="O95" i="8"/>
  <c r="N95" i="8"/>
  <c r="M95" i="8"/>
  <c r="L95" i="8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K83" i="8" s="1"/>
  <c r="I83" i="8"/>
  <c r="J82" i="8"/>
  <c r="I82" i="8"/>
  <c r="J81" i="8"/>
  <c r="I81" i="8"/>
  <c r="J80" i="8"/>
  <c r="I80" i="8"/>
  <c r="J79" i="8"/>
  <c r="J78" i="8"/>
  <c r="J77" i="8"/>
  <c r="J76" i="8"/>
  <c r="N74" i="8"/>
  <c r="N68" i="8" s="1"/>
  <c r="N66" i="8" s="1"/>
  <c r="L74" i="8"/>
  <c r="O74" i="8" s="1"/>
  <c r="L72" i="8"/>
  <c r="L71" i="8"/>
  <c r="N70" i="8"/>
  <c r="M70" i="8"/>
  <c r="M68" i="8" s="1"/>
  <c r="O69" i="8"/>
  <c r="P67" i="8"/>
  <c r="N67" i="8"/>
  <c r="M67" i="8"/>
  <c r="L67" i="8"/>
  <c r="J65" i="8"/>
  <c r="I65" i="8"/>
  <c r="J64" i="8"/>
  <c r="I64" i="8"/>
  <c r="N61" i="8"/>
  <c r="L61" i="8"/>
  <c r="O61" i="8" s="1"/>
  <c r="L59" i="8"/>
  <c r="L58" i="8"/>
  <c r="L57" i="8" s="1"/>
  <c r="N57" i="8"/>
  <c r="M57" i="8"/>
  <c r="P54" i="8"/>
  <c r="O54" i="8"/>
  <c r="N54" i="8"/>
  <c r="M54" i="8"/>
  <c r="L54" i="8"/>
  <c r="N49" i="8"/>
  <c r="L49" i="8"/>
  <c r="L47" i="8"/>
  <c r="L47" i="1" s="1"/>
  <c r="L46" i="8"/>
  <c r="N45" i="8"/>
  <c r="M45" i="8"/>
  <c r="O42" i="8"/>
  <c r="N42" i="8"/>
  <c r="M42" i="8"/>
  <c r="L42" i="8"/>
  <c r="P36" i="8"/>
  <c r="O36" i="8"/>
  <c r="P35" i="8"/>
  <c r="O35" i="8"/>
  <c r="P34" i="8"/>
  <c r="M34" i="8"/>
  <c r="M33" i="8"/>
  <c r="P32" i="8"/>
  <c r="M32" i="8"/>
  <c r="P31" i="8"/>
  <c r="M31" i="8"/>
  <c r="M30" i="8"/>
  <c r="P30" i="8" s="1"/>
  <c r="M29" i="8"/>
  <c r="P25" i="8"/>
  <c r="N25" i="8"/>
  <c r="M25" i="8"/>
  <c r="L25" i="8"/>
  <c r="N24" i="8"/>
  <c r="M24" i="8"/>
  <c r="P23" i="8"/>
  <c r="N23" i="8"/>
  <c r="M23" i="8"/>
  <c r="P21" i="8"/>
  <c r="N21" i="8"/>
  <c r="M21" i="8"/>
  <c r="M19" i="8" s="1"/>
  <c r="L21" i="8"/>
  <c r="N19" i="8"/>
  <c r="N15" i="8"/>
  <c r="M15" i="8"/>
  <c r="P15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J649" i="7"/>
  <c r="I649" i="7"/>
  <c r="K649" i="7" s="1"/>
  <c r="O648" i="7"/>
  <c r="N648" i="7"/>
  <c r="L648" i="7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J624" i="1" s="1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I589" i="1" s="1"/>
  <c r="N588" i="7"/>
  <c r="N587" i="7"/>
  <c r="N586" i="7"/>
  <c r="N585" i="7"/>
  <c r="N584" i="7"/>
  <c r="L584" i="7"/>
  <c r="N583" i="7"/>
  <c r="L583" i="7"/>
  <c r="O583" i="7" s="1"/>
  <c r="N582" i="7"/>
  <c r="L582" i="7"/>
  <c r="O582" i="7" s="1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K564" i="7" s="1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L533" i="1" s="1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K420" i="7" s="1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L335" i="7"/>
  <c r="L334" i="7"/>
  <c r="N333" i="7"/>
  <c r="N331" i="7" s="1"/>
  <c r="N329" i="7" s="1"/>
  <c r="M333" i="7"/>
  <c r="O332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M312" i="7" s="1"/>
  <c r="O313" i="7"/>
  <c r="P311" i="7"/>
  <c r="O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N294" i="1" s="1"/>
  <c r="M294" i="7"/>
  <c r="O293" i="7"/>
  <c r="P291" i="7"/>
  <c r="O291" i="7"/>
  <c r="N291" i="7"/>
  <c r="M291" i="7"/>
  <c r="L291" i="7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L277" i="7"/>
  <c r="L276" i="7"/>
  <c r="N275" i="7"/>
  <c r="M275" i="7"/>
  <c r="M273" i="7" s="1"/>
  <c r="O274" i="7"/>
  <c r="O272" i="7"/>
  <c r="N272" i="7"/>
  <c r="M272" i="7"/>
  <c r="L272" i="7"/>
  <c r="J270" i="7"/>
  <c r="I270" i="7"/>
  <c r="J269" i="7"/>
  <c r="J268" i="7"/>
  <c r="K267" i="7"/>
  <c r="J267" i="7"/>
  <c r="I267" i="7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O221" i="7"/>
  <c r="N221" i="7"/>
  <c r="M221" i="7"/>
  <c r="L221" i="7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N141" i="7"/>
  <c r="M141" i="7"/>
  <c r="L141" i="7"/>
  <c r="J138" i="7"/>
  <c r="I138" i="7"/>
  <c r="J135" i="7"/>
  <c r="J134" i="7"/>
  <c r="K133" i="7"/>
  <c r="J133" i="7"/>
  <c r="I133" i="7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M120" i="7"/>
  <c r="P120" i="7" s="1"/>
  <c r="O119" i="7"/>
  <c r="N119" i="7"/>
  <c r="M119" i="7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M102" i="7" s="1"/>
  <c r="L100" i="7"/>
  <c r="L99" i="7"/>
  <c r="N98" i="7"/>
  <c r="M98" i="7"/>
  <c r="O97" i="7"/>
  <c r="N95" i="7"/>
  <c r="M95" i="7"/>
  <c r="L95" i="7"/>
  <c r="J93" i="7"/>
  <c r="I93" i="7"/>
  <c r="J92" i="7"/>
  <c r="I92" i="7"/>
  <c r="J90" i="7"/>
  <c r="J89" i="7"/>
  <c r="J88" i="7"/>
  <c r="I88" i="7"/>
  <c r="K88" i="7" s="1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M74" i="7" s="1"/>
  <c r="L72" i="7"/>
  <c r="L71" i="7"/>
  <c r="L70" i="7" s="1"/>
  <c r="N70" i="7"/>
  <c r="M70" i="7"/>
  <c r="O69" i="7"/>
  <c r="P67" i="7"/>
  <c r="N67" i="7"/>
  <c r="M67" i="7"/>
  <c r="L67" i="7"/>
  <c r="J65" i="7"/>
  <c r="I65" i="7"/>
  <c r="J64" i="7"/>
  <c r="I64" i="7"/>
  <c r="N61" i="7"/>
  <c r="L61" i="7"/>
  <c r="O61" i="7" s="1"/>
  <c r="L59" i="7"/>
  <c r="L57" i="7" s="1"/>
  <c r="L58" i="7"/>
  <c r="N57" i="7"/>
  <c r="M57" i="7"/>
  <c r="P54" i="7"/>
  <c r="O54" i="7"/>
  <c r="N54" i="7"/>
  <c r="M54" i="7"/>
  <c r="L54" i="7"/>
  <c r="N49" i="7"/>
  <c r="L49" i="7"/>
  <c r="L47" i="7"/>
  <c r="L46" i="7"/>
  <c r="L45" i="7" s="1"/>
  <c r="N45" i="7"/>
  <c r="M45" i="7"/>
  <c r="O42" i="7"/>
  <c r="N42" i="7"/>
  <c r="M42" i="7"/>
  <c r="L42" i="7"/>
  <c r="P36" i="7"/>
  <c r="O36" i="7"/>
  <c r="P35" i="7"/>
  <c r="O35" i="7"/>
  <c r="P34" i="7"/>
  <c r="M34" i="7"/>
  <c r="M33" i="7"/>
  <c r="P32" i="7"/>
  <c r="M32" i="7"/>
  <c r="P31" i="7"/>
  <c r="M31" i="7"/>
  <c r="M30" i="7"/>
  <c r="P30" i="7" s="1"/>
  <c r="M29" i="7"/>
  <c r="P25" i="7"/>
  <c r="N25" i="7"/>
  <c r="M25" i="7"/>
  <c r="L25" i="7"/>
  <c r="N24" i="7"/>
  <c r="M24" i="7"/>
  <c r="P23" i="7"/>
  <c r="N23" i="7"/>
  <c r="M23" i="7"/>
  <c r="P21" i="7"/>
  <c r="N21" i="7"/>
  <c r="M21" i="7"/>
  <c r="M19" i="7" s="1"/>
  <c r="L21" i="7"/>
  <c r="N19" i="7"/>
  <c r="N15" i="7"/>
  <c r="M15" i="7"/>
  <c r="P15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I651" i="6"/>
  <c r="N650" i="6"/>
  <c r="O650" i="6" s="1"/>
  <c r="L650" i="6"/>
  <c r="J650" i="6"/>
  <c r="I650" i="6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6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K547" i="6" s="1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O383" i="6" s="1"/>
  <c r="N382" i="6"/>
  <c r="L382" i="6"/>
  <c r="O382" i="6" s="1"/>
  <c r="J381" i="6"/>
  <c r="I381" i="6"/>
  <c r="N380" i="6"/>
  <c r="L380" i="6"/>
  <c r="J380" i="6"/>
  <c r="I380" i="6"/>
  <c r="K380" i="6" s="1"/>
  <c r="J379" i="6"/>
  <c r="J378" i="6"/>
  <c r="J377" i="6"/>
  <c r="I377" i="6"/>
  <c r="J376" i="6"/>
  <c r="I376" i="6"/>
  <c r="J375" i="6"/>
  <c r="I375" i="6"/>
  <c r="K375" i="6" s="1"/>
  <c r="J374" i="6"/>
  <c r="I374" i="6"/>
  <c r="J373" i="6"/>
  <c r="I373" i="6"/>
  <c r="K373" i="6" s="1"/>
  <c r="J372" i="6"/>
  <c r="I372" i="6"/>
  <c r="J371" i="6"/>
  <c r="I371" i="6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3" i="1" s="1"/>
  <c r="J362" i="6"/>
  <c r="J361" i="6"/>
  <c r="J360" i="6"/>
  <c r="N358" i="6"/>
  <c r="N357" i="6"/>
  <c r="N356" i="6"/>
  <c r="N355" i="6"/>
  <c r="N354" i="6"/>
  <c r="N354" i="1" s="1"/>
  <c r="L354" i="6"/>
  <c r="N353" i="6"/>
  <c r="L353" i="6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O337" i="6" s="1"/>
  <c r="L337" i="6"/>
  <c r="M337" i="6" s="1"/>
  <c r="L335" i="6"/>
  <c r="L334" i="6"/>
  <c r="N333" i="6"/>
  <c r="M333" i="6"/>
  <c r="O332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P311" i="6"/>
  <c r="O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P291" i="6"/>
  <c r="O291" i="6"/>
  <c r="N291" i="6"/>
  <c r="M291" i="6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L277" i="6"/>
  <c r="L276" i="6"/>
  <c r="N275" i="6"/>
  <c r="M275" i="6"/>
  <c r="M273" i="6" s="1"/>
  <c r="O274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N251" i="6"/>
  <c r="M251" i="6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O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N141" i="6"/>
  <c r="M141" i="6"/>
  <c r="L141" i="6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N122" i="6"/>
  <c r="M122" i="6"/>
  <c r="M120" i="6" s="1"/>
  <c r="O121" i="6"/>
  <c r="O119" i="6"/>
  <c r="N119" i="6"/>
  <c r="M119" i="6"/>
  <c r="L119" i="6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M102" i="6" s="1"/>
  <c r="L100" i="6"/>
  <c r="L99" i="6"/>
  <c r="N98" i="6"/>
  <c r="M98" i="6"/>
  <c r="O97" i="6"/>
  <c r="N95" i="6"/>
  <c r="M95" i="6"/>
  <c r="L95" i="6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K81" i="6" s="1"/>
  <c r="I81" i="6"/>
  <c r="J80" i="6"/>
  <c r="I80" i="6"/>
  <c r="J79" i="6"/>
  <c r="J78" i="6"/>
  <c r="J77" i="6"/>
  <c r="J76" i="6"/>
  <c r="N74" i="6"/>
  <c r="L74" i="6"/>
  <c r="L72" i="6"/>
  <c r="L71" i="6"/>
  <c r="N70" i="6"/>
  <c r="M70" i="6"/>
  <c r="M68" i="6" s="1"/>
  <c r="O69" i="6"/>
  <c r="O67" i="6"/>
  <c r="N67" i="6"/>
  <c r="M67" i="6"/>
  <c r="L67" i="6"/>
  <c r="J65" i="6"/>
  <c r="I65" i="6"/>
  <c r="J64" i="6"/>
  <c r="I64" i="6"/>
  <c r="N61" i="6"/>
  <c r="L61" i="6"/>
  <c r="O61" i="6" s="1"/>
  <c r="L59" i="6"/>
  <c r="L58" i="6"/>
  <c r="N57" i="6"/>
  <c r="M57" i="6"/>
  <c r="M55" i="6" s="1"/>
  <c r="P54" i="6"/>
  <c r="N54" i="6"/>
  <c r="M54" i="6"/>
  <c r="L54" i="6"/>
  <c r="N49" i="6"/>
  <c r="L49" i="6"/>
  <c r="O49" i="6" s="1"/>
  <c r="L47" i="6"/>
  <c r="L46" i="6"/>
  <c r="L45" i="6" s="1"/>
  <c r="N45" i="6"/>
  <c r="M45" i="6"/>
  <c r="O42" i="6"/>
  <c r="N42" i="6"/>
  <c r="M42" i="6"/>
  <c r="L42" i="6"/>
  <c r="P36" i="6"/>
  <c r="O36" i="6"/>
  <c r="P35" i="6"/>
  <c r="O35" i="6"/>
  <c r="M34" i="6"/>
  <c r="P34" i="6" s="1"/>
  <c r="M33" i="6"/>
  <c r="P32" i="6"/>
  <c r="M32" i="6"/>
  <c r="P31" i="6"/>
  <c r="M31" i="6"/>
  <c r="P30" i="6"/>
  <c r="M30" i="6"/>
  <c r="M29" i="6"/>
  <c r="N25" i="6"/>
  <c r="M25" i="6"/>
  <c r="L25" i="6"/>
  <c r="N24" i="6"/>
  <c r="M24" i="6"/>
  <c r="P23" i="6"/>
  <c r="N23" i="6"/>
  <c r="M23" i="6"/>
  <c r="P21" i="6"/>
  <c r="N21" i="6"/>
  <c r="M21" i="6"/>
  <c r="L21" i="6"/>
  <c r="N19" i="6"/>
  <c r="N15" i="6"/>
  <c r="M11" i="6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N650" i="5"/>
  <c r="L650" i="5"/>
  <c r="O650" i="5" s="1"/>
  <c r="J650" i="5"/>
  <c r="I650" i="5"/>
  <c r="K650" i="5" s="1"/>
  <c r="N649" i="5"/>
  <c r="L649" i="5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2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8" i="1" s="1"/>
  <c r="N587" i="5"/>
  <c r="N586" i="5"/>
  <c r="N585" i="5"/>
  <c r="N584" i="5"/>
  <c r="L584" i="5"/>
  <c r="N583" i="5"/>
  <c r="L583" i="5"/>
  <c r="O583" i="5" s="1"/>
  <c r="N582" i="5"/>
  <c r="O582" i="5" s="1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O568" i="5" s="1"/>
  <c r="L568" i="5"/>
  <c r="N567" i="5"/>
  <c r="L567" i="5"/>
  <c r="O567" i="5" s="1"/>
  <c r="N566" i="5"/>
  <c r="L566" i="5"/>
  <c r="N565" i="5"/>
  <c r="L565" i="5"/>
  <c r="O565" i="5" s="1"/>
  <c r="N564" i="5"/>
  <c r="O564" i="5" s="1"/>
  <c r="L564" i="5"/>
  <c r="J564" i="5"/>
  <c r="I564" i="5"/>
  <c r="J561" i="5"/>
  <c r="I561" i="5"/>
  <c r="K561" i="5" s="1"/>
  <c r="J560" i="5"/>
  <c r="I560" i="5"/>
  <c r="K560" i="5" s="1"/>
  <c r="N559" i="5"/>
  <c r="N559" i="1" s="1"/>
  <c r="N558" i="5"/>
  <c r="N557" i="5"/>
  <c r="N556" i="5"/>
  <c r="N555" i="5"/>
  <c r="L555" i="5"/>
  <c r="O555" i="5" s="1"/>
  <c r="N554" i="5"/>
  <c r="L554" i="5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J501" i="5"/>
  <c r="I501" i="5"/>
  <c r="K501" i="5" s="1"/>
  <c r="J500" i="5"/>
  <c r="I500" i="5"/>
  <c r="K500" i="5" s="1"/>
  <c r="J499" i="5"/>
  <c r="I499" i="5"/>
  <c r="J498" i="5"/>
  <c r="I498" i="5"/>
  <c r="K498" i="5" s="1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K482" i="5" s="1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K474" i="5" s="1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O455" i="5" s="1"/>
  <c r="J455" i="5"/>
  <c r="I455" i="5"/>
  <c r="K455" i="5" s="1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K429" i="5" s="1"/>
  <c r="J428" i="5"/>
  <c r="I428" i="5"/>
  <c r="J427" i="5"/>
  <c r="I427" i="5"/>
  <c r="J426" i="5"/>
  <c r="I426" i="5"/>
  <c r="J425" i="5"/>
  <c r="I425" i="5"/>
  <c r="K425" i="5" s="1"/>
  <c r="J424" i="5"/>
  <c r="I424" i="5"/>
  <c r="J423" i="5"/>
  <c r="I423" i="5"/>
  <c r="K423" i="5" s="1"/>
  <c r="J422" i="5"/>
  <c r="I422" i="5"/>
  <c r="J421" i="5"/>
  <c r="I421" i="5"/>
  <c r="J420" i="5"/>
  <c r="I420" i="5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K381" i="5" s="1"/>
  <c r="N380" i="5"/>
  <c r="L380" i="5"/>
  <c r="J380" i="5"/>
  <c r="I380" i="5"/>
  <c r="K380" i="5" s="1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N353" i="1" s="1"/>
  <c r="L353" i="5"/>
  <c r="O353" i="5" s="1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P330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P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3" i="1" s="1"/>
  <c r="J302" i="5"/>
  <c r="J301" i="5"/>
  <c r="J300" i="5"/>
  <c r="N298" i="5"/>
  <c r="L298" i="5"/>
  <c r="O298" i="5" s="1"/>
  <c r="L296" i="5"/>
  <c r="L295" i="5"/>
  <c r="P294" i="5"/>
  <c r="N294" i="5"/>
  <c r="M294" i="5"/>
  <c r="O293" i="5"/>
  <c r="M292" i="5"/>
  <c r="P292" i="5" s="1"/>
  <c r="O291" i="5"/>
  <c r="N291" i="5"/>
  <c r="M291" i="5"/>
  <c r="L291" i="5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P272" i="5"/>
  <c r="O272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P251" i="5"/>
  <c r="O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I229" i="1" s="1"/>
  <c r="N228" i="5"/>
  <c r="L228" i="5"/>
  <c r="O228" i="5" s="1"/>
  <c r="L226" i="5"/>
  <c r="L225" i="5"/>
  <c r="L224" i="5" s="1"/>
  <c r="N224" i="5"/>
  <c r="M224" i="5"/>
  <c r="M222" i="5" s="1"/>
  <c r="O223" i="5"/>
  <c r="P221" i="5"/>
  <c r="O221" i="5"/>
  <c r="N221" i="5"/>
  <c r="M221" i="5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K189" i="5" s="1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K173" i="5" s="1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M142" i="5"/>
  <c r="P141" i="5"/>
  <c r="O141" i="5"/>
  <c r="N141" i="5"/>
  <c r="M141" i="5"/>
  <c r="L141" i="5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N120" i="5" s="1"/>
  <c r="N118" i="5" s="1"/>
  <c r="M122" i="5"/>
  <c r="M120" i="5" s="1"/>
  <c r="O121" i="5"/>
  <c r="P119" i="5"/>
  <c r="O119" i="5"/>
  <c r="N119" i="5"/>
  <c r="M119" i="5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N96" i="5" s="1"/>
  <c r="M98" i="5"/>
  <c r="O97" i="5"/>
  <c r="P95" i="5"/>
  <c r="O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M68" i="5" s="1"/>
  <c r="O69" i="5"/>
  <c r="P67" i="5"/>
  <c r="O67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P54" i="5"/>
  <c r="O54" i="5"/>
  <c r="N54" i="5"/>
  <c r="M54" i="5"/>
  <c r="L54" i="5"/>
  <c r="N49" i="5"/>
  <c r="L49" i="5"/>
  <c r="O49" i="5" s="1"/>
  <c r="L47" i="5"/>
  <c r="L46" i="5"/>
  <c r="N45" i="5"/>
  <c r="N43" i="5" s="1"/>
  <c r="N41" i="5" s="1"/>
  <c r="M45" i="5"/>
  <c r="P42" i="5"/>
  <c r="O42" i="5"/>
  <c r="N42" i="5"/>
  <c r="M42" i="5"/>
  <c r="L42" i="5"/>
  <c r="P36" i="5"/>
  <c r="O36" i="5"/>
  <c r="P35" i="5"/>
  <c r="O35" i="5"/>
  <c r="P34" i="5"/>
  <c r="M34" i="5"/>
  <c r="P33" i="5"/>
  <c r="M33" i="5"/>
  <c r="P32" i="5"/>
  <c r="M32" i="5"/>
  <c r="M30" i="5" s="1"/>
  <c r="P30" i="5" s="1"/>
  <c r="M31" i="5"/>
  <c r="P25" i="5"/>
  <c r="O25" i="5"/>
  <c r="N25" i="5"/>
  <c r="N15" i="5" s="1"/>
  <c r="M25" i="5"/>
  <c r="L25" i="5"/>
  <c r="P24" i="5"/>
  <c r="N24" i="5"/>
  <c r="M24" i="5"/>
  <c r="P23" i="5"/>
  <c r="N23" i="5"/>
  <c r="M23" i="5"/>
  <c r="P21" i="5"/>
  <c r="O21" i="5"/>
  <c r="N21" i="5"/>
  <c r="M21" i="5"/>
  <c r="L21" i="5"/>
  <c r="P19" i="5"/>
  <c r="M19" i="5"/>
  <c r="L19" i="5"/>
  <c r="P15" i="5"/>
  <c r="O15" i="5"/>
  <c r="M15" i="5"/>
  <c r="L15" i="5"/>
  <c r="P14" i="5"/>
  <c r="M14" i="5"/>
  <c r="M13" i="5"/>
  <c r="P13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N651" i="4"/>
  <c r="L651" i="4"/>
  <c r="I651" i="4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K633" i="4" s="1"/>
  <c r="I633" i="4"/>
  <c r="J632" i="4"/>
  <c r="I632" i="4"/>
  <c r="J631" i="4"/>
  <c r="I631" i="4"/>
  <c r="J630" i="4"/>
  <c r="I630" i="4"/>
  <c r="J629" i="4"/>
  <c r="K629" i="4" s="1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O564" i="4" s="1"/>
  <c r="L564" i="4"/>
  <c r="J564" i="4"/>
  <c r="I564" i="4"/>
  <c r="J561" i="4"/>
  <c r="J561" i="1" s="1"/>
  <c r="I561" i="4"/>
  <c r="K561" i="4" s="1"/>
  <c r="J560" i="4"/>
  <c r="I560" i="4"/>
  <c r="N559" i="4"/>
  <c r="N558" i="4"/>
  <c r="N557" i="4"/>
  <c r="N556" i="4"/>
  <c r="N555" i="4"/>
  <c r="L555" i="4"/>
  <c r="N554" i="4"/>
  <c r="L554" i="4"/>
  <c r="N553" i="4"/>
  <c r="L553" i="4"/>
  <c r="N552" i="4"/>
  <c r="L552" i="4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9" i="1" s="1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J515" i="1" s="1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K497" i="4" s="1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O406" i="4" s="1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O401" i="4" s="1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O354" i="4" s="1"/>
  <c r="N353" i="4"/>
  <c r="L353" i="4"/>
  <c r="O353" i="4" s="1"/>
  <c r="N352" i="4"/>
  <c r="L352" i="4"/>
  <c r="N351" i="4"/>
  <c r="L351" i="4"/>
  <c r="L351" i="1" s="1"/>
  <c r="O351" i="1" s="1"/>
  <c r="J350" i="4"/>
  <c r="I350" i="4"/>
  <c r="K350" i="4" s="1"/>
  <c r="N349" i="4"/>
  <c r="L349" i="4"/>
  <c r="J349" i="4"/>
  <c r="I349" i="4"/>
  <c r="N347" i="4"/>
  <c r="L347" i="4"/>
  <c r="J346" i="4"/>
  <c r="I346" i="4"/>
  <c r="K346" i="4" s="1"/>
  <c r="J345" i="4"/>
  <c r="I345" i="4"/>
  <c r="K345" i="4" s="1"/>
  <c r="J344" i="4"/>
  <c r="I344" i="4"/>
  <c r="K344" i="4" s="1"/>
  <c r="J343" i="4"/>
  <c r="I343" i="4"/>
  <c r="I343" i="1" s="1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P330" i="4"/>
  <c r="O330" i="4"/>
  <c r="N330" i="4"/>
  <c r="M330" i="4"/>
  <c r="L330" i="4"/>
  <c r="J328" i="4"/>
  <c r="I328" i="4"/>
  <c r="J326" i="4"/>
  <c r="J325" i="4"/>
  <c r="J324" i="4"/>
  <c r="I324" i="4"/>
  <c r="J323" i="4"/>
  <c r="J322" i="4"/>
  <c r="J321" i="4"/>
  <c r="J320" i="4"/>
  <c r="N318" i="4"/>
  <c r="L318" i="4"/>
  <c r="L316" i="4"/>
  <c r="L315" i="4"/>
  <c r="N314" i="4"/>
  <c r="N312" i="4" s="1"/>
  <c r="N310" i="4" s="1"/>
  <c r="M314" i="4"/>
  <c r="O313" i="4"/>
  <c r="N311" i="4"/>
  <c r="M311" i="4"/>
  <c r="P311" i="4" s="1"/>
  <c r="L311" i="4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L295" i="1" s="1"/>
  <c r="N294" i="4"/>
  <c r="M294" i="4"/>
  <c r="P294" i="4" s="1"/>
  <c r="O293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2" i="1" s="1"/>
  <c r="J281" i="4"/>
  <c r="N279" i="4"/>
  <c r="L279" i="4"/>
  <c r="O279" i="4" s="1"/>
  <c r="L277" i="4"/>
  <c r="L276" i="4"/>
  <c r="N275" i="4"/>
  <c r="M275" i="4"/>
  <c r="M273" i="4" s="1"/>
  <c r="M271" i="4" s="1"/>
  <c r="O274" i="4"/>
  <c r="P272" i="4"/>
  <c r="O272" i="4"/>
  <c r="N272" i="4"/>
  <c r="M272" i="4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N252" i="4" s="1"/>
  <c r="M254" i="4"/>
  <c r="M252" i="4" s="1"/>
  <c r="O253" i="4"/>
  <c r="P251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N228" i="1" s="1"/>
  <c r="L228" i="4"/>
  <c r="O228" i="4" s="1"/>
  <c r="L226" i="4"/>
  <c r="L225" i="4"/>
  <c r="N224" i="4"/>
  <c r="M224" i="4"/>
  <c r="O223" i="4"/>
  <c r="P221" i="4"/>
  <c r="O221" i="4"/>
  <c r="N221" i="4"/>
  <c r="M221" i="4"/>
  <c r="L221" i="4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4" i="1" s="1"/>
  <c r="J183" i="4"/>
  <c r="J182" i="4"/>
  <c r="J181" i="4"/>
  <c r="J176" i="4"/>
  <c r="I176" i="4"/>
  <c r="J175" i="4"/>
  <c r="J174" i="4"/>
  <c r="J173" i="4"/>
  <c r="J173" i="1" s="1"/>
  <c r="I173" i="4"/>
  <c r="J172" i="4"/>
  <c r="J171" i="4"/>
  <c r="J170" i="4"/>
  <c r="J169" i="4"/>
  <c r="J164" i="4"/>
  <c r="I164" i="4"/>
  <c r="J163" i="4"/>
  <c r="J163" i="1" s="1"/>
  <c r="J162" i="4"/>
  <c r="J161" i="4"/>
  <c r="J160" i="4"/>
  <c r="J159" i="4"/>
  <c r="J158" i="4"/>
  <c r="I158" i="4"/>
  <c r="K158" i="4" s="1"/>
  <c r="J157" i="4"/>
  <c r="J156" i="4"/>
  <c r="J155" i="4"/>
  <c r="J154" i="4"/>
  <c r="J149" i="4"/>
  <c r="I149" i="4"/>
  <c r="N148" i="4"/>
  <c r="L148" i="4"/>
  <c r="O148" i="4" s="1"/>
  <c r="L146" i="4"/>
  <c r="L145" i="4"/>
  <c r="L144" i="4" s="1"/>
  <c r="N144" i="4"/>
  <c r="M144" i="4"/>
  <c r="O143" i="4"/>
  <c r="P141" i="4"/>
  <c r="O141" i="4"/>
  <c r="N141" i="4"/>
  <c r="M141" i="4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N120" i="4" s="1"/>
  <c r="N118" i="4" s="1"/>
  <c r="M122" i="4"/>
  <c r="M120" i="4" s="1"/>
  <c r="P120" i="4" s="1"/>
  <c r="O121" i="4"/>
  <c r="P119" i="4"/>
  <c r="N119" i="4"/>
  <c r="M119" i="4"/>
  <c r="L119" i="4"/>
  <c r="O119" i="4" s="1"/>
  <c r="J117" i="4"/>
  <c r="I117" i="4"/>
  <c r="K117" i="4" s="1"/>
  <c r="J115" i="4"/>
  <c r="J114" i="4"/>
  <c r="J113" i="4"/>
  <c r="I113" i="4"/>
  <c r="J112" i="4"/>
  <c r="I112" i="4"/>
  <c r="J111" i="4"/>
  <c r="J111" i="1" s="1"/>
  <c r="I111" i="4"/>
  <c r="J110" i="4"/>
  <c r="I110" i="4"/>
  <c r="J109" i="4"/>
  <c r="I109" i="4"/>
  <c r="J108" i="4"/>
  <c r="I108" i="4"/>
  <c r="J107" i="4"/>
  <c r="J107" i="1" s="1"/>
  <c r="J106" i="4"/>
  <c r="J105" i="4"/>
  <c r="J104" i="4"/>
  <c r="N102" i="4"/>
  <c r="L102" i="4"/>
  <c r="L100" i="4"/>
  <c r="L99" i="4"/>
  <c r="N98" i="4"/>
  <c r="M98" i="4"/>
  <c r="O97" i="4"/>
  <c r="P95" i="4"/>
  <c r="O95" i="4"/>
  <c r="N95" i="4"/>
  <c r="M95" i="4"/>
  <c r="L95" i="4"/>
  <c r="J93" i="4"/>
  <c r="I93" i="4"/>
  <c r="J92" i="4"/>
  <c r="I92" i="4"/>
  <c r="J90" i="4"/>
  <c r="J89" i="4"/>
  <c r="J88" i="4"/>
  <c r="I88" i="4"/>
  <c r="K88" i="4" s="1"/>
  <c r="J87" i="4"/>
  <c r="I87" i="4"/>
  <c r="J86" i="4"/>
  <c r="I86" i="4"/>
  <c r="J85" i="4"/>
  <c r="I85" i="4"/>
  <c r="K85" i="4" s="1"/>
  <c r="J84" i="4"/>
  <c r="I84" i="4"/>
  <c r="K84" i="4" s="1"/>
  <c r="K83" i="4"/>
  <c r="J83" i="4"/>
  <c r="I83" i="4"/>
  <c r="J82" i="4"/>
  <c r="I82" i="4"/>
  <c r="K82" i="4" s="1"/>
  <c r="J81" i="4"/>
  <c r="I81" i="4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N68" i="4" s="1"/>
  <c r="N66" i="4" s="1"/>
  <c r="M70" i="4"/>
  <c r="M68" i="4" s="1"/>
  <c r="O69" i="4"/>
  <c r="P67" i="4"/>
  <c r="N67" i="4"/>
  <c r="M67" i="4"/>
  <c r="L67" i="4"/>
  <c r="J65" i="4"/>
  <c r="I65" i="4"/>
  <c r="J64" i="4"/>
  <c r="I64" i="4"/>
  <c r="N61" i="4"/>
  <c r="L61" i="4"/>
  <c r="O61" i="4" s="1"/>
  <c r="L59" i="4"/>
  <c r="L58" i="4"/>
  <c r="N57" i="4"/>
  <c r="N55" i="4" s="1"/>
  <c r="M57" i="4"/>
  <c r="P54" i="4"/>
  <c r="O54" i="4"/>
  <c r="N54" i="4"/>
  <c r="M54" i="4"/>
  <c r="L54" i="4"/>
  <c r="N49" i="4"/>
  <c r="L49" i="4"/>
  <c r="L49" i="1" s="1"/>
  <c r="L47" i="4"/>
  <c r="L46" i="4"/>
  <c r="N45" i="4"/>
  <c r="M45" i="4"/>
  <c r="O42" i="4"/>
  <c r="N42" i="4"/>
  <c r="M42" i="4"/>
  <c r="L42" i="4"/>
  <c r="P36" i="4"/>
  <c r="O36" i="4"/>
  <c r="P35" i="4"/>
  <c r="O35" i="4"/>
  <c r="P34" i="4"/>
  <c r="M34" i="4"/>
  <c r="M33" i="4"/>
  <c r="P32" i="4"/>
  <c r="M32" i="4"/>
  <c r="P31" i="4"/>
  <c r="M31" i="4"/>
  <c r="P30" i="4"/>
  <c r="M30" i="4"/>
  <c r="M29" i="4"/>
  <c r="P25" i="4"/>
  <c r="N25" i="4"/>
  <c r="M25" i="4"/>
  <c r="L25" i="4"/>
  <c r="N24" i="4"/>
  <c r="M24" i="4"/>
  <c r="P23" i="4"/>
  <c r="N23" i="4"/>
  <c r="M23" i="4"/>
  <c r="P21" i="4"/>
  <c r="N21" i="4"/>
  <c r="M21" i="4"/>
  <c r="L21" i="4"/>
  <c r="N19" i="4"/>
  <c r="N15" i="4"/>
  <c r="M15" i="4"/>
  <c r="P15" i="4" s="1"/>
  <c r="M11" i="4"/>
  <c r="J677" i="3"/>
  <c r="J676" i="3"/>
  <c r="J675" i="3"/>
  <c r="J674" i="3"/>
  <c r="J673" i="3"/>
  <c r="J672" i="3"/>
  <c r="N671" i="3"/>
  <c r="L671" i="3"/>
  <c r="O671" i="3" s="1"/>
  <c r="I671" i="3"/>
  <c r="J670" i="3"/>
  <c r="J669" i="3"/>
  <c r="N668" i="3"/>
  <c r="L668" i="3"/>
  <c r="O668" i="3" s="1"/>
  <c r="J668" i="3"/>
  <c r="I668" i="3"/>
  <c r="J667" i="3"/>
  <c r="J666" i="3"/>
  <c r="N665" i="3"/>
  <c r="L665" i="3"/>
  <c r="J665" i="3"/>
  <c r="I665" i="3"/>
  <c r="J663" i="3"/>
  <c r="I663" i="3"/>
  <c r="J662" i="3"/>
  <c r="N661" i="3"/>
  <c r="L661" i="3"/>
  <c r="J661" i="3"/>
  <c r="J660" i="3"/>
  <c r="J659" i="3"/>
  <c r="J658" i="3"/>
  <c r="J657" i="3"/>
  <c r="J656" i="3"/>
  <c r="J655" i="3"/>
  <c r="J653" i="3"/>
  <c r="J652" i="3"/>
  <c r="N651" i="3"/>
  <c r="L651" i="3"/>
  <c r="I651" i="3"/>
  <c r="K651" i="3" s="1"/>
  <c r="N650" i="3"/>
  <c r="L650" i="3"/>
  <c r="O650" i="3" s="1"/>
  <c r="J650" i="3"/>
  <c r="I650" i="3"/>
  <c r="N649" i="3"/>
  <c r="L649" i="3"/>
  <c r="J649" i="3"/>
  <c r="I649" i="3"/>
  <c r="N648" i="3"/>
  <c r="L648" i="3"/>
  <c r="O648" i="3" s="1"/>
  <c r="J648" i="3"/>
  <c r="I648" i="3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J595" i="3"/>
  <c r="I595" i="3"/>
  <c r="J594" i="3"/>
  <c r="I594" i="3"/>
  <c r="K594" i="3" s="1"/>
  <c r="J593" i="3"/>
  <c r="I593" i="3"/>
  <c r="J592" i="3"/>
  <c r="I592" i="3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K580" i="3" s="1"/>
  <c r="I580" i="3"/>
  <c r="J579" i="3"/>
  <c r="I579" i="3"/>
  <c r="K579" i="3" s="1"/>
  <c r="J578" i="3"/>
  <c r="I578" i="3"/>
  <c r="K578" i="3" s="1"/>
  <c r="J577" i="3"/>
  <c r="I577" i="3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N554" i="3"/>
  <c r="N554" i="1" s="1"/>
  <c r="L554" i="3"/>
  <c r="O554" i="3" s="1"/>
  <c r="N553" i="3"/>
  <c r="L553" i="3"/>
  <c r="O553" i="3" s="1"/>
  <c r="N552" i="3"/>
  <c r="L552" i="3"/>
  <c r="N551" i="3"/>
  <c r="L551" i="3"/>
  <c r="J551" i="3"/>
  <c r="J551" i="1" s="1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J524" i="1" s="1"/>
  <c r="I524" i="3"/>
  <c r="J523" i="3"/>
  <c r="I523" i="3"/>
  <c r="J522" i="3"/>
  <c r="J522" i="1" s="1"/>
  <c r="I522" i="3"/>
  <c r="J521" i="3"/>
  <c r="I521" i="3"/>
  <c r="J520" i="3"/>
  <c r="J520" i="1" s="1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J512" i="3"/>
  <c r="I512" i="3"/>
  <c r="K512" i="3" s="1"/>
  <c r="J511" i="3"/>
  <c r="I511" i="3"/>
  <c r="K511" i="3" s="1"/>
  <c r="J510" i="3"/>
  <c r="I510" i="3"/>
  <c r="K510" i="3" s="1"/>
  <c r="J509" i="3"/>
  <c r="I509" i="3"/>
  <c r="J508" i="3"/>
  <c r="I508" i="3"/>
  <c r="K508" i="3" s="1"/>
  <c r="J507" i="3"/>
  <c r="I507" i="3"/>
  <c r="K507" i="3" s="1"/>
  <c r="J506" i="3"/>
  <c r="I506" i="3"/>
  <c r="K506" i="3" s="1"/>
  <c r="J505" i="3"/>
  <c r="I505" i="3"/>
  <c r="J504" i="3"/>
  <c r="I504" i="3"/>
  <c r="K504" i="3" s="1"/>
  <c r="J503" i="3"/>
  <c r="I503" i="3"/>
  <c r="K503" i="3" s="1"/>
  <c r="J502" i="3"/>
  <c r="I502" i="3"/>
  <c r="K502" i="3" s="1"/>
  <c r="J501" i="3"/>
  <c r="I501" i="3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J492" i="3"/>
  <c r="J492" i="1" s="1"/>
  <c r="I492" i="3"/>
  <c r="K492" i="3" s="1"/>
  <c r="J491" i="3"/>
  <c r="I491" i="3"/>
  <c r="K491" i="3" s="1"/>
  <c r="J490" i="3"/>
  <c r="I490" i="3"/>
  <c r="K490" i="3" s="1"/>
  <c r="J489" i="3"/>
  <c r="I489" i="3"/>
  <c r="J488" i="3"/>
  <c r="I488" i="3"/>
  <c r="K488" i="3" s="1"/>
  <c r="J487" i="3"/>
  <c r="I487" i="3"/>
  <c r="K487" i="3" s="1"/>
  <c r="J486" i="3"/>
  <c r="I486" i="3"/>
  <c r="K486" i="3" s="1"/>
  <c r="J485" i="3"/>
  <c r="I485" i="3"/>
  <c r="J484" i="3"/>
  <c r="J484" i="1" s="1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J476" i="3"/>
  <c r="I476" i="3"/>
  <c r="K476" i="3" s="1"/>
  <c r="J475" i="3"/>
  <c r="I475" i="3"/>
  <c r="K475" i="3" s="1"/>
  <c r="J474" i="3"/>
  <c r="I474" i="3"/>
  <c r="J473" i="3"/>
  <c r="I473" i="3"/>
  <c r="J472" i="3"/>
  <c r="J472" i="1" s="1"/>
  <c r="I472" i="3"/>
  <c r="K472" i="3" s="1"/>
  <c r="J471" i="3"/>
  <c r="I471" i="3"/>
  <c r="K471" i="3" s="1"/>
  <c r="J470" i="3"/>
  <c r="I470" i="3"/>
  <c r="K470" i="3" s="1"/>
  <c r="J469" i="3"/>
  <c r="I469" i="3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N456" i="1" s="1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N439" i="1" s="1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K425" i="3" s="1"/>
  <c r="I425" i="3"/>
  <c r="J424" i="3"/>
  <c r="I424" i="3"/>
  <c r="J423" i="3"/>
  <c r="I423" i="3"/>
  <c r="J422" i="3"/>
  <c r="I422" i="3"/>
  <c r="J421" i="3"/>
  <c r="I421" i="3"/>
  <c r="J420" i="3"/>
  <c r="K420" i="3" s="1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J396" i="1" s="1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J376" i="1" s="1"/>
  <c r="I376" i="3"/>
  <c r="J375" i="3"/>
  <c r="I375" i="3"/>
  <c r="J374" i="3"/>
  <c r="I374" i="3"/>
  <c r="J373" i="3"/>
  <c r="I373" i="3"/>
  <c r="K373" i="3" s="1"/>
  <c r="J372" i="3"/>
  <c r="J372" i="1" s="1"/>
  <c r="I372" i="3"/>
  <c r="J371" i="3"/>
  <c r="I371" i="3"/>
  <c r="K371" i="3" s="1"/>
  <c r="J370" i="3"/>
  <c r="I370" i="3"/>
  <c r="J369" i="3"/>
  <c r="I369" i="3"/>
  <c r="K369" i="3" s="1"/>
  <c r="J368" i="3"/>
  <c r="J368" i="1" s="1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I350" i="1" s="1"/>
  <c r="N349" i="3"/>
  <c r="L349" i="3"/>
  <c r="J349" i="3"/>
  <c r="I349" i="3"/>
  <c r="N347" i="3"/>
  <c r="L347" i="3"/>
  <c r="J346" i="3"/>
  <c r="I346" i="3"/>
  <c r="K346" i="3" s="1"/>
  <c r="J345" i="3"/>
  <c r="I345" i="3"/>
  <c r="K345" i="3" s="1"/>
  <c r="J344" i="3"/>
  <c r="I344" i="3"/>
  <c r="K344" i="3" s="1"/>
  <c r="J343" i="3"/>
  <c r="I343" i="3"/>
  <c r="J342" i="3"/>
  <c r="I342" i="3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L333" i="3" s="1"/>
  <c r="N333" i="3"/>
  <c r="M333" i="3"/>
  <c r="M331" i="3" s="1"/>
  <c r="O332" i="3"/>
  <c r="P330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N312" i="3" s="1"/>
  <c r="N310" i="3" s="1"/>
  <c r="M314" i="3"/>
  <c r="O313" i="3"/>
  <c r="N311" i="3"/>
  <c r="M311" i="3"/>
  <c r="L311" i="3"/>
  <c r="J309" i="3"/>
  <c r="I309" i="3"/>
  <c r="K309" i="3" s="1"/>
  <c r="J308" i="3"/>
  <c r="J307" i="3"/>
  <c r="J306" i="3"/>
  <c r="I306" i="3"/>
  <c r="J304" i="3"/>
  <c r="I304" i="3"/>
  <c r="K304" i="3" s="1"/>
  <c r="J303" i="3"/>
  <c r="J302" i="3"/>
  <c r="J302" i="1" s="1"/>
  <c r="J301" i="3"/>
  <c r="J300" i="3"/>
  <c r="N298" i="3"/>
  <c r="L298" i="3"/>
  <c r="O298" i="3" s="1"/>
  <c r="L296" i="3"/>
  <c r="L295" i="3"/>
  <c r="N294" i="3"/>
  <c r="M294" i="3"/>
  <c r="P294" i="3" s="1"/>
  <c r="O293" i="3"/>
  <c r="O291" i="3"/>
  <c r="N291" i="3"/>
  <c r="M291" i="3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L275" i="3" s="1"/>
  <c r="N275" i="3"/>
  <c r="M275" i="3"/>
  <c r="M273" i="3" s="1"/>
  <c r="M271" i="3" s="1"/>
  <c r="O274" i="3"/>
  <c r="P272" i="3"/>
  <c r="O272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P251" i="3"/>
  <c r="O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1" i="1" s="1"/>
  <c r="J240" i="3"/>
  <c r="J238" i="3"/>
  <c r="I238" i="3"/>
  <c r="K238" i="3" s="1"/>
  <c r="J237" i="3"/>
  <c r="J237" i="1" s="1"/>
  <c r="J236" i="3"/>
  <c r="J235" i="3"/>
  <c r="I235" i="3"/>
  <c r="J234" i="3"/>
  <c r="J234" i="1" s="1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P221" i="3"/>
  <c r="N221" i="3"/>
  <c r="M221" i="3"/>
  <c r="L221" i="3"/>
  <c r="O221" i="3" s="1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81" i="1" s="1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4" i="3" s="1"/>
  <c r="L145" i="3"/>
  <c r="N144" i="3"/>
  <c r="M144" i="3"/>
  <c r="M142" i="3" s="1"/>
  <c r="O143" i="3"/>
  <c r="P141" i="3"/>
  <c r="O141" i="3"/>
  <c r="N141" i="3"/>
  <c r="M141" i="3"/>
  <c r="L141" i="3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P120" i="3" s="1"/>
  <c r="O121" i="3"/>
  <c r="P119" i="3"/>
  <c r="N119" i="3"/>
  <c r="M119" i="3"/>
  <c r="L119" i="3"/>
  <c r="L119" i="1" s="1"/>
  <c r="O119" i="1" s="1"/>
  <c r="J117" i="3"/>
  <c r="I117" i="3"/>
  <c r="K117" i="3" s="1"/>
  <c r="J115" i="3"/>
  <c r="J114" i="3"/>
  <c r="J114" i="1" s="1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P95" i="3"/>
  <c r="O95" i="3"/>
  <c r="N95" i="3"/>
  <c r="M95" i="3"/>
  <c r="L95" i="3"/>
  <c r="J93" i="3"/>
  <c r="I93" i="3"/>
  <c r="J92" i="3"/>
  <c r="I92" i="3"/>
  <c r="I92" i="1" s="1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K84" i="3"/>
  <c r="J84" i="3"/>
  <c r="I84" i="3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M66" i="3" s="1"/>
  <c r="O69" i="3"/>
  <c r="P67" i="3"/>
  <c r="O67" i="3"/>
  <c r="N67" i="3"/>
  <c r="M67" i="3"/>
  <c r="L67" i="3"/>
  <c r="J65" i="3"/>
  <c r="I65" i="3"/>
  <c r="J64" i="3"/>
  <c r="I64" i="3"/>
  <c r="K64" i="3" s="1"/>
  <c r="N61" i="3"/>
  <c r="L61" i="3"/>
  <c r="O61" i="3" s="1"/>
  <c r="L59" i="3"/>
  <c r="L58" i="3"/>
  <c r="L57" i="3" s="1"/>
  <c r="N57" i="3"/>
  <c r="M57" i="3"/>
  <c r="M55" i="3" s="1"/>
  <c r="P54" i="3"/>
  <c r="O54" i="3"/>
  <c r="N54" i="3"/>
  <c r="M54" i="3"/>
  <c r="L54" i="3"/>
  <c r="N49" i="3"/>
  <c r="L49" i="3"/>
  <c r="O49" i="3" s="1"/>
  <c r="L47" i="3"/>
  <c r="L46" i="3"/>
  <c r="N45" i="3"/>
  <c r="M45" i="3"/>
  <c r="P42" i="3"/>
  <c r="N42" i="3"/>
  <c r="M42" i="3"/>
  <c r="L42" i="3"/>
  <c r="P36" i="3"/>
  <c r="O36" i="3"/>
  <c r="P35" i="3"/>
  <c r="O35" i="3"/>
  <c r="P34" i="3"/>
  <c r="M34" i="3"/>
  <c r="P33" i="3"/>
  <c r="M33" i="3"/>
  <c r="M32" i="3"/>
  <c r="M30" i="3" s="1"/>
  <c r="P30" i="3" s="1"/>
  <c r="M31" i="3"/>
  <c r="P25" i="3"/>
  <c r="O25" i="3"/>
  <c r="N25" i="3"/>
  <c r="N15" i="3" s="1"/>
  <c r="M25" i="3"/>
  <c r="L25" i="3"/>
  <c r="P24" i="3"/>
  <c r="N24" i="3"/>
  <c r="M24" i="3"/>
  <c r="P23" i="3"/>
  <c r="N23" i="3"/>
  <c r="M23" i="3"/>
  <c r="P21" i="3"/>
  <c r="O21" i="3"/>
  <c r="N21" i="3"/>
  <c r="M21" i="3"/>
  <c r="L21" i="3"/>
  <c r="P19" i="3"/>
  <c r="M19" i="3"/>
  <c r="L19" i="3"/>
  <c r="P15" i="3"/>
  <c r="M15" i="3"/>
  <c r="L15" i="3"/>
  <c r="O15" i="3" s="1"/>
  <c r="P14" i="3"/>
  <c r="M14" i="3"/>
  <c r="M13" i="3"/>
  <c r="P13" i="3" s="1"/>
  <c r="J677" i="2"/>
  <c r="J676" i="2"/>
  <c r="J675" i="2"/>
  <c r="J674" i="2"/>
  <c r="J673" i="2"/>
  <c r="J672" i="2"/>
  <c r="N671" i="2"/>
  <c r="L671" i="2"/>
  <c r="I671" i="2"/>
  <c r="K671" i="2" s="1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O665" i="2" s="1"/>
  <c r="J665" i="2"/>
  <c r="I665" i="2"/>
  <c r="K665" i="2" s="1"/>
  <c r="J663" i="2"/>
  <c r="J663" i="1" s="1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O650" i="2" s="1"/>
  <c r="J650" i="2"/>
  <c r="I650" i="2"/>
  <c r="K650" i="2" s="1"/>
  <c r="N649" i="2"/>
  <c r="L649" i="2"/>
  <c r="O649" i="2" s="1"/>
  <c r="J649" i="2"/>
  <c r="I649" i="2"/>
  <c r="K649" i="2" s="1"/>
  <c r="N648" i="2"/>
  <c r="L648" i="2"/>
  <c r="O648" i="2" s="1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6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K578" i="2"/>
  <c r="J578" i="2"/>
  <c r="I578" i="2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O568" i="2" s="1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J560" i="2"/>
  <c r="I560" i="2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I533" i="1" s="1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I519" i="1" s="1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K482" i="2" s="1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J465" i="1" s="1"/>
  <c r="I465" i="2"/>
  <c r="J464" i="2"/>
  <c r="I464" i="2"/>
  <c r="N463" i="2"/>
  <c r="N462" i="2"/>
  <c r="N461" i="2"/>
  <c r="N460" i="2"/>
  <c r="N459" i="2"/>
  <c r="N459" i="1" s="1"/>
  <c r="L459" i="2"/>
  <c r="N458" i="2"/>
  <c r="L458" i="2"/>
  <c r="L458" i="1" s="1"/>
  <c r="O458" i="1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3" i="1" s="1"/>
  <c r="J432" i="2"/>
  <c r="I432" i="2"/>
  <c r="J431" i="2"/>
  <c r="I431" i="2"/>
  <c r="J430" i="2"/>
  <c r="I430" i="2"/>
  <c r="J429" i="2"/>
  <c r="I429" i="2"/>
  <c r="J428" i="2"/>
  <c r="I428" i="2"/>
  <c r="J427" i="2"/>
  <c r="K427" i="2" s="1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J418" i="1" s="1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I401" i="1" s="1"/>
  <c r="J400" i="2"/>
  <c r="J399" i="2"/>
  <c r="J398" i="2"/>
  <c r="I398" i="2"/>
  <c r="J397" i="2"/>
  <c r="I397" i="2"/>
  <c r="J396" i="2"/>
  <c r="I396" i="2"/>
  <c r="I396" i="1" s="1"/>
  <c r="J394" i="2"/>
  <c r="J393" i="2"/>
  <c r="J392" i="2"/>
  <c r="J391" i="2"/>
  <c r="N389" i="2"/>
  <c r="N388" i="2"/>
  <c r="N387" i="2"/>
  <c r="N386" i="2"/>
  <c r="N386" i="1" s="1"/>
  <c r="N385" i="2"/>
  <c r="L385" i="2"/>
  <c r="N384" i="2"/>
  <c r="L384" i="2"/>
  <c r="O384" i="2" s="1"/>
  <c r="N383" i="2"/>
  <c r="L383" i="2"/>
  <c r="N382" i="2"/>
  <c r="L382" i="2"/>
  <c r="J381" i="2"/>
  <c r="I381" i="2"/>
  <c r="N380" i="2"/>
  <c r="L380" i="2"/>
  <c r="O380" i="2" s="1"/>
  <c r="J380" i="2"/>
  <c r="I380" i="2"/>
  <c r="J379" i="2"/>
  <c r="J378" i="2"/>
  <c r="J378" i="1" s="1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J368" i="2"/>
  <c r="I368" i="2"/>
  <c r="K368" i="2" s="1"/>
  <c r="J367" i="2"/>
  <c r="J366" i="2"/>
  <c r="K365" i="2"/>
  <c r="J365" i="2"/>
  <c r="I365" i="2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N352" i="2"/>
  <c r="L352" i="2"/>
  <c r="N351" i="2"/>
  <c r="L351" i="2"/>
  <c r="J350" i="2"/>
  <c r="I350" i="2"/>
  <c r="K350" i="2" s="1"/>
  <c r="N349" i="2"/>
  <c r="L349" i="2"/>
  <c r="O349" i="2" s="1"/>
  <c r="J349" i="2"/>
  <c r="J349" i="1" s="1"/>
  <c r="I349" i="2"/>
  <c r="K349" i="2" s="1"/>
  <c r="N347" i="2"/>
  <c r="L347" i="2"/>
  <c r="J346" i="2"/>
  <c r="J346" i="1" s="1"/>
  <c r="I346" i="2"/>
  <c r="K346" i="2" s="1"/>
  <c r="J345" i="2"/>
  <c r="I345" i="2"/>
  <c r="J344" i="2"/>
  <c r="I344" i="2"/>
  <c r="J343" i="2"/>
  <c r="I343" i="2"/>
  <c r="J342" i="2"/>
  <c r="I342" i="2"/>
  <c r="K342" i="2" s="1"/>
  <c r="J341" i="2"/>
  <c r="I341" i="2"/>
  <c r="J340" i="2"/>
  <c r="J340" i="1" s="1"/>
  <c r="I340" i="2"/>
  <c r="J339" i="2"/>
  <c r="I339" i="2"/>
  <c r="N337" i="2"/>
  <c r="L337" i="2"/>
  <c r="O337" i="2" s="1"/>
  <c r="L335" i="2"/>
  <c r="L334" i="2"/>
  <c r="N333" i="2"/>
  <c r="N331" i="2" s="1"/>
  <c r="N329" i="2" s="1"/>
  <c r="M333" i="2"/>
  <c r="O332" i="2"/>
  <c r="P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J320" i="1" s="1"/>
  <c r="N318" i="2"/>
  <c r="L318" i="2"/>
  <c r="O318" i="2" s="1"/>
  <c r="L316" i="2"/>
  <c r="L315" i="2"/>
  <c r="N314" i="2"/>
  <c r="N312" i="2" s="1"/>
  <c r="M314" i="2"/>
  <c r="O313" i="2"/>
  <c r="M312" i="2"/>
  <c r="P311" i="2"/>
  <c r="O311" i="2"/>
  <c r="N311" i="2"/>
  <c r="M311" i="2"/>
  <c r="L311" i="2"/>
  <c r="J309" i="2"/>
  <c r="I309" i="2"/>
  <c r="J308" i="2"/>
  <c r="J308" i="1" s="1"/>
  <c r="J307" i="2"/>
  <c r="J306" i="2"/>
  <c r="I306" i="2"/>
  <c r="K306" i="2" s="1"/>
  <c r="J304" i="2"/>
  <c r="I304" i="2"/>
  <c r="K304" i="2" s="1"/>
  <c r="J303" i="2"/>
  <c r="J302" i="2"/>
  <c r="J301" i="2"/>
  <c r="J301" i="1" s="1"/>
  <c r="J300" i="2"/>
  <c r="N298" i="2"/>
  <c r="L298" i="2"/>
  <c r="O298" i="2" s="1"/>
  <c r="L296" i="2"/>
  <c r="L295" i="2"/>
  <c r="N294" i="2"/>
  <c r="M294" i="2"/>
  <c r="M292" i="2" s="1"/>
  <c r="P292" i="2" s="1"/>
  <c r="O293" i="2"/>
  <c r="P291" i="2"/>
  <c r="O291" i="2"/>
  <c r="N291" i="2"/>
  <c r="M291" i="2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O272" i="2"/>
  <c r="N272" i="2"/>
  <c r="M272" i="2"/>
  <c r="L272" i="2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J263" i="2"/>
  <c r="J262" i="2"/>
  <c r="J261" i="2"/>
  <c r="J260" i="2"/>
  <c r="N258" i="2"/>
  <c r="L258" i="2"/>
  <c r="L256" i="2"/>
  <c r="L255" i="2"/>
  <c r="N254" i="2"/>
  <c r="N252" i="2" s="1"/>
  <c r="N250" i="2" s="1"/>
  <c r="M254" i="2"/>
  <c r="O253" i="2"/>
  <c r="P251" i="2"/>
  <c r="N251" i="2"/>
  <c r="M251" i="2"/>
  <c r="L251" i="2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K235" i="2" s="1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O221" i="2"/>
  <c r="N221" i="2"/>
  <c r="M221" i="2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9" i="1" s="1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I189" i="1" s="1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9" i="1" s="1"/>
  <c r="J164" i="2"/>
  <c r="I164" i="2"/>
  <c r="J163" i="2"/>
  <c r="J162" i="2"/>
  <c r="J161" i="2"/>
  <c r="J160" i="2"/>
  <c r="J159" i="2"/>
  <c r="J158" i="2"/>
  <c r="I158" i="2"/>
  <c r="J157" i="2"/>
  <c r="J156" i="2"/>
  <c r="J155" i="2"/>
  <c r="J155" i="1" s="1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N141" i="2"/>
  <c r="M141" i="2"/>
  <c r="L141" i="2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O119" i="2"/>
  <c r="N119" i="2"/>
  <c r="M119" i="2"/>
  <c r="L119" i="2"/>
  <c r="J117" i="2"/>
  <c r="I117" i="2"/>
  <c r="J115" i="2"/>
  <c r="J115" i="1" s="1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M96" i="2" s="1"/>
  <c r="O97" i="2"/>
  <c r="P95" i="2"/>
  <c r="O95" i="2"/>
  <c r="N95" i="2"/>
  <c r="M95" i="2"/>
  <c r="L95" i="2"/>
  <c r="J93" i="2"/>
  <c r="I93" i="2"/>
  <c r="K93" i="2" s="1"/>
  <c r="J92" i="2"/>
  <c r="J92" i="1" s="1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M68" i="2" s="1"/>
  <c r="P68" i="2" s="1"/>
  <c r="O69" i="2"/>
  <c r="P67" i="2"/>
  <c r="O67" i="2"/>
  <c r="N67" i="2"/>
  <c r="M67" i="2"/>
  <c r="L67" i="2"/>
  <c r="M66" i="2"/>
  <c r="P66" i="2" s="1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M55" i="2" s="1"/>
  <c r="P54" i="2"/>
  <c r="O54" i="2"/>
  <c r="N54" i="2"/>
  <c r="M54" i="2"/>
  <c r="L54" i="2"/>
  <c r="N49" i="2"/>
  <c r="L49" i="2"/>
  <c r="O49" i="2" s="1"/>
  <c r="L47" i="2"/>
  <c r="L46" i="2"/>
  <c r="N45" i="2"/>
  <c r="M45" i="2"/>
  <c r="P42" i="2"/>
  <c r="N42" i="2"/>
  <c r="M42" i="2"/>
  <c r="L42" i="2"/>
  <c r="P36" i="2"/>
  <c r="O36" i="2"/>
  <c r="P35" i="2"/>
  <c r="O35" i="2"/>
  <c r="P34" i="2"/>
  <c r="M34" i="2"/>
  <c r="P33" i="2"/>
  <c r="M33" i="2"/>
  <c r="M32" i="2"/>
  <c r="M30" i="2" s="1"/>
  <c r="P30" i="2" s="1"/>
  <c r="M31" i="2"/>
  <c r="M26" i="2"/>
  <c r="P25" i="2"/>
  <c r="O25" i="2"/>
  <c r="N25" i="2"/>
  <c r="N15" i="2" s="1"/>
  <c r="M25" i="2"/>
  <c r="L25" i="2"/>
  <c r="P24" i="2"/>
  <c r="N24" i="2"/>
  <c r="M24" i="2"/>
  <c r="P23" i="2"/>
  <c r="N23" i="2"/>
  <c r="M23" i="2"/>
  <c r="P21" i="2"/>
  <c r="O21" i="2"/>
  <c r="N21" i="2"/>
  <c r="M21" i="2"/>
  <c r="L21" i="2"/>
  <c r="P19" i="2"/>
  <c r="M19" i="2"/>
  <c r="L19" i="2"/>
  <c r="P15" i="2"/>
  <c r="M15" i="2"/>
  <c r="L15" i="2"/>
  <c r="O15" i="2" s="1"/>
  <c r="P14" i="2"/>
  <c r="M14" i="2"/>
  <c r="M13" i="2"/>
  <c r="P13" i="2" s="1"/>
  <c r="J672" i="1"/>
  <c r="O639" i="1"/>
  <c r="O637" i="1"/>
  <c r="L598" i="1"/>
  <c r="O598" i="1" s="1"/>
  <c r="I590" i="1"/>
  <c r="K590" i="1" s="1"/>
  <c r="I578" i="1"/>
  <c r="K578" i="1" s="1"/>
  <c r="N556" i="1"/>
  <c r="I548" i="1"/>
  <c r="K548" i="1" s="1"/>
  <c r="J544" i="1"/>
  <c r="I510" i="1"/>
  <c r="K510" i="1" s="1"/>
  <c r="J476" i="1"/>
  <c r="I476" i="1"/>
  <c r="K476" i="1" s="1"/>
  <c r="I472" i="1"/>
  <c r="K472" i="1" s="1"/>
  <c r="J468" i="1"/>
  <c r="J446" i="1"/>
  <c r="J429" i="1"/>
  <c r="I429" i="1"/>
  <c r="I425" i="1"/>
  <c r="I423" i="1"/>
  <c r="I417" i="1"/>
  <c r="J399" i="1"/>
  <c r="N387" i="1"/>
  <c r="L385" i="1"/>
  <c r="I365" i="1"/>
  <c r="K365" i="1" s="1"/>
  <c r="L354" i="1"/>
  <c r="J350" i="1"/>
  <c r="J345" i="1"/>
  <c r="J342" i="1"/>
  <c r="I340" i="1"/>
  <c r="N337" i="1"/>
  <c r="L336" i="1"/>
  <c r="M333" i="1"/>
  <c r="O332" i="1"/>
  <c r="N332" i="1"/>
  <c r="M332" i="1"/>
  <c r="L332" i="1"/>
  <c r="P330" i="1"/>
  <c r="M330" i="1"/>
  <c r="L330" i="1"/>
  <c r="O330" i="1" s="1"/>
  <c r="I328" i="1"/>
  <c r="J326" i="1"/>
  <c r="N318" i="1"/>
  <c r="L317" i="1"/>
  <c r="N313" i="1"/>
  <c r="M313" i="1"/>
  <c r="L313" i="1"/>
  <c r="O313" i="1" s="1"/>
  <c r="N311" i="1"/>
  <c r="J307" i="1"/>
  <c r="L297" i="1"/>
  <c r="N293" i="1"/>
  <c r="M293" i="1"/>
  <c r="M21" i="1" s="1"/>
  <c r="L293" i="1"/>
  <c r="O293" i="1" s="1"/>
  <c r="P291" i="1"/>
  <c r="O291" i="1"/>
  <c r="M291" i="1"/>
  <c r="L291" i="1"/>
  <c r="J284" i="1"/>
  <c r="J281" i="1"/>
  <c r="L278" i="1"/>
  <c r="M275" i="1"/>
  <c r="O274" i="1"/>
  <c r="N274" i="1"/>
  <c r="M274" i="1"/>
  <c r="L274" i="1"/>
  <c r="N272" i="1"/>
  <c r="M272" i="1"/>
  <c r="P272" i="1" s="1"/>
  <c r="L272" i="1"/>
  <c r="O272" i="1" s="1"/>
  <c r="J266" i="1"/>
  <c r="I266" i="1"/>
  <c r="L257" i="1"/>
  <c r="L255" i="1"/>
  <c r="O253" i="1"/>
  <c r="N253" i="1"/>
  <c r="M253" i="1"/>
  <c r="L253" i="1"/>
  <c r="P251" i="1"/>
  <c r="M251" i="1"/>
  <c r="L251" i="1"/>
  <c r="O251" i="1" s="1"/>
  <c r="J244" i="1"/>
  <c r="J240" i="1"/>
  <c r="J238" i="1"/>
  <c r="I238" i="1"/>
  <c r="K238" i="1" s="1"/>
  <c r="J232" i="1"/>
  <c r="L227" i="1"/>
  <c r="N224" i="1"/>
  <c r="O223" i="1"/>
  <c r="N223" i="1"/>
  <c r="M223" i="1"/>
  <c r="L223" i="1"/>
  <c r="N221" i="1"/>
  <c r="M221" i="1"/>
  <c r="P221" i="1" s="1"/>
  <c r="L221" i="1"/>
  <c r="O221" i="1" s="1"/>
  <c r="I219" i="1"/>
  <c r="J214" i="1"/>
  <c r="I214" i="1"/>
  <c r="I213" i="1"/>
  <c r="J198" i="1"/>
  <c r="J195" i="1"/>
  <c r="I186" i="1"/>
  <c r="J183" i="1"/>
  <c r="I176" i="1"/>
  <c r="I173" i="1"/>
  <c r="J164" i="1"/>
  <c r="J154" i="1"/>
  <c r="N148" i="1"/>
  <c r="M148" i="1"/>
  <c r="L147" i="1"/>
  <c r="O143" i="1"/>
  <c r="N143" i="1"/>
  <c r="M143" i="1"/>
  <c r="L143" i="1"/>
  <c r="M141" i="1"/>
  <c r="P141" i="1" s="1"/>
  <c r="L141" i="1"/>
  <c r="O141" i="1" s="1"/>
  <c r="J138" i="1"/>
  <c r="J130" i="1"/>
  <c r="L125" i="1"/>
  <c r="N122" i="1"/>
  <c r="N121" i="1"/>
  <c r="M121" i="1"/>
  <c r="L121" i="1"/>
  <c r="O121" i="1" s="1"/>
  <c r="N119" i="1"/>
  <c r="M119" i="1"/>
  <c r="P119" i="1" s="1"/>
  <c r="I111" i="1"/>
  <c r="I108" i="1"/>
  <c r="J105" i="1"/>
  <c r="L101" i="1"/>
  <c r="L99" i="1"/>
  <c r="O97" i="1"/>
  <c r="N97" i="1"/>
  <c r="M97" i="1"/>
  <c r="L97" i="1"/>
  <c r="M95" i="1"/>
  <c r="P95" i="1" s="1"/>
  <c r="L95" i="1"/>
  <c r="O95" i="1" s="1"/>
  <c r="I87" i="1"/>
  <c r="J86" i="1"/>
  <c r="J84" i="1"/>
  <c r="J80" i="1"/>
  <c r="J76" i="1"/>
  <c r="M74" i="1"/>
  <c r="L73" i="1"/>
  <c r="L72" i="1"/>
  <c r="N70" i="1"/>
  <c r="M70" i="1"/>
  <c r="O69" i="1"/>
  <c r="N69" i="1"/>
  <c r="N21" i="1" s="1"/>
  <c r="N19" i="1" s="1"/>
  <c r="M69" i="1"/>
  <c r="L69" i="1"/>
  <c r="N67" i="1"/>
  <c r="L67" i="1"/>
  <c r="O67" i="1" s="1"/>
  <c r="J65" i="1"/>
  <c r="J64" i="1"/>
  <c r="N61" i="1"/>
  <c r="L60" i="1"/>
  <c r="L56" i="1"/>
  <c r="L54" i="1" s="1"/>
  <c r="N54" i="1"/>
  <c r="M54" i="1"/>
  <c r="L48" i="1"/>
  <c r="L46" i="1"/>
  <c r="L44" i="1"/>
  <c r="N42" i="1"/>
  <c r="M42" i="1"/>
  <c r="P42" i="1" s="1"/>
  <c r="P36" i="1"/>
  <c r="O36" i="1"/>
  <c r="P35" i="1"/>
  <c r="O35" i="1"/>
  <c r="M34" i="1"/>
  <c r="M33" i="1"/>
  <c r="P33" i="1" s="1"/>
  <c r="P32" i="1"/>
  <c r="M32" i="1"/>
  <c r="P31" i="1"/>
  <c r="M31" i="1"/>
  <c r="M29" i="1" s="1"/>
  <c r="M30" i="1"/>
  <c r="P30" i="1" s="1"/>
  <c r="N25" i="1"/>
  <c r="M25" i="1"/>
  <c r="N24" i="1"/>
  <c r="M24" i="1"/>
  <c r="P24" i="1" s="1"/>
  <c r="P23" i="1"/>
  <c r="N23" i="1"/>
  <c r="M23" i="1"/>
  <c r="N15" i="1"/>
  <c r="P13" i="1"/>
  <c r="M13" i="1"/>
  <c r="N572" i="1" l="1"/>
  <c r="N580" i="1"/>
  <c r="J622" i="1"/>
  <c r="K576" i="7"/>
  <c r="I576" i="1"/>
  <c r="K576" i="1" s="1"/>
  <c r="K117" i="10"/>
  <c r="I117" i="1"/>
  <c r="J104" i="1"/>
  <c r="J666" i="1"/>
  <c r="L256" i="1"/>
  <c r="O318" i="4"/>
  <c r="L318" i="1"/>
  <c r="O318" i="1" s="1"/>
  <c r="J594" i="1"/>
  <c r="K173" i="1"/>
  <c r="I368" i="1"/>
  <c r="I494" i="1"/>
  <c r="K494" i="1" s="1"/>
  <c r="J287" i="1"/>
  <c r="K508" i="9"/>
  <c r="I508" i="1"/>
  <c r="K508" i="1" s="1"/>
  <c r="I564" i="1"/>
  <c r="O567" i="9"/>
  <c r="L567" i="1"/>
  <c r="O567" i="1" s="1"/>
  <c r="K591" i="9"/>
  <c r="I591" i="1"/>
  <c r="K496" i="12"/>
  <c r="I496" i="1"/>
  <c r="K496" i="1" s="1"/>
  <c r="K427" i="5"/>
  <c r="I427" i="1"/>
  <c r="N601" i="1"/>
  <c r="I529" i="1"/>
  <c r="J549" i="1"/>
  <c r="L553" i="1"/>
  <c r="J591" i="1"/>
  <c r="J595" i="1"/>
  <c r="N598" i="1"/>
  <c r="J611" i="1"/>
  <c r="J619" i="1"/>
  <c r="L334" i="1"/>
  <c r="I345" i="1"/>
  <c r="K345" i="1" s="1"/>
  <c r="J380" i="1"/>
  <c r="K490" i="5"/>
  <c r="I490" i="1"/>
  <c r="K490" i="1" s="1"/>
  <c r="K579" i="10"/>
  <c r="I579" i="1"/>
  <c r="K579" i="1" s="1"/>
  <c r="I110" i="1"/>
  <c r="K342" i="3"/>
  <c r="I342" i="1"/>
  <c r="K342" i="1" s="1"/>
  <c r="J369" i="1"/>
  <c r="N57" i="1"/>
  <c r="N55" i="1" s="1"/>
  <c r="N53" i="1" s="1"/>
  <c r="I88" i="1"/>
  <c r="K502" i="5"/>
  <c r="I502" i="1"/>
  <c r="K502" i="1" s="1"/>
  <c r="L61" i="1"/>
  <c r="O61" i="1" s="1"/>
  <c r="I80" i="1"/>
  <c r="I132" i="1"/>
  <c r="K132" i="1" s="1"/>
  <c r="J391" i="1"/>
  <c r="O406" i="2"/>
  <c r="L406" i="1"/>
  <c r="K306" i="3"/>
  <c r="I306" i="1"/>
  <c r="K431" i="5"/>
  <c r="I431" i="1"/>
  <c r="K343" i="1"/>
  <c r="L565" i="1"/>
  <c r="O565" i="1" s="1"/>
  <c r="J526" i="1"/>
  <c r="J77" i="1"/>
  <c r="N142" i="2"/>
  <c r="N140" i="2" s="1"/>
  <c r="O258" i="2"/>
  <c r="L258" i="1"/>
  <c r="O258" i="1" s="1"/>
  <c r="L315" i="1"/>
  <c r="I324" i="1"/>
  <c r="K324" i="1" s="1"/>
  <c r="J128" i="1"/>
  <c r="J215" i="1"/>
  <c r="O438" i="8"/>
  <c r="L438" i="1"/>
  <c r="O438" i="1" s="1"/>
  <c r="I235" i="1"/>
  <c r="O533" i="3"/>
  <c r="N533" i="1"/>
  <c r="J580" i="1"/>
  <c r="K580" i="1" s="1"/>
  <c r="N583" i="1"/>
  <c r="J579" i="1"/>
  <c r="J647" i="1"/>
  <c r="O650" i="14"/>
  <c r="L650" i="1"/>
  <c r="N55" i="2"/>
  <c r="L316" i="1"/>
  <c r="J324" i="1"/>
  <c r="J477" i="1"/>
  <c r="J497" i="1"/>
  <c r="J505" i="1"/>
  <c r="J513" i="1"/>
  <c r="K533" i="2"/>
  <c r="J628" i="1"/>
  <c r="J632" i="1"/>
  <c r="J659" i="1"/>
  <c r="N55" i="3"/>
  <c r="K83" i="3"/>
  <c r="K138" i="3"/>
  <c r="K235" i="3"/>
  <c r="K264" i="3"/>
  <c r="L57" i="4"/>
  <c r="N142" i="6"/>
  <c r="N140" i="6" s="1"/>
  <c r="K416" i="6"/>
  <c r="K635" i="6"/>
  <c r="O533" i="7"/>
  <c r="K149" i="8"/>
  <c r="O582" i="8"/>
  <c r="O406" i="9"/>
  <c r="K431" i="9"/>
  <c r="O406" i="10"/>
  <c r="K419" i="10"/>
  <c r="K423" i="10"/>
  <c r="K427" i="10"/>
  <c r="K629" i="10"/>
  <c r="K665" i="11"/>
  <c r="K375" i="12"/>
  <c r="K397" i="12"/>
  <c r="K426" i="12"/>
  <c r="K631" i="12"/>
  <c r="L98" i="14"/>
  <c r="K213" i="15"/>
  <c r="K372" i="15"/>
  <c r="K497" i="15"/>
  <c r="K343" i="16"/>
  <c r="N31" i="16"/>
  <c r="K564" i="16"/>
  <c r="K632" i="16"/>
  <c r="K632" i="17"/>
  <c r="N49" i="1"/>
  <c r="L58" i="1"/>
  <c r="J229" i="1"/>
  <c r="K229" i="1" s="1"/>
  <c r="J415" i="1"/>
  <c r="N461" i="1"/>
  <c r="I474" i="1"/>
  <c r="N582" i="1"/>
  <c r="J618" i="1"/>
  <c r="N34" i="5"/>
  <c r="N14" i="5" s="1"/>
  <c r="J200" i="1"/>
  <c r="J210" i="1"/>
  <c r="J216" i="1"/>
  <c r="J265" i="1"/>
  <c r="J270" i="1"/>
  <c r="J607" i="1"/>
  <c r="I621" i="1"/>
  <c r="I630" i="1"/>
  <c r="L59" i="1"/>
  <c r="L668" i="1"/>
  <c r="L70" i="2"/>
  <c r="I580" i="1"/>
  <c r="K620" i="2"/>
  <c r="P98" i="3"/>
  <c r="K632" i="3"/>
  <c r="K628" i="6"/>
  <c r="K632" i="6"/>
  <c r="K649" i="6"/>
  <c r="P45" i="7"/>
  <c r="N96" i="7"/>
  <c r="N94" i="7" s="1"/>
  <c r="K547" i="7"/>
  <c r="K482" i="8"/>
  <c r="K580" i="8"/>
  <c r="K634" i="8"/>
  <c r="K173" i="9"/>
  <c r="K189" i="9"/>
  <c r="K235" i="9"/>
  <c r="L45" i="11"/>
  <c r="K138" i="11"/>
  <c r="K173" i="11"/>
  <c r="L314" i="11"/>
  <c r="O354" i="11"/>
  <c r="O435" i="11"/>
  <c r="O537" i="11"/>
  <c r="K93" i="12"/>
  <c r="L98" i="12"/>
  <c r="K108" i="12"/>
  <c r="L333" i="13"/>
  <c r="O333" i="13" s="1"/>
  <c r="K341" i="13"/>
  <c r="K345" i="13"/>
  <c r="K80" i="15"/>
  <c r="K88" i="15"/>
  <c r="K350" i="15"/>
  <c r="K497" i="16"/>
  <c r="K350" i="18"/>
  <c r="K498" i="18"/>
  <c r="J394" i="1"/>
  <c r="N403" i="1"/>
  <c r="J416" i="1"/>
  <c r="J420" i="1"/>
  <c r="J428" i="1"/>
  <c r="J432" i="1"/>
  <c r="J467" i="1"/>
  <c r="J475" i="1"/>
  <c r="J487" i="1"/>
  <c r="J491" i="1"/>
  <c r="J495" i="1"/>
  <c r="J499" i="1"/>
  <c r="I531" i="1"/>
  <c r="M98" i="1"/>
  <c r="J106" i="1"/>
  <c r="N120" i="11"/>
  <c r="P120" i="11" s="1"/>
  <c r="I381" i="1"/>
  <c r="N68" i="13"/>
  <c r="N126" i="1"/>
  <c r="J133" i="1"/>
  <c r="I149" i="1"/>
  <c r="J159" i="1"/>
  <c r="J170" i="1"/>
  <c r="J186" i="1"/>
  <c r="K186" i="1" s="1"/>
  <c r="J197" i="1"/>
  <c r="J203" i="1"/>
  <c r="J213" i="1"/>
  <c r="K219" i="2"/>
  <c r="L225" i="1"/>
  <c r="J233" i="1"/>
  <c r="J263" i="1"/>
  <c r="J267" i="1"/>
  <c r="L353" i="1"/>
  <c r="O353" i="1" s="1"/>
  <c r="J370" i="1"/>
  <c r="J88" i="1"/>
  <c r="L98" i="3"/>
  <c r="J108" i="1"/>
  <c r="I158" i="1"/>
  <c r="J175" i="1"/>
  <c r="J231" i="1"/>
  <c r="I285" i="1"/>
  <c r="N298" i="1"/>
  <c r="J321" i="1"/>
  <c r="N358" i="1"/>
  <c r="I375" i="1"/>
  <c r="L383" i="1"/>
  <c r="J412" i="1"/>
  <c r="I435" i="1"/>
  <c r="I451" i="1"/>
  <c r="L455" i="1"/>
  <c r="I517" i="1"/>
  <c r="J135" i="1"/>
  <c r="I199" i="1"/>
  <c r="I204" i="1"/>
  <c r="J262" i="1"/>
  <c r="J286" i="1"/>
  <c r="J676" i="1"/>
  <c r="M312" i="6"/>
  <c r="N651" i="1"/>
  <c r="I65" i="1"/>
  <c r="K65" i="1" s="1"/>
  <c r="J83" i="1"/>
  <c r="J93" i="1"/>
  <c r="J132" i="1"/>
  <c r="K380" i="7"/>
  <c r="L144" i="8"/>
  <c r="O144" i="8" s="1"/>
  <c r="J157" i="1"/>
  <c r="J174" i="1"/>
  <c r="I201" i="1"/>
  <c r="J211" i="1"/>
  <c r="J217" i="1"/>
  <c r="J479" i="1"/>
  <c r="L98" i="9"/>
  <c r="O98" i="9" s="1"/>
  <c r="O404" i="9"/>
  <c r="K417" i="9"/>
  <c r="K421" i="9"/>
  <c r="K425" i="9"/>
  <c r="K429" i="9"/>
  <c r="O584" i="10"/>
  <c r="K631" i="10"/>
  <c r="K635" i="10"/>
  <c r="K65" i="11"/>
  <c r="K185" i="11"/>
  <c r="K201" i="11"/>
  <c r="K285" i="11"/>
  <c r="O566" i="11"/>
  <c r="L70" i="13"/>
  <c r="K219" i="13"/>
  <c r="K423" i="13"/>
  <c r="K427" i="13"/>
  <c r="O435" i="13"/>
  <c r="K466" i="13"/>
  <c r="J651" i="13"/>
  <c r="N222" i="14"/>
  <c r="N220" i="14" s="1"/>
  <c r="N120" i="16"/>
  <c r="N118" i="16" s="1"/>
  <c r="K345" i="17"/>
  <c r="K249" i="18"/>
  <c r="J85" i="1"/>
  <c r="J109" i="1"/>
  <c r="J187" i="1"/>
  <c r="N410" i="1"/>
  <c r="J417" i="1"/>
  <c r="J421" i="1"/>
  <c r="J425" i="1"/>
  <c r="J434" i="1"/>
  <c r="J464" i="1"/>
  <c r="O580" i="2"/>
  <c r="N43" i="3"/>
  <c r="N41" i="3" s="1"/>
  <c r="N222" i="3"/>
  <c r="N220" i="3" s="1"/>
  <c r="J413" i="1"/>
  <c r="N455" i="1"/>
  <c r="N142" i="5"/>
  <c r="N55" i="7"/>
  <c r="N53" i="7" s="1"/>
  <c r="M331" i="11"/>
  <c r="M329" i="11" s="1"/>
  <c r="K620" i="12"/>
  <c r="N331" i="13"/>
  <c r="N329" i="13" s="1"/>
  <c r="K235" i="15"/>
  <c r="P275" i="15"/>
  <c r="K132" i="16"/>
  <c r="K189" i="16"/>
  <c r="K200" i="16"/>
  <c r="L254" i="16"/>
  <c r="O406" i="16"/>
  <c r="K350" i="17"/>
  <c r="J161" i="1"/>
  <c r="J323" i="1"/>
  <c r="O353" i="2"/>
  <c r="J361" i="1"/>
  <c r="J367" i="1"/>
  <c r="J375" i="1"/>
  <c r="N383" i="1"/>
  <c r="J397" i="1"/>
  <c r="N401" i="1"/>
  <c r="N405" i="1"/>
  <c r="K465" i="2"/>
  <c r="J564" i="1"/>
  <c r="N585" i="1"/>
  <c r="I595" i="1"/>
  <c r="I615" i="1"/>
  <c r="J631" i="1"/>
  <c r="J635" i="1"/>
  <c r="J651" i="2"/>
  <c r="K65" i="4"/>
  <c r="O435" i="6"/>
  <c r="O380" i="7"/>
  <c r="N120" i="8"/>
  <c r="N118" i="8" s="1"/>
  <c r="K632" i="8"/>
  <c r="K430" i="9"/>
  <c r="K435" i="9"/>
  <c r="K173" i="10"/>
  <c r="K200" i="10"/>
  <c r="K380" i="10"/>
  <c r="K418" i="10"/>
  <c r="O352" i="11"/>
  <c r="L57" i="12"/>
  <c r="L294" i="13"/>
  <c r="O294" i="13" s="1"/>
  <c r="K64" i="15"/>
  <c r="K117" i="15"/>
  <c r="L122" i="15"/>
  <c r="N273" i="16"/>
  <c r="N271" i="16" s="1"/>
  <c r="K499" i="16"/>
  <c r="K631" i="16"/>
  <c r="L224" i="17"/>
  <c r="K428" i="17"/>
  <c r="K108" i="18"/>
  <c r="L122" i="18"/>
  <c r="O122" i="18" s="1"/>
  <c r="N333" i="1"/>
  <c r="P333" i="1" s="1"/>
  <c r="K158" i="3"/>
  <c r="O333" i="3"/>
  <c r="J481" i="1"/>
  <c r="J518" i="1"/>
  <c r="J530" i="1"/>
  <c r="K369" i="11"/>
  <c r="I367" i="11"/>
  <c r="K367" i="11" s="1"/>
  <c r="I83" i="1"/>
  <c r="I113" i="1"/>
  <c r="I478" i="1"/>
  <c r="K478" i="1" s="1"/>
  <c r="I507" i="1"/>
  <c r="K507" i="1" s="1"/>
  <c r="J82" i="1"/>
  <c r="J129" i="1"/>
  <c r="K199" i="2"/>
  <c r="K345" i="2"/>
  <c r="K560" i="2"/>
  <c r="K623" i="2"/>
  <c r="K249" i="3"/>
  <c r="J392" i="1"/>
  <c r="I470" i="1"/>
  <c r="K470" i="1" s="1"/>
  <c r="J471" i="1"/>
  <c r="I597" i="1"/>
  <c r="I613" i="1"/>
  <c r="I523" i="1"/>
  <c r="I527" i="1"/>
  <c r="I185" i="1"/>
  <c r="L536" i="1"/>
  <c r="O536" i="1" s="1"/>
  <c r="K213" i="1"/>
  <c r="I244" i="1"/>
  <c r="K244" i="1" s="1"/>
  <c r="L276" i="1"/>
  <c r="I373" i="1"/>
  <c r="K373" i="1" s="1"/>
  <c r="I483" i="1"/>
  <c r="K483" i="1" s="1"/>
  <c r="L294" i="2"/>
  <c r="L292" i="2" s="1"/>
  <c r="O458" i="2"/>
  <c r="L566" i="1"/>
  <c r="K629" i="2"/>
  <c r="N292" i="3"/>
  <c r="N290" i="3" s="1"/>
  <c r="M96" i="10"/>
  <c r="P96" i="10" s="1"/>
  <c r="P98" i="10"/>
  <c r="I64" i="1"/>
  <c r="L146" i="1"/>
  <c r="I428" i="1"/>
  <c r="N462" i="1"/>
  <c r="I499" i="1"/>
  <c r="N537" i="1"/>
  <c r="J608" i="1"/>
  <c r="L74" i="1"/>
  <c r="I85" i="1"/>
  <c r="L126" i="1"/>
  <c r="O126" i="1" s="1"/>
  <c r="I138" i="1"/>
  <c r="J260" i="1"/>
  <c r="L100" i="1"/>
  <c r="L228" i="1"/>
  <c r="O228" i="1" s="1"/>
  <c r="J235" i="1"/>
  <c r="I249" i="1"/>
  <c r="M254" i="1"/>
  <c r="I265" i="1"/>
  <c r="K265" i="1" s="1"/>
  <c r="M294" i="1"/>
  <c r="P294" i="1" s="1"/>
  <c r="I346" i="1"/>
  <c r="K346" i="1" s="1"/>
  <c r="I486" i="1"/>
  <c r="K486" i="1" s="1"/>
  <c r="L648" i="1"/>
  <c r="M22" i="2"/>
  <c r="L254" i="14"/>
  <c r="L252" i="14" s="1"/>
  <c r="M45" i="1"/>
  <c r="P148" i="1"/>
  <c r="N254" i="1"/>
  <c r="P254" i="1" s="1"/>
  <c r="L279" i="1"/>
  <c r="O279" i="1" s="1"/>
  <c r="K466" i="2"/>
  <c r="K481" i="2"/>
  <c r="K201" i="3"/>
  <c r="K340" i="3"/>
  <c r="N553" i="1"/>
  <c r="O553" i="1" s="1"/>
  <c r="J575" i="1"/>
  <c r="N31" i="5"/>
  <c r="N29" i="5" s="1"/>
  <c r="O385" i="8"/>
  <c r="L34" i="8"/>
  <c r="K270" i="13"/>
  <c r="K564" i="3"/>
  <c r="K249" i="4"/>
  <c r="L333" i="4"/>
  <c r="L331" i="4" s="1"/>
  <c r="K482" i="4"/>
  <c r="I551" i="1"/>
  <c r="K551" i="1" s="1"/>
  <c r="L45" i="5"/>
  <c r="O45" i="5" s="1"/>
  <c r="K158" i="5"/>
  <c r="K219" i="5"/>
  <c r="K229" i="5"/>
  <c r="K377" i="6"/>
  <c r="K381" i="6"/>
  <c r="K449" i="6"/>
  <c r="K630" i="6"/>
  <c r="K229" i="7"/>
  <c r="O347" i="7"/>
  <c r="K424" i="7"/>
  <c r="K499" i="7"/>
  <c r="J671" i="8"/>
  <c r="L333" i="9"/>
  <c r="K345" i="9"/>
  <c r="O383" i="9"/>
  <c r="O566" i="9"/>
  <c r="K285" i="10"/>
  <c r="K417" i="10"/>
  <c r="K425" i="10"/>
  <c r="K455" i="10"/>
  <c r="K64" i="11"/>
  <c r="K199" i="11"/>
  <c r="L224" i="11"/>
  <c r="L222" i="11" s="1"/>
  <c r="K249" i="11"/>
  <c r="K328" i="11"/>
  <c r="O564" i="11"/>
  <c r="K595" i="11"/>
  <c r="K649" i="11"/>
  <c r="N142" i="12"/>
  <c r="N140" i="12" s="1"/>
  <c r="K377" i="12"/>
  <c r="K424" i="12"/>
  <c r="N120" i="13"/>
  <c r="K343" i="13"/>
  <c r="O439" i="13"/>
  <c r="K482" i="13"/>
  <c r="O584" i="13"/>
  <c r="K431" i="14"/>
  <c r="K498" i="14"/>
  <c r="K630" i="14"/>
  <c r="L144" i="15"/>
  <c r="K343" i="15"/>
  <c r="K420" i="15"/>
  <c r="K428" i="15"/>
  <c r="K432" i="15"/>
  <c r="N292" i="17"/>
  <c r="N290" i="17" s="1"/>
  <c r="K665" i="15"/>
  <c r="J671" i="15"/>
  <c r="K671" i="15" s="1"/>
  <c r="L294" i="16"/>
  <c r="O294" i="16" s="1"/>
  <c r="K350" i="16"/>
  <c r="O582" i="16"/>
  <c r="K93" i="17"/>
  <c r="P98" i="17"/>
  <c r="N120" i="17"/>
  <c r="P144" i="17"/>
  <c r="K173" i="17"/>
  <c r="K200" i="17"/>
  <c r="O661" i="17"/>
  <c r="K265" i="18"/>
  <c r="K306" i="18"/>
  <c r="K417" i="18"/>
  <c r="K425" i="18"/>
  <c r="O537" i="18"/>
  <c r="O564" i="18"/>
  <c r="K573" i="18"/>
  <c r="K628" i="18"/>
  <c r="K668" i="18"/>
  <c r="I623" i="1"/>
  <c r="O144" i="4"/>
  <c r="L254" i="4"/>
  <c r="L252" i="4" s="1"/>
  <c r="L250" i="4" s="1"/>
  <c r="K264" i="4"/>
  <c r="J667" i="1"/>
  <c r="J677" i="1"/>
  <c r="K149" i="5"/>
  <c r="P224" i="5"/>
  <c r="L275" i="5"/>
  <c r="O275" i="5" s="1"/>
  <c r="L43" i="6"/>
  <c r="N442" i="1"/>
  <c r="O566" i="6"/>
  <c r="L601" i="1"/>
  <c r="O601" i="1" s="1"/>
  <c r="I618" i="1"/>
  <c r="I631" i="1"/>
  <c r="K631" i="1" s="1"/>
  <c r="J655" i="1"/>
  <c r="N661" i="1"/>
  <c r="K340" i="7"/>
  <c r="O352" i="7"/>
  <c r="K591" i="7"/>
  <c r="J671" i="7"/>
  <c r="K455" i="8"/>
  <c r="N644" i="10"/>
  <c r="N640" i="10" s="1"/>
  <c r="N638" i="10" s="1"/>
  <c r="N636" i="10" s="1"/>
  <c r="L45" i="13"/>
  <c r="O533" i="13"/>
  <c r="O568" i="13"/>
  <c r="K92" i="14"/>
  <c r="P55" i="18"/>
  <c r="K343" i="4"/>
  <c r="K381" i="4"/>
  <c r="N566" i="1"/>
  <c r="J590" i="1"/>
  <c r="N597" i="1"/>
  <c r="O597" i="1" s="1"/>
  <c r="J614" i="1"/>
  <c r="O597" i="5"/>
  <c r="O601" i="5"/>
  <c r="N96" i="6"/>
  <c r="N94" i="6" s="1"/>
  <c r="K117" i="6"/>
  <c r="N331" i="6"/>
  <c r="N329" i="6" s="1"/>
  <c r="K401" i="6"/>
  <c r="N404" i="1"/>
  <c r="I492" i="1"/>
  <c r="K492" i="1" s="1"/>
  <c r="I573" i="1"/>
  <c r="N252" i="7"/>
  <c r="N250" i="7" s="1"/>
  <c r="O455" i="7"/>
  <c r="K465" i="7"/>
  <c r="K473" i="7"/>
  <c r="K481" i="7"/>
  <c r="L70" i="10"/>
  <c r="L68" i="10" s="1"/>
  <c r="L66" i="10" s="1"/>
  <c r="K80" i="10"/>
  <c r="K201" i="10"/>
  <c r="N273" i="11"/>
  <c r="N271" i="11" s="1"/>
  <c r="N43" i="12"/>
  <c r="N41" i="12" s="1"/>
  <c r="N96" i="12"/>
  <c r="N94" i="12" s="1"/>
  <c r="K396" i="12"/>
  <c r="K455" i="12"/>
  <c r="K450" i="13"/>
  <c r="O537" i="13"/>
  <c r="N252" i="14"/>
  <c r="K270" i="14"/>
  <c r="N273" i="14"/>
  <c r="N271" i="14" s="1"/>
  <c r="K401" i="14"/>
  <c r="K417" i="14"/>
  <c r="K421" i="14"/>
  <c r="K425" i="14"/>
  <c r="O566" i="14"/>
  <c r="N43" i="15"/>
  <c r="O661" i="15"/>
  <c r="P120" i="16"/>
  <c r="K428" i="16"/>
  <c r="K132" i="17"/>
  <c r="K235" i="17"/>
  <c r="K377" i="17"/>
  <c r="O551" i="17"/>
  <c r="O601" i="17"/>
  <c r="K631" i="17"/>
  <c r="K635" i="17"/>
  <c r="L45" i="18"/>
  <c r="P57" i="18"/>
  <c r="K65" i="18"/>
  <c r="K86" i="18"/>
  <c r="K92" i="18"/>
  <c r="K285" i="18"/>
  <c r="K341" i="18"/>
  <c r="K375" i="18"/>
  <c r="K422" i="18"/>
  <c r="K663" i="4"/>
  <c r="L70" i="5"/>
  <c r="N273" i="5"/>
  <c r="N271" i="5" s="1"/>
  <c r="K328" i="5"/>
  <c r="N252" i="6"/>
  <c r="N250" i="6" s="1"/>
  <c r="K617" i="6"/>
  <c r="J651" i="6"/>
  <c r="K651" i="6" s="1"/>
  <c r="J651" i="7"/>
  <c r="L224" i="8"/>
  <c r="L314" i="9"/>
  <c r="L312" i="9" s="1"/>
  <c r="N312" i="10"/>
  <c r="N310" i="10" s="1"/>
  <c r="K229" i="11"/>
  <c r="O337" i="11"/>
  <c r="N118" i="13"/>
  <c r="N34" i="15"/>
  <c r="N14" i="15" s="1"/>
  <c r="L45" i="2"/>
  <c r="I520" i="1"/>
  <c r="N534" i="1"/>
  <c r="J547" i="1"/>
  <c r="N120" i="3"/>
  <c r="N118" i="3" s="1"/>
  <c r="P144" i="3"/>
  <c r="K173" i="3"/>
  <c r="N43" i="4"/>
  <c r="N41" i="4" s="1"/>
  <c r="J508" i="1"/>
  <c r="J516" i="1"/>
  <c r="J528" i="1"/>
  <c r="J532" i="1"/>
  <c r="K235" i="5"/>
  <c r="L459" i="1"/>
  <c r="J548" i="1"/>
  <c r="K591" i="5"/>
  <c r="N603" i="1"/>
  <c r="N292" i="6"/>
  <c r="N290" i="6" s="1"/>
  <c r="I521" i="1"/>
  <c r="I525" i="1"/>
  <c r="J543" i="1"/>
  <c r="O568" i="6"/>
  <c r="N292" i="7"/>
  <c r="N290" i="7" s="1"/>
  <c r="K376" i="7"/>
  <c r="P254" i="8"/>
  <c r="N312" i="8"/>
  <c r="N310" i="8" s="1"/>
  <c r="L333" i="8"/>
  <c r="K345" i="8"/>
  <c r="O349" i="8"/>
  <c r="K613" i="8"/>
  <c r="N252" i="10"/>
  <c r="N250" i="10" s="1"/>
  <c r="J671" i="10"/>
  <c r="K593" i="11"/>
  <c r="N292" i="12"/>
  <c r="N290" i="12" s="1"/>
  <c r="K350" i="12"/>
  <c r="N312" i="13"/>
  <c r="N310" i="13" s="1"/>
  <c r="N55" i="14"/>
  <c r="N120" i="14"/>
  <c r="N118" i="14" s="1"/>
  <c r="K349" i="16"/>
  <c r="K630" i="16"/>
  <c r="K158" i="17"/>
  <c r="K421" i="17"/>
  <c r="K429" i="17"/>
  <c r="K111" i="18"/>
  <c r="O535" i="18"/>
  <c r="J158" i="1"/>
  <c r="K158" i="1" s="1"/>
  <c r="J488" i="1"/>
  <c r="K573" i="2"/>
  <c r="I622" i="1"/>
  <c r="J670" i="1"/>
  <c r="O347" i="3"/>
  <c r="N34" i="3"/>
  <c r="N14" i="3" s="1"/>
  <c r="N408" i="1"/>
  <c r="N436" i="1"/>
  <c r="J454" i="1"/>
  <c r="N457" i="1"/>
  <c r="J483" i="1"/>
  <c r="J503" i="1"/>
  <c r="J507" i="1"/>
  <c r="J511" i="1"/>
  <c r="J576" i="1"/>
  <c r="K634" i="3"/>
  <c r="K149" i="4"/>
  <c r="J651" i="4"/>
  <c r="K651" i="4" s="1"/>
  <c r="J673" i="1"/>
  <c r="N312" i="5"/>
  <c r="N310" i="5" s="1"/>
  <c r="K345" i="5"/>
  <c r="K372" i="6"/>
  <c r="K376" i="6"/>
  <c r="L439" i="1"/>
  <c r="J447" i="1"/>
  <c r="K474" i="6"/>
  <c r="J646" i="1"/>
  <c r="O651" i="6"/>
  <c r="K665" i="6"/>
  <c r="N142" i="7"/>
  <c r="N140" i="7" s="1"/>
  <c r="K173" i="7"/>
  <c r="K200" i="7"/>
  <c r="K216" i="7"/>
  <c r="O439" i="7"/>
  <c r="L122" i="8"/>
  <c r="K132" i="8"/>
  <c r="L254" i="8"/>
  <c r="O254" i="8" s="1"/>
  <c r="L314" i="8"/>
  <c r="O314" i="8" s="1"/>
  <c r="K573" i="8"/>
  <c r="K349" i="9"/>
  <c r="O352" i="9"/>
  <c r="K401" i="9"/>
  <c r="K420" i="10"/>
  <c r="N43" i="11"/>
  <c r="K427" i="11"/>
  <c r="O535" i="11"/>
  <c r="K631" i="11"/>
  <c r="L294" i="12"/>
  <c r="K372" i="12"/>
  <c r="K376" i="12"/>
  <c r="L254" i="13"/>
  <c r="K473" i="13"/>
  <c r="K199" i="15"/>
  <c r="L224" i="15"/>
  <c r="L222" i="15" s="1"/>
  <c r="N312" i="15"/>
  <c r="N310" i="15" s="1"/>
  <c r="N68" i="16"/>
  <c r="N66" i="16" s="1"/>
  <c r="P254" i="16"/>
  <c r="K375" i="16"/>
  <c r="O535" i="17"/>
  <c r="N292" i="18"/>
  <c r="N290" i="18" s="1"/>
  <c r="K133" i="16"/>
  <c r="K229" i="16"/>
  <c r="N312" i="16"/>
  <c r="N310" i="16" s="1"/>
  <c r="K426" i="16"/>
  <c r="O455" i="16"/>
  <c r="O459" i="16"/>
  <c r="K473" i="16"/>
  <c r="K481" i="16"/>
  <c r="N43" i="17"/>
  <c r="N41" i="17" s="1"/>
  <c r="N222" i="17"/>
  <c r="P222" i="17" s="1"/>
  <c r="K629" i="17"/>
  <c r="K633" i="17"/>
  <c r="K665" i="17"/>
  <c r="K289" i="18"/>
  <c r="K377" i="18"/>
  <c r="K381" i="18"/>
  <c r="K420" i="18"/>
  <c r="K431" i="18"/>
  <c r="K64" i="1"/>
  <c r="K85" i="1"/>
  <c r="J496" i="1"/>
  <c r="J500" i="1"/>
  <c r="L32" i="3"/>
  <c r="P144" i="4"/>
  <c r="M142" i="4"/>
  <c r="L552" i="1"/>
  <c r="O552" i="1" s="1"/>
  <c r="O552" i="4"/>
  <c r="K651" i="5"/>
  <c r="I651" i="1"/>
  <c r="K83" i="1"/>
  <c r="K340" i="1"/>
  <c r="K396" i="1"/>
  <c r="O403" i="5"/>
  <c r="L403" i="1"/>
  <c r="O403" i="1" s="1"/>
  <c r="K420" i="5"/>
  <c r="I420" i="1"/>
  <c r="K420" i="1" s="1"/>
  <c r="K467" i="5"/>
  <c r="I467" i="1"/>
  <c r="K467" i="1" s="1"/>
  <c r="K561" i="2"/>
  <c r="I561" i="1"/>
  <c r="K424" i="3"/>
  <c r="J424" i="1"/>
  <c r="K648" i="3"/>
  <c r="I648" i="1"/>
  <c r="K649" i="3"/>
  <c r="I649" i="1"/>
  <c r="K649" i="1" s="1"/>
  <c r="K650" i="3"/>
  <c r="I650" i="1"/>
  <c r="O665" i="3"/>
  <c r="L665" i="1"/>
  <c r="K475" i="4"/>
  <c r="I475" i="1"/>
  <c r="K475" i="1" s="1"/>
  <c r="K491" i="4"/>
  <c r="I491" i="1"/>
  <c r="K491" i="1" s="1"/>
  <c r="N68" i="5"/>
  <c r="N66" i="5" s="1"/>
  <c r="I575" i="1"/>
  <c r="K575" i="1" s="1"/>
  <c r="K506" i="2"/>
  <c r="I506" i="1"/>
  <c r="K506" i="1" s="1"/>
  <c r="O351" i="4"/>
  <c r="L31" i="4"/>
  <c r="L29" i="4" s="1"/>
  <c r="O568" i="4"/>
  <c r="N568" i="1"/>
  <c r="M273" i="5"/>
  <c r="M271" i="5" s="1"/>
  <c r="P271" i="5" s="1"/>
  <c r="P275" i="5"/>
  <c r="J401" i="1"/>
  <c r="J493" i="1"/>
  <c r="J501" i="1"/>
  <c r="J596" i="1"/>
  <c r="N649" i="1"/>
  <c r="L24" i="3"/>
  <c r="O24" i="3" s="1"/>
  <c r="K492" i="6"/>
  <c r="L24" i="7"/>
  <c r="O333" i="8"/>
  <c r="K417" i="1"/>
  <c r="K429" i="1"/>
  <c r="I488" i="1"/>
  <c r="K488" i="1" s="1"/>
  <c r="I515" i="1"/>
  <c r="K515" i="1" s="1"/>
  <c r="I594" i="1"/>
  <c r="K594" i="1" s="1"/>
  <c r="J78" i="1"/>
  <c r="P98" i="2"/>
  <c r="J196" i="1"/>
  <c r="J201" i="1"/>
  <c r="K201" i="1" s="1"/>
  <c r="L335" i="1"/>
  <c r="J373" i="1"/>
  <c r="J377" i="1"/>
  <c r="K381" i="2"/>
  <c r="K419" i="2"/>
  <c r="J469" i="1"/>
  <c r="K473" i="2"/>
  <c r="J480" i="1"/>
  <c r="K498" i="2"/>
  <c r="J509" i="1"/>
  <c r="N567" i="1"/>
  <c r="K589" i="2"/>
  <c r="K597" i="2"/>
  <c r="J612" i="1"/>
  <c r="J620" i="1"/>
  <c r="K621" i="2"/>
  <c r="J623" i="1"/>
  <c r="K630" i="2"/>
  <c r="K634" i="2"/>
  <c r="J669" i="1"/>
  <c r="K88" i="3"/>
  <c r="N252" i="3"/>
  <c r="K285" i="3"/>
  <c r="P333" i="3"/>
  <c r="K375" i="3"/>
  <c r="K380" i="3"/>
  <c r="O383" i="3"/>
  <c r="K397" i="3"/>
  <c r="K449" i="3"/>
  <c r="O455" i="3"/>
  <c r="K573" i="3"/>
  <c r="K591" i="3"/>
  <c r="K595" i="3"/>
  <c r="P45" i="4"/>
  <c r="K87" i="4"/>
  <c r="K93" i="4"/>
  <c r="P98" i="4"/>
  <c r="K164" i="4"/>
  <c r="K185" i="4"/>
  <c r="K204" i="4"/>
  <c r="K422" i="4"/>
  <c r="K424" i="4"/>
  <c r="K430" i="4"/>
  <c r="K435" i="4"/>
  <c r="O455" i="4"/>
  <c r="O457" i="4"/>
  <c r="K498" i="4"/>
  <c r="O551" i="4"/>
  <c r="O553" i="4"/>
  <c r="K635" i="4"/>
  <c r="P57" i="5"/>
  <c r="K92" i="5"/>
  <c r="L98" i="5"/>
  <c r="O98" i="5" s="1"/>
  <c r="K164" i="5"/>
  <c r="K285" i="5"/>
  <c r="L333" i="5"/>
  <c r="O333" i="5" s="1"/>
  <c r="K398" i="5"/>
  <c r="K402" i="5"/>
  <c r="O437" i="5"/>
  <c r="K564" i="5"/>
  <c r="K573" i="5"/>
  <c r="K611" i="5"/>
  <c r="K631" i="5"/>
  <c r="P45" i="6"/>
  <c r="K65" i="6"/>
  <c r="K92" i="6"/>
  <c r="K109" i="6"/>
  <c r="K113" i="6"/>
  <c r="K199" i="6"/>
  <c r="K219" i="6"/>
  <c r="L254" i="6"/>
  <c r="L252" i="6" s="1"/>
  <c r="O252" i="6" s="1"/>
  <c r="K264" i="6"/>
  <c r="K266" i="6"/>
  <c r="L314" i="6"/>
  <c r="O314" i="6" s="1"/>
  <c r="O352" i="6"/>
  <c r="K417" i="6"/>
  <c r="K421" i="6"/>
  <c r="K423" i="6"/>
  <c r="K425" i="6"/>
  <c r="K427" i="6"/>
  <c r="K429" i="6"/>
  <c r="O455" i="6"/>
  <c r="K482" i="6"/>
  <c r="K499" i="6"/>
  <c r="O533" i="6"/>
  <c r="O537" i="6"/>
  <c r="K81" i="7"/>
  <c r="K108" i="7"/>
  <c r="K110" i="7"/>
  <c r="L144" i="7"/>
  <c r="L142" i="7" s="1"/>
  <c r="K149" i="7"/>
  <c r="K189" i="7"/>
  <c r="K64" i="8"/>
  <c r="L32" i="9"/>
  <c r="K401" i="1"/>
  <c r="O582" i="1"/>
  <c r="J87" i="1"/>
  <c r="J112" i="1"/>
  <c r="J182" i="1"/>
  <c r="J185" i="1"/>
  <c r="K185" i="1" s="1"/>
  <c r="K285" i="2"/>
  <c r="N310" i="2"/>
  <c r="N355" i="1"/>
  <c r="J360" i="1"/>
  <c r="J364" i="1"/>
  <c r="J366" i="1"/>
  <c r="K398" i="2"/>
  <c r="K402" i="2"/>
  <c r="K418" i="2"/>
  <c r="K424" i="2"/>
  <c r="K426" i="2"/>
  <c r="K428" i="2"/>
  <c r="N440" i="1"/>
  <c r="J445" i="1"/>
  <c r="K451" i="2"/>
  <c r="O455" i="2"/>
  <c r="K474" i="2"/>
  <c r="J485" i="1"/>
  <c r="J504" i="1"/>
  <c r="J512" i="1"/>
  <c r="J577" i="1"/>
  <c r="O597" i="2"/>
  <c r="O599" i="2"/>
  <c r="J615" i="1"/>
  <c r="I626" i="1"/>
  <c r="O102" i="3"/>
  <c r="K109" i="3"/>
  <c r="K111" i="3"/>
  <c r="P275" i="3"/>
  <c r="K328" i="3"/>
  <c r="K372" i="3"/>
  <c r="K401" i="3"/>
  <c r="K402" i="3"/>
  <c r="K417" i="3"/>
  <c r="K455" i="3"/>
  <c r="K464" i="3"/>
  <c r="K466" i="3"/>
  <c r="O582" i="3"/>
  <c r="L45" i="4"/>
  <c r="O45" i="4" s="1"/>
  <c r="K64" i="4"/>
  <c r="K92" i="4"/>
  <c r="K108" i="4"/>
  <c r="K110" i="4"/>
  <c r="K176" i="4"/>
  <c r="K200" i="4"/>
  <c r="K213" i="4"/>
  <c r="K285" i="4"/>
  <c r="K324" i="4"/>
  <c r="K328" i="4"/>
  <c r="K419" i="4"/>
  <c r="K421" i="4"/>
  <c r="K423" i="4"/>
  <c r="K427" i="4"/>
  <c r="K431" i="4"/>
  <c r="K450" i="4"/>
  <c r="K455" i="4"/>
  <c r="K466" i="4"/>
  <c r="K473" i="4"/>
  <c r="K499" i="4"/>
  <c r="K533" i="4"/>
  <c r="K560" i="4"/>
  <c r="K589" i="4"/>
  <c r="K591" i="4"/>
  <c r="K593" i="4"/>
  <c r="K597" i="4"/>
  <c r="K634" i="4"/>
  <c r="K649" i="4"/>
  <c r="P98" i="5"/>
  <c r="K109" i="5"/>
  <c r="K111" i="5"/>
  <c r="L314" i="5"/>
  <c r="P333" i="5"/>
  <c r="K481" i="5"/>
  <c r="K533" i="5"/>
  <c r="K547" i="5"/>
  <c r="K615" i="5"/>
  <c r="K85" i="6"/>
  <c r="L122" i="6"/>
  <c r="K173" i="6"/>
  <c r="K200" i="6"/>
  <c r="K267" i="6"/>
  <c r="K270" i="6"/>
  <c r="L294" i="6"/>
  <c r="L292" i="6" s="1"/>
  <c r="K340" i="6"/>
  <c r="O401" i="6"/>
  <c r="K418" i="6"/>
  <c r="K420" i="6"/>
  <c r="K428" i="6"/>
  <c r="K464" i="6"/>
  <c r="K466" i="6"/>
  <c r="K498" i="6"/>
  <c r="O597" i="6"/>
  <c r="K86" i="7"/>
  <c r="K92" i="7"/>
  <c r="K109" i="7"/>
  <c r="K113" i="7"/>
  <c r="O404" i="7"/>
  <c r="K340" i="10"/>
  <c r="P98" i="16"/>
  <c r="M96" i="16"/>
  <c r="P96" i="16" s="1"/>
  <c r="N292" i="16"/>
  <c r="P70" i="17"/>
  <c r="M68" i="17"/>
  <c r="N312" i="17"/>
  <c r="N310" i="17" s="1"/>
  <c r="K199" i="7"/>
  <c r="L314" i="7"/>
  <c r="O314" i="7" s="1"/>
  <c r="K341" i="7"/>
  <c r="K375" i="7"/>
  <c r="K396" i="7"/>
  <c r="K426" i="7"/>
  <c r="K428" i="7"/>
  <c r="K464" i="7"/>
  <c r="O535" i="7"/>
  <c r="O597" i="7"/>
  <c r="O599" i="7"/>
  <c r="O601" i="7"/>
  <c r="P45" i="8"/>
  <c r="K80" i="8"/>
  <c r="P144" i="8"/>
  <c r="K164" i="8"/>
  <c r="K201" i="8"/>
  <c r="K229" i="8"/>
  <c r="N252" i="8"/>
  <c r="K265" i="8"/>
  <c r="K328" i="8"/>
  <c r="P333" i="8"/>
  <c r="K340" i="8"/>
  <c r="K349" i="8"/>
  <c r="K350" i="8"/>
  <c r="K372" i="8"/>
  <c r="K376" i="8"/>
  <c r="K422" i="8"/>
  <c r="K426" i="8"/>
  <c r="K435" i="8"/>
  <c r="K533" i="8"/>
  <c r="K629" i="8"/>
  <c r="J651" i="8"/>
  <c r="N96" i="9"/>
  <c r="K199" i="9"/>
  <c r="K229" i="9"/>
  <c r="L275" i="9"/>
  <c r="K370" i="9"/>
  <c r="K376" i="9"/>
  <c r="K465" i="9"/>
  <c r="K473" i="9"/>
  <c r="K497" i="9"/>
  <c r="O535" i="9"/>
  <c r="O651" i="9"/>
  <c r="K665" i="9"/>
  <c r="K149" i="10"/>
  <c r="L254" i="10"/>
  <c r="P337" i="10"/>
  <c r="O435" i="10"/>
  <c r="O533" i="10"/>
  <c r="P57" i="11"/>
  <c r="O455" i="11"/>
  <c r="K474" i="11"/>
  <c r="K628" i="11"/>
  <c r="K634" i="11"/>
  <c r="P74" i="12"/>
  <c r="K618" i="12"/>
  <c r="K422" i="13"/>
  <c r="K110" i="14"/>
  <c r="N220" i="17"/>
  <c r="K564" i="17"/>
  <c r="K497" i="18"/>
  <c r="K435" i="10"/>
  <c r="O597" i="10"/>
  <c r="K265" i="11"/>
  <c r="K340" i="11"/>
  <c r="K375" i="11"/>
  <c r="K380" i="11"/>
  <c r="K381" i="11"/>
  <c r="K421" i="11"/>
  <c r="L122" i="12"/>
  <c r="O337" i="12"/>
  <c r="K420" i="12"/>
  <c r="K465" i="12"/>
  <c r="K481" i="12"/>
  <c r="K498" i="12"/>
  <c r="K665" i="12"/>
  <c r="K615" i="13"/>
  <c r="O347" i="14"/>
  <c r="J651" i="15"/>
  <c r="K651" i="15" s="1"/>
  <c r="O435" i="16"/>
  <c r="N33" i="16"/>
  <c r="N13" i="16" s="1"/>
  <c r="K466" i="18"/>
  <c r="L294" i="7"/>
  <c r="O294" i="7" s="1"/>
  <c r="K349" i="7"/>
  <c r="K372" i="7"/>
  <c r="K417" i="7"/>
  <c r="K425" i="7"/>
  <c r="K429" i="7"/>
  <c r="K431" i="7"/>
  <c r="O459" i="7"/>
  <c r="K580" i="7"/>
  <c r="K617" i="7"/>
  <c r="K628" i="7"/>
  <c r="N94" i="8"/>
  <c r="M142" i="8"/>
  <c r="M140" i="8" s="1"/>
  <c r="K213" i="8"/>
  <c r="L275" i="8"/>
  <c r="O383" i="8"/>
  <c r="O439" i="8"/>
  <c r="K497" i="8"/>
  <c r="K499" i="8"/>
  <c r="O537" i="8"/>
  <c r="O564" i="8"/>
  <c r="O566" i="8"/>
  <c r="K589" i="8"/>
  <c r="K597" i="8"/>
  <c r="L57" i="9"/>
  <c r="O57" i="9" s="1"/>
  <c r="K328" i="9"/>
  <c r="K377" i="9"/>
  <c r="K380" i="9"/>
  <c r="K481" i="9"/>
  <c r="K533" i="9"/>
  <c r="K547" i="9"/>
  <c r="K580" i="9"/>
  <c r="K663" i="9"/>
  <c r="K86" i="10"/>
  <c r="K199" i="10"/>
  <c r="M292" i="10"/>
  <c r="P292" i="10" s="1"/>
  <c r="L314" i="10"/>
  <c r="L312" i="10" s="1"/>
  <c r="L333" i="10"/>
  <c r="K424" i="10"/>
  <c r="K474" i="10"/>
  <c r="K591" i="10"/>
  <c r="K593" i="10"/>
  <c r="K595" i="10"/>
  <c r="K597" i="10"/>
  <c r="K611" i="10"/>
  <c r="K628" i="10"/>
  <c r="K634" i="10"/>
  <c r="K264" i="11"/>
  <c r="K266" i="11"/>
  <c r="K418" i="11"/>
  <c r="K420" i="11"/>
  <c r="K422" i="11"/>
  <c r="K547" i="11"/>
  <c r="P45" i="12"/>
  <c r="L26" i="12"/>
  <c r="L16" i="12" s="1"/>
  <c r="L70" i="12"/>
  <c r="O70" i="12" s="1"/>
  <c r="K235" i="12"/>
  <c r="K270" i="12"/>
  <c r="K345" i="12"/>
  <c r="O347" i="12"/>
  <c r="O349" i="12"/>
  <c r="K423" i="12"/>
  <c r="K425" i="12"/>
  <c r="K474" i="12"/>
  <c r="K499" i="12"/>
  <c r="K200" i="13"/>
  <c r="K340" i="13"/>
  <c r="K350" i="13"/>
  <c r="K397" i="13"/>
  <c r="O437" i="13"/>
  <c r="O601" i="13"/>
  <c r="L33" i="14"/>
  <c r="O33" i="14" s="1"/>
  <c r="P98" i="14"/>
  <c r="P254" i="14"/>
  <c r="M292" i="14"/>
  <c r="P292" i="14" s="1"/>
  <c r="P333" i="14"/>
  <c r="O352" i="14"/>
  <c r="K474" i="14"/>
  <c r="K482" i="14"/>
  <c r="K551" i="14"/>
  <c r="K560" i="14"/>
  <c r="K595" i="14"/>
  <c r="K597" i="14"/>
  <c r="K613" i="14"/>
  <c r="K380" i="15"/>
  <c r="K547" i="15"/>
  <c r="O566" i="15"/>
  <c r="K616" i="15"/>
  <c r="L70" i="17"/>
  <c r="O70" i="17" s="1"/>
  <c r="K341" i="17"/>
  <c r="K343" i="17"/>
  <c r="K381" i="17"/>
  <c r="O383" i="17"/>
  <c r="O385" i="17"/>
  <c r="O650" i="17"/>
  <c r="K229" i="18"/>
  <c r="L254" i="18"/>
  <c r="L252" i="18" s="1"/>
  <c r="L250" i="18" s="1"/>
  <c r="L333" i="18"/>
  <c r="K418" i="18"/>
  <c r="K616" i="18"/>
  <c r="K663" i="18"/>
  <c r="O671" i="18"/>
  <c r="O601" i="14"/>
  <c r="K625" i="14"/>
  <c r="L57" i="15"/>
  <c r="O57" i="15" s="1"/>
  <c r="K435" i="15"/>
  <c r="K420" i="16"/>
  <c r="O597" i="16"/>
  <c r="J671" i="16"/>
  <c r="L98" i="17"/>
  <c r="K110" i="17"/>
  <c r="L144" i="17"/>
  <c r="O144" i="17" s="1"/>
  <c r="K229" i="17"/>
  <c r="K422" i="17"/>
  <c r="K547" i="17"/>
  <c r="K634" i="18"/>
  <c r="K381" i="14"/>
  <c r="K418" i="14"/>
  <c r="K464" i="14"/>
  <c r="K65" i="15"/>
  <c r="K164" i="15"/>
  <c r="K189" i="15"/>
  <c r="L275" i="15"/>
  <c r="K328" i="15"/>
  <c r="O352" i="15"/>
  <c r="K370" i="15"/>
  <c r="K421" i="15"/>
  <c r="K427" i="15"/>
  <c r="K429" i="15"/>
  <c r="O435" i="15"/>
  <c r="L32" i="15"/>
  <c r="K450" i="15"/>
  <c r="O455" i="15"/>
  <c r="O459" i="15"/>
  <c r="O597" i="15"/>
  <c r="O599" i="15"/>
  <c r="O601" i="15"/>
  <c r="K629" i="15"/>
  <c r="K631" i="15"/>
  <c r="K633" i="15"/>
  <c r="K635" i="15"/>
  <c r="N43" i="16"/>
  <c r="K84" i="16"/>
  <c r="K158" i="16"/>
  <c r="K285" i="16"/>
  <c r="K372" i="16"/>
  <c r="K421" i="16"/>
  <c r="K432" i="16"/>
  <c r="O533" i="16"/>
  <c r="O564" i="16"/>
  <c r="K593" i="16"/>
  <c r="K635" i="16"/>
  <c r="K109" i="17"/>
  <c r="K164" i="17"/>
  <c r="K266" i="17"/>
  <c r="L275" i="17"/>
  <c r="O275" i="17" s="1"/>
  <c r="L294" i="17"/>
  <c r="O294" i="17" s="1"/>
  <c r="L314" i="17"/>
  <c r="O380" i="17"/>
  <c r="K423" i="17"/>
  <c r="K427" i="17"/>
  <c r="K465" i="17"/>
  <c r="K473" i="17"/>
  <c r="O568" i="17"/>
  <c r="L57" i="18"/>
  <c r="O57" i="18" s="1"/>
  <c r="K83" i="18"/>
  <c r="O380" i="18"/>
  <c r="K473" i="18"/>
  <c r="K481" i="18"/>
  <c r="O580" i="18"/>
  <c r="O582" i="18"/>
  <c r="O584" i="18"/>
  <c r="O601" i="18"/>
  <c r="K629" i="18"/>
  <c r="K108" i="1"/>
  <c r="L98" i="2"/>
  <c r="K133" i="2"/>
  <c r="P314" i="2"/>
  <c r="O385" i="2"/>
  <c r="O401" i="2"/>
  <c r="K423" i="2"/>
  <c r="K429" i="2"/>
  <c r="K431" i="2"/>
  <c r="K624" i="2"/>
  <c r="K631" i="2"/>
  <c r="K633" i="2"/>
  <c r="N53" i="3"/>
  <c r="K65" i="3"/>
  <c r="L70" i="3"/>
  <c r="K80" i="3"/>
  <c r="K93" i="3"/>
  <c r="O144" i="3"/>
  <c r="K149" i="3"/>
  <c r="P254" i="3"/>
  <c r="K474" i="3"/>
  <c r="K617" i="3"/>
  <c r="K631" i="3"/>
  <c r="L98" i="4"/>
  <c r="L96" i="4" s="1"/>
  <c r="L94" i="4" s="1"/>
  <c r="L122" i="4"/>
  <c r="K138" i="4"/>
  <c r="K173" i="4"/>
  <c r="L224" i="4"/>
  <c r="K229" i="4"/>
  <c r="P333" i="4"/>
  <c r="K375" i="4"/>
  <c r="K377" i="4"/>
  <c r="K398" i="4"/>
  <c r="K402" i="4"/>
  <c r="K418" i="4"/>
  <c r="K474" i="4"/>
  <c r="O535" i="4"/>
  <c r="O537" i="4"/>
  <c r="O599" i="4"/>
  <c r="O601" i="4"/>
  <c r="K626" i="4"/>
  <c r="J671" i="4"/>
  <c r="L122" i="5"/>
  <c r="O122" i="5" s="1"/>
  <c r="K132" i="5"/>
  <c r="P144" i="5"/>
  <c r="M252" i="5"/>
  <c r="L254" i="5"/>
  <c r="O254" i="5" s="1"/>
  <c r="O380" i="5"/>
  <c r="K466" i="5"/>
  <c r="O535" i="5"/>
  <c r="K593" i="5"/>
  <c r="K595" i="5"/>
  <c r="K597" i="5"/>
  <c r="J671" i="5"/>
  <c r="M43" i="6"/>
  <c r="M41" i="6" s="1"/>
  <c r="K64" i="6"/>
  <c r="K80" i="6"/>
  <c r="K108" i="6"/>
  <c r="K112" i="6"/>
  <c r="O122" i="6"/>
  <c r="L120" i="6"/>
  <c r="P70" i="2"/>
  <c r="K396" i="2"/>
  <c r="K450" i="2"/>
  <c r="K455" i="2"/>
  <c r="O566" i="2"/>
  <c r="K616" i="2"/>
  <c r="N644" i="2"/>
  <c r="N640" i="2" s="1"/>
  <c r="N638" i="2" s="1"/>
  <c r="N636" i="2" s="1"/>
  <c r="L96" i="3"/>
  <c r="K108" i="3"/>
  <c r="K164" i="3"/>
  <c r="L224" i="3"/>
  <c r="K343" i="3"/>
  <c r="O349" i="3"/>
  <c r="K376" i="3"/>
  <c r="K396" i="3"/>
  <c r="O404" i="3"/>
  <c r="K421" i="3"/>
  <c r="K427" i="3"/>
  <c r="K429" i="3"/>
  <c r="O459" i="3"/>
  <c r="N331" i="4"/>
  <c r="N68" i="3"/>
  <c r="N66" i="3" s="1"/>
  <c r="P66" i="3" s="1"/>
  <c r="L254" i="3"/>
  <c r="L252" i="3" s="1"/>
  <c r="L250" i="3" s="1"/>
  <c r="K482" i="3"/>
  <c r="K498" i="3"/>
  <c r="K547" i="3"/>
  <c r="O597" i="3"/>
  <c r="O601" i="3"/>
  <c r="K619" i="3"/>
  <c r="N96" i="4"/>
  <c r="O96" i="4" s="1"/>
  <c r="K111" i="4"/>
  <c r="K265" i="4"/>
  <c r="K267" i="4"/>
  <c r="K270" i="4"/>
  <c r="L275" i="4"/>
  <c r="L314" i="4"/>
  <c r="L312" i="4" s="1"/>
  <c r="O312" i="4" s="1"/>
  <c r="K349" i="4"/>
  <c r="K368" i="4"/>
  <c r="K370" i="4"/>
  <c r="O380" i="4"/>
  <c r="O385" i="4"/>
  <c r="K465" i="4"/>
  <c r="K573" i="4"/>
  <c r="O584" i="4"/>
  <c r="K628" i="4"/>
  <c r="K630" i="4"/>
  <c r="K632" i="4"/>
  <c r="N644" i="4"/>
  <c r="N640" i="4" s="1"/>
  <c r="N638" i="4" s="1"/>
  <c r="N636" i="4" s="1"/>
  <c r="O649" i="4"/>
  <c r="O661" i="4"/>
  <c r="L57" i="5"/>
  <c r="K93" i="5"/>
  <c r="K110" i="5"/>
  <c r="K112" i="5"/>
  <c r="N140" i="5"/>
  <c r="L144" i="5"/>
  <c r="O144" i="5" s="1"/>
  <c r="N222" i="5"/>
  <c r="N220" i="5" s="1"/>
  <c r="K270" i="5"/>
  <c r="N331" i="5"/>
  <c r="O385" i="5"/>
  <c r="K397" i="5"/>
  <c r="O406" i="5"/>
  <c r="K426" i="5"/>
  <c r="K430" i="5"/>
  <c r="K432" i="5"/>
  <c r="K435" i="5"/>
  <c r="O459" i="5"/>
  <c r="K497" i="5"/>
  <c r="K580" i="5"/>
  <c r="K589" i="5"/>
  <c r="K628" i="5"/>
  <c r="O49" i="1"/>
  <c r="K235" i="1"/>
  <c r="K425" i="1"/>
  <c r="K309" i="2"/>
  <c r="L314" i="2"/>
  <c r="L312" i="2" s="1"/>
  <c r="L310" i="2" s="1"/>
  <c r="O310" i="2" s="1"/>
  <c r="K324" i="2"/>
  <c r="K435" i="2"/>
  <c r="K497" i="2"/>
  <c r="O533" i="2"/>
  <c r="O535" i="2"/>
  <c r="K593" i="2"/>
  <c r="K595" i="2"/>
  <c r="O601" i="2"/>
  <c r="K92" i="3"/>
  <c r="N96" i="3"/>
  <c r="N94" i="3" s="1"/>
  <c r="M102" i="3"/>
  <c r="N142" i="3"/>
  <c r="N140" i="3" s="1"/>
  <c r="K200" i="3"/>
  <c r="P222" i="3"/>
  <c r="K229" i="3"/>
  <c r="K265" i="3"/>
  <c r="K349" i="3"/>
  <c r="O352" i="3"/>
  <c r="K368" i="3"/>
  <c r="K428" i="3"/>
  <c r="K435" i="3"/>
  <c r="O439" i="3"/>
  <c r="M292" i="4"/>
  <c r="P292" i="4" s="1"/>
  <c r="O331" i="4"/>
  <c r="P70" i="5"/>
  <c r="N252" i="5"/>
  <c r="K597" i="6"/>
  <c r="K619" i="6"/>
  <c r="O665" i="6"/>
  <c r="K64" i="7"/>
  <c r="K80" i="7"/>
  <c r="K215" i="7"/>
  <c r="N32" i="7"/>
  <c r="N30" i="7" s="1"/>
  <c r="K619" i="7"/>
  <c r="K93" i="8"/>
  <c r="K421" i="8"/>
  <c r="K423" i="8"/>
  <c r="K425" i="8"/>
  <c r="K432" i="8"/>
  <c r="K465" i="8"/>
  <c r="N33" i="8"/>
  <c r="N13" i="8" s="1"/>
  <c r="K564" i="8"/>
  <c r="K591" i="8"/>
  <c r="O597" i="8"/>
  <c r="K631" i="8"/>
  <c r="M96" i="9"/>
  <c r="P275" i="9"/>
  <c r="L294" i="9"/>
  <c r="L292" i="9" s="1"/>
  <c r="K402" i="9"/>
  <c r="K416" i="9"/>
  <c r="K420" i="9"/>
  <c r="K422" i="9"/>
  <c r="K450" i="9"/>
  <c r="K455" i="9"/>
  <c r="K564" i="9"/>
  <c r="K589" i="9"/>
  <c r="L144" i="10"/>
  <c r="O144" i="10" s="1"/>
  <c r="K164" i="10"/>
  <c r="L24" i="10"/>
  <c r="K398" i="10"/>
  <c r="K401" i="10"/>
  <c r="K473" i="10"/>
  <c r="P70" i="11"/>
  <c r="L98" i="11"/>
  <c r="O98" i="11" s="1"/>
  <c r="K164" i="11"/>
  <c r="K372" i="11"/>
  <c r="K397" i="11"/>
  <c r="O439" i="11"/>
  <c r="K450" i="11"/>
  <c r="K573" i="11"/>
  <c r="K158" i="6"/>
  <c r="K285" i="6"/>
  <c r="K343" i="6"/>
  <c r="K345" i="6"/>
  <c r="O347" i="6"/>
  <c r="K618" i="6"/>
  <c r="L275" i="7"/>
  <c r="K401" i="7"/>
  <c r="K402" i="7"/>
  <c r="K421" i="7"/>
  <c r="K432" i="7"/>
  <c r="K449" i="7"/>
  <c r="K451" i="7"/>
  <c r="O564" i="7"/>
  <c r="K595" i="7"/>
  <c r="N273" i="8"/>
  <c r="N271" i="8" s="1"/>
  <c r="K377" i="8"/>
  <c r="O406" i="8"/>
  <c r="K464" i="8"/>
  <c r="K466" i="8"/>
  <c r="O533" i="8"/>
  <c r="K593" i="8"/>
  <c r="K595" i="8"/>
  <c r="K635" i="8"/>
  <c r="K149" i="9"/>
  <c r="K200" i="9"/>
  <c r="M312" i="9"/>
  <c r="K343" i="9"/>
  <c r="O580" i="9"/>
  <c r="K593" i="9"/>
  <c r="O601" i="9"/>
  <c r="K614" i="9"/>
  <c r="K138" i="10"/>
  <c r="K449" i="10"/>
  <c r="L333" i="11"/>
  <c r="K349" i="11"/>
  <c r="K350" i="11"/>
  <c r="O601" i="6"/>
  <c r="K611" i="6"/>
  <c r="K631" i="6"/>
  <c r="J671" i="6"/>
  <c r="N43" i="7"/>
  <c r="N41" i="7" s="1"/>
  <c r="K235" i="7"/>
  <c r="P314" i="7"/>
  <c r="N312" i="7"/>
  <c r="N310" i="7" s="1"/>
  <c r="N33" i="7"/>
  <c r="N43" i="8"/>
  <c r="N22" i="8"/>
  <c r="K88" i="8"/>
  <c r="K92" i="8"/>
  <c r="N142" i="8"/>
  <c r="K158" i="8"/>
  <c r="N222" i="8"/>
  <c r="N220" i="8" s="1"/>
  <c r="K266" i="8"/>
  <c r="M292" i="8"/>
  <c r="P292" i="8" s="1"/>
  <c r="N331" i="8"/>
  <c r="N329" i="8" s="1"/>
  <c r="K416" i="8"/>
  <c r="N68" i="9"/>
  <c r="N66" i="9" s="1"/>
  <c r="K381" i="9"/>
  <c r="O401" i="9"/>
  <c r="K428" i="9"/>
  <c r="K449" i="9"/>
  <c r="O533" i="9"/>
  <c r="L294" i="10"/>
  <c r="O294" i="10" s="1"/>
  <c r="O383" i="10"/>
  <c r="K397" i="10"/>
  <c r="K421" i="10"/>
  <c r="O437" i="10"/>
  <c r="O439" i="10"/>
  <c r="K450" i="10"/>
  <c r="O455" i="10"/>
  <c r="K547" i="10"/>
  <c r="K573" i="10"/>
  <c r="N55" i="11"/>
  <c r="P55" i="11" s="1"/>
  <c r="K133" i="11"/>
  <c r="L294" i="11"/>
  <c r="O294" i="11" s="1"/>
  <c r="K416" i="11"/>
  <c r="K424" i="11"/>
  <c r="O533" i="11"/>
  <c r="O568" i="11"/>
  <c r="K580" i="11"/>
  <c r="K589" i="11"/>
  <c r="K635" i="11"/>
  <c r="J651" i="11"/>
  <c r="L144" i="6"/>
  <c r="L224" i="6"/>
  <c r="O224" i="6" s="1"/>
  <c r="L333" i="6"/>
  <c r="L331" i="6" s="1"/>
  <c r="K349" i="6"/>
  <c r="K350" i="6"/>
  <c r="K397" i="6"/>
  <c r="O404" i="6"/>
  <c r="O406" i="6"/>
  <c r="K424" i="6"/>
  <c r="K430" i="6"/>
  <c r="K435" i="6"/>
  <c r="K450" i="6"/>
  <c r="O459" i="6"/>
  <c r="K564" i="6"/>
  <c r="O45" i="7"/>
  <c r="K270" i="7"/>
  <c r="K368" i="7"/>
  <c r="O383" i="7"/>
  <c r="K397" i="7"/>
  <c r="K631" i="7"/>
  <c r="K635" i="7"/>
  <c r="L45" i="8"/>
  <c r="O45" i="8" s="1"/>
  <c r="L98" i="8"/>
  <c r="O98" i="8" s="1"/>
  <c r="K189" i="8"/>
  <c r="K204" i="8"/>
  <c r="K215" i="8"/>
  <c r="K285" i="8"/>
  <c r="O401" i="8"/>
  <c r="O337" i="9"/>
  <c r="K340" i="9"/>
  <c r="K631" i="9"/>
  <c r="J651" i="9"/>
  <c r="K651" i="9" s="1"/>
  <c r="P275" i="10"/>
  <c r="K422" i="10"/>
  <c r="O535" i="10"/>
  <c r="O537" i="10"/>
  <c r="K551" i="10"/>
  <c r="O566" i="10"/>
  <c r="O568" i="10"/>
  <c r="K132" i="11"/>
  <c r="K186" i="11"/>
  <c r="K189" i="11"/>
  <c r="P333" i="11"/>
  <c r="K370" i="11"/>
  <c r="K402" i="11"/>
  <c r="O404" i="11"/>
  <c r="K417" i="11"/>
  <c r="K419" i="11"/>
  <c r="K423" i="11"/>
  <c r="K425" i="11"/>
  <c r="K449" i="11"/>
  <c r="K533" i="11"/>
  <c r="K564" i="11"/>
  <c r="K611" i="11"/>
  <c r="K613" i="11"/>
  <c r="K632" i="11"/>
  <c r="P57" i="12"/>
  <c r="K113" i="12"/>
  <c r="K109" i="12"/>
  <c r="K133" i="12"/>
  <c r="K149" i="12"/>
  <c r="K173" i="12"/>
  <c r="M290" i="12"/>
  <c r="P290" i="12" s="1"/>
  <c r="L314" i="12"/>
  <c r="L312" i="12" s="1"/>
  <c r="L333" i="12"/>
  <c r="K349" i="12"/>
  <c r="O352" i="12"/>
  <c r="K370" i="12"/>
  <c r="K402" i="12"/>
  <c r="K421" i="12"/>
  <c r="K428" i="12"/>
  <c r="K430" i="12"/>
  <c r="K432" i="12"/>
  <c r="K629" i="12"/>
  <c r="K149" i="13"/>
  <c r="K370" i="13"/>
  <c r="K372" i="13"/>
  <c r="O599" i="13"/>
  <c r="K93" i="14"/>
  <c r="K112" i="14"/>
  <c r="L224" i="14"/>
  <c r="K589" i="14"/>
  <c r="P148" i="15"/>
  <c r="N33" i="12"/>
  <c r="N13" i="12" s="1"/>
  <c r="N33" i="13"/>
  <c r="N13" i="13" s="1"/>
  <c r="N29" i="16"/>
  <c r="N11" i="16"/>
  <c r="O665" i="11"/>
  <c r="M55" i="12"/>
  <c r="M53" i="12" s="1"/>
  <c r="N55" i="12"/>
  <c r="O74" i="12"/>
  <c r="K110" i="12"/>
  <c r="K117" i="12"/>
  <c r="K158" i="12"/>
  <c r="K199" i="12"/>
  <c r="K229" i="12"/>
  <c r="K267" i="12"/>
  <c r="K285" i="12"/>
  <c r="K343" i="12"/>
  <c r="O380" i="12"/>
  <c r="K422" i="12"/>
  <c r="K427" i="12"/>
  <c r="O439" i="12"/>
  <c r="K450" i="12"/>
  <c r="O455" i="12"/>
  <c r="K473" i="12"/>
  <c r="K573" i="12"/>
  <c r="O597" i="12"/>
  <c r="O599" i="12"/>
  <c r="K617" i="12"/>
  <c r="K635" i="12"/>
  <c r="L98" i="13"/>
  <c r="L96" i="13" s="1"/>
  <c r="N142" i="13"/>
  <c r="N140" i="13" s="1"/>
  <c r="K158" i="13"/>
  <c r="L275" i="13"/>
  <c r="O275" i="13" s="1"/>
  <c r="K396" i="13"/>
  <c r="K398" i="13"/>
  <c r="K429" i="13"/>
  <c r="K464" i="13"/>
  <c r="O535" i="13"/>
  <c r="L70" i="14"/>
  <c r="K111" i="14"/>
  <c r="K149" i="14"/>
  <c r="K164" i="14"/>
  <c r="L294" i="14"/>
  <c r="O294" i="14" s="1"/>
  <c r="N331" i="14"/>
  <c r="N329" i="14" s="1"/>
  <c r="K219" i="15"/>
  <c r="O537" i="12"/>
  <c r="O566" i="12"/>
  <c r="N644" i="12"/>
  <c r="N640" i="12" s="1"/>
  <c r="N638" i="12" s="1"/>
  <c r="N636" i="12" s="1"/>
  <c r="P45" i="13"/>
  <c r="L122" i="13"/>
  <c r="L120" i="13" s="1"/>
  <c r="O120" i="13" s="1"/>
  <c r="L144" i="13"/>
  <c r="O144" i="13" s="1"/>
  <c r="K173" i="13"/>
  <c r="N292" i="13"/>
  <c r="K328" i="13"/>
  <c r="K375" i="13"/>
  <c r="K377" i="13"/>
  <c r="K381" i="13"/>
  <c r="O406" i="13"/>
  <c r="K424" i="13"/>
  <c r="K426" i="13"/>
  <c r="K428" i="13"/>
  <c r="K430" i="13"/>
  <c r="K432" i="13"/>
  <c r="K435" i="13"/>
  <c r="O457" i="13"/>
  <c r="O459" i="13"/>
  <c r="K465" i="13"/>
  <c r="K474" i="13"/>
  <c r="K481" i="13"/>
  <c r="K497" i="13"/>
  <c r="K499" i="13"/>
  <c r="K533" i="13"/>
  <c r="K589" i="13"/>
  <c r="K593" i="13"/>
  <c r="O597" i="13"/>
  <c r="K635" i="13"/>
  <c r="L45" i="14"/>
  <c r="K158" i="14"/>
  <c r="N292" i="14"/>
  <c r="L333" i="14"/>
  <c r="K341" i="14"/>
  <c r="O385" i="14"/>
  <c r="P57" i="15"/>
  <c r="M55" i="15"/>
  <c r="M53" i="15" s="1"/>
  <c r="K349" i="14"/>
  <c r="K370" i="14"/>
  <c r="O383" i="14"/>
  <c r="O406" i="14"/>
  <c r="K449" i="14"/>
  <c r="O553" i="14"/>
  <c r="N34" i="14"/>
  <c r="N14" i="14" s="1"/>
  <c r="K580" i="14"/>
  <c r="K623" i="14"/>
  <c r="J671" i="14"/>
  <c r="L45" i="15"/>
  <c r="P70" i="15"/>
  <c r="K81" i="15"/>
  <c r="K138" i="15"/>
  <c r="K158" i="15"/>
  <c r="N273" i="15"/>
  <c r="N271" i="15" s="1"/>
  <c r="O347" i="15"/>
  <c r="K396" i="15"/>
  <c r="K398" i="15"/>
  <c r="K401" i="15"/>
  <c r="K402" i="15"/>
  <c r="K417" i="15"/>
  <c r="K419" i="15"/>
  <c r="K455" i="15"/>
  <c r="K464" i="15"/>
  <c r="K498" i="15"/>
  <c r="K630" i="15"/>
  <c r="K634" i="15"/>
  <c r="K649" i="15"/>
  <c r="O671" i="15"/>
  <c r="L45" i="16"/>
  <c r="P74" i="16"/>
  <c r="K81" i="16"/>
  <c r="K85" i="16"/>
  <c r="L144" i="16"/>
  <c r="K345" i="16"/>
  <c r="O349" i="16"/>
  <c r="O439" i="16"/>
  <c r="N68" i="17"/>
  <c r="K108" i="17"/>
  <c r="O224" i="17"/>
  <c r="P314" i="17"/>
  <c r="O555" i="17"/>
  <c r="O566" i="17"/>
  <c r="P122" i="18"/>
  <c r="M120" i="18"/>
  <c r="M118" i="18" s="1"/>
  <c r="P118" i="18" s="1"/>
  <c r="L224" i="18"/>
  <c r="K324" i="18"/>
  <c r="K328" i="18"/>
  <c r="O435" i="18"/>
  <c r="O437" i="18"/>
  <c r="O439" i="18"/>
  <c r="K450" i="18"/>
  <c r="K482" i="18"/>
  <c r="K593" i="18"/>
  <c r="O349" i="14"/>
  <c r="K420" i="14"/>
  <c r="K430" i="14"/>
  <c r="K450" i="14"/>
  <c r="O455" i="14"/>
  <c r="K533" i="14"/>
  <c r="K564" i="14"/>
  <c r="K573" i="14"/>
  <c r="O582" i="14"/>
  <c r="K593" i="14"/>
  <c r="K629" i="14"/>
  <c r="J651" i="14"/>
  <c r="L70" i="15"/>
  <c r="K82" i="15"/>
  <c r="K173" i="15"/>
  <c r="K270" i="15"/>
  <c r="K375" i="15"/>
  <c r="O383" i="15"/>
  <c r="O385" i="15"/>
  <c r="K416" i="15"/>
  <c r="O650" i="15"/>
  <c r="O668" i="15"/>
  <c r="L70" i="16"/>
  <c r="O70" i="16" s="1"/>
  <c r="K149" i="16"/>
  <c r="L314" i="16"/>
  <c r="K340" i="16"/>
  <c r="K482" i="16"/>
  <c r="K80" i="18"/>
  <c r="K426" i="18"/>
  <c r="K626" i="18"/>
  <c r="K625" i="18"/>
  <c r="K620" i="18"/>
  <c r="K621" i="18"/>
  <c r="K617" i="14"/>
  <c r="N222" i="15"/>
  <c r="N220" i="15" s="1"/>
  <c r="O49" i="16"/>
  <c r="P294" i="16"/>
  <c r="K595" i="16"/>
  <c r="L45" i="17"/>
  <c r="L43" i="17" s="1"/>
  <c r="K185" i="17"/>
  <c r="K199" i="17"/>
  <c r="K249" i="17"/>
  <c r="K265" i="17"/>
  <c r="K328" i="17"/>
  <c r="O349" i="17"/>
  <c r="N33" i="17"/>
  <c r="N13" i="17" s="1"/>
  <c r="K401" i="17"/>
  <c r="O406" i="17"/>
  <c r="K426" i="17"/>
  <c r="K430" i="17"/>
  <c r="K432" i="17"/>
  <c r="K435" i="17"/>
  <c r="K630" i="17"/>
  <c r="J651" i="17"/>
  <c r="K663" i="17"/>
  <c r="O665" i="17"/>
  <c r="J671" i="17"/>
  <c r="K64" i="18"/>
  <c r="P70" i="18"/>
  <c r="P254" i="18"/>
  <c r="P294" i="18"/>
  <c r="M292" i="18"/>
  <c r="P292" i="18" s="1"/>
  <c r="P333" i="18"/>
  <c r="K396" i="18"/>
  <c r="K398" i="18"/>
  <c r="K402" i="18"/>
  <c r="K465" i="18"/>
  <c r="K112" i="18"/>
  <c r="N252" i="18"/>
  <c r="P271" i="18"/>
  <c r="O349" i="18"/>
  <c r="O661" i="18"/>
  <c r="K341" i="16"/>
  <c r="K381" i="16"/>
  <c r="N32" i="16"/>
  <c r="N30" i="16" s="1"/>
  <c r="N34" i="16"/>
  <c r="K416" i="16"/>
  <c r="K418" i="16"/>
  <c r="K427" i="16"/>
  <c r="K429" i="16"/>
  <c r="K451" i="16"/>
  <c r="K466" i="16"/>
  <c r="K589" i="16"/>
  <c r="K629" i="16"/>
  <c r="J651" i="16"/>
  <c r="K663" i="16"/>
  <c r="K111" i="17"/>
  <c r="K117" i="17"/>
  <c r="K176" i="17"/>
  <c r="P224" i="17"/>
  <c r="K370" i="17"/>
  <c r="K416" i="17"/>
  <c r="K418" i="17"/>
  <c r="K420" i="17"/>
  <c r="K449" i="17"/>
  <c r="O457" i="17"/>
  <c r="K533" i="17"/>
  <c r="K573" i="17"/>
  <c r="N68" i="18"/>
  <c r="K87" i="18"/>
  <c r="O102" i="18"/>
  <c r="K113" i="18"/>
  <c r="N120" i="18"/>
  <c r="N118" i="18" s="1"/>
  <c r="K164" i="18"/>
  <c r="N331" i="18"/>
  <c r="K368" i="18"/>
  <c r="K370" i="18"/>
  <c r="O401" i="18"/>
  <c r="O533" i="18"/>
  <c r="K589" i="18"/>
  <c r="K630" i="18"/>
  <c r="O650" i="18"/>
  <c r="O651" i="18"/>
  <c r="J651" i="18"/>
  <c r="O668" i="18"/>
  <c r="K80" i="1"/>
  <c r="K138" i="1"/>
  <c r="K204" i="1"/>
  <c r="K266" i="1"/>
  <c r="O459" i="1"/>
  <c r="K595" i="1"/>
  <c r="K149" i="2"/>
  <c r="K173" i="2"/>
  <c r="K270" i="2"/>
  <c r="M290" i="2"/>
  <c r="P290" i="2" s="1"/>
  <c r="K328" i="2"/>
  <c r="K341" i="2"/>
  <c r="K343" i="2"/>
  <c r="K420" i="2"/>
  <c r="K432" i="2"/>
  <c r="O437" i="2"/>
  <c r="K499" i="2"/>
  <c r="L640" i="2"/>
  <c r="J671" i="2"/>
  <c r="L45" i="3"/>
  <c r="O45" i="3" s="1"/>
  <c r="K189" i="3"/>
  <c r="K219" i="3"/>
  <c r="J245" i="1"/>
  <c r="K267" i="3"/>
  <c r="K270" i="3"/>
  <c r="N273" i="3"/>
  <c r="N271" i="3" s="1"/>
  <c r="M292" i="3"/>
  <c r="P292" i="3" s="1"/>
  <c r="L294" i="3"/>
  <c r="M314" i="1"/>
  <c r="K341" i="3"/>
  <c r="N31" i="3"/>
  <c r="N29" i="3" s="1"/>
  <c r="J379" i="1"/>
  <c r="N388" i="1"/>
  <c r="J393" i="1"/>
  <c r="N406" i="1"/>
  <c r="O406" i="1" s="1"/>
  <c r="K419" i="3"/>
  <c r="J427" i="1"/>
  <c r="K432" i="3"/>
  <c r="J435" i="1"/>
  <c r="N443" i="1"/>
  <c r="J448" i="1"/>
  <c r="J470" i="1"/>
  <c r="J486" i="1"/>
  <c r="K499" i="3"/>
  <c r="J502" i="1"/>
  <c r="N540" i="1"/>
  <c r="J545" i="1"/>
  <c r="J550" i="1"/>
  <c r="N581" i="1"/>
  <c r="K628" i="3"/>
  <c r="J674" i="1"/>
  <c r="J671" i="1" s="1"/>
  <c r="J671" i="3"/>
  <c r="M222" i="4"/>
  <c r="M220" i="4" s="1"/>
  <c r="P224" i="4"/>
  <c r="N250" i="4"/>
  <c r="O250" i="4" s="1"/>
  <c r="O553" i="2"/>
  <c r="K564" i="2"/>
  <c r="K613" i="2"/>
  <c r="P70" i="3"/>
  <c r="J113" i="1"/>
  <c r="N331" i="3"/>
  <c r="I374" i="1"/>
  <c r="N382" i="1"/>
  <c r="N385" i="1"/>
  <c r="O385" i="1" s="1"/>
  <c r="J419" i="1"/>
  <c r="J452" i="1"/>
  <c r="N463" i="1"/>
  <c r="N565" i="1"/>
  <c r="N569" i="1"/>
  <c r="J621" i="1"/>
  <c r="J625" i="1"/>
  <c r="N671" i="1"/>
  <c r="K285" i="1"/>
  <c r="K350" i="1"/>
  <c r="K368" i="1"/>
  <c r="K427" i="1"/>
  <c r="K499" i="1"/>
  <c r="K564" i="1"/>
  <c r="N53" i="2"/>
  <c r="L57" i="2"/>
  <c r="K200" i="2"/>
  <c r="O404" i="2"/>
  <c r="K416" i="2"/>
  <c r="K421" i="2"/>
  <c r="O457" i="2"/>
  <c r="O459" i="2"/>
  <c r="N31" i="2"/>
  <c r="N29" i="2" s="1"/>
  <c r="K551" i="2"/>
  <c r="O582" i="2"/>
  <c r="K591" i="1"/>
  <c r="K625" i="2"/>
  <c r="K632" i="2"/>
  <c r="M22" i="3"/>
  <c r="M12" i="3" s="1"/>
  <c r="K81" i="3"/>
  <c r="J110" i="1"/>
  <c r="K110" i="1" s="1"/>
  <c r="K112" i="3"/>
  <c r="L122" i="3"/>
  <c r="L120" i="3" s="1"/>
  <c r="J131" i="1"/>
  <c r="J156" i="1"/>
  <c r="J162" i="1"/>
  <c r="J172" i="1"/>
  <c r="J194" i="1"/>
  <c r="K199" i="3"/>
  <c r="J202" i="1"/>
  <c r="J212" i="1"/>
  <c r="K266" i="3"/>
  <c r="J306" i="1"/>
  <c r="K306" i="1" s="1"/>
  <c r="J371" i="1"/>
  <c r="K381" i="3"/>
  <c r="L33" i="3"/>
  <c r="O33" i="3" s="1"/>
  <c r="J402" i="1"/>
  <c r="K416" i="3"/>
  <c r="J431" i="1"/>
  <c r="K431" i="1" s="1"/>
  <c r="N435" i="1"/>
  <c r="K451" i="3"/>
  <c r="J455" i="1"/>
  <c r="J478" i="1"/>
  <c r="J494" i="1"/>
  <c r="J510" i="1"/>
  <c r="N570" i="1"/>
  <c r="J573" i="1"/>
  <c r="K573" i="1" s="1"/>
  <c r="J593" i="1"/>
  <c r="K635" i="3"/>
  <c r="P254" i="4"/>
  <c r="K88" i="1"/>
  <c r="K111" i="1"/>
  <c r="L275" i="2"/>
  <c r="P294" i="2"/>
  <c r="N292" i="2"/>
  <c r="N290" i="2" s="1"/>
  <c r="J269" i="1"/>
  <c r="N357" i="1"/>
  <c r="J362" i="1"/>
  <c r="J365" i="1"/>
  <c r="J381" i="1"/>
  <c r="K381" i="1" s="1"/>
  <c r="J400" i="1"/>
  <c r="N409" i="1"/>
  <c r="J414" i="1"/>
  <c r="J423" i="1"/>
  <c r="K423" i="1" s="1"/>
  <c r="J451" i="1"/>
  <c r="K451" i="1" s="1"/>
  <c r="N458" i="1"/>
  <c r="N536" i="1"/>
  <c r="N552" i="1"/>
  <c r="J662" i="1"/>
  <c r="J665" i="1"/>
  <c r="K593" i="3"/>
  <c r="N600" i="1"/>
  <c r="K614" i="3"/>
  <c r="I616" i="1"/>
  <c r="I625" i="1"/>
  <c r="J648" i="1"/>
  <c r="N650" i="1"/>
  <c r="O650" i="1" s="1"/>
  <c r="J668" i="1"/>
  <c r="K109" i="4"/>
  <c r="K112" i="4"/>
  <c r="K235" i="4"/>
  <c r="K266" i="4"/>
  <c r="N292" i="4"/>
  <c r="N290" i="4" s="1"/>
  <c r="J325" i="1"/>
  <c r="O347" i="4"/>
  <c r="N32" i="4"/>
  <c r="N30" i="4" s="1"/>
  <c r="O383" i="4"/>
  <c r="K396" i="4"/>
  <c r="K429" i="4"/>
  <c r="K432" i="4"/>
  <c r="N437" i="1"/>
  <c r="O439" i="4"/>
  <c r="O533" i="4"/>
  <c r="K564" i="4"/>
  <c r="K580" i="4"/>
  <c r="K595" i="4"/>
  <c r="O597" i="4"/>
  <c r="K631" i="4"/>
  <c r="L23" i="5"/>
  <c r="K108" i="5"/>
  <c r="K133" i="5"/>
  <c r="K199" i="5"/>
  <c r="J374" i="1"/>
  <c r="O404" i="5"/>
  <c r="K416" i="5"/>
  <c r="K421" i="5"/>
  <c r="K428" i="5"/>
  <c r="O435" i="5"/>
  <c r="J453" i="1"/>
  <c r="N460" i="1"/>
  <c r="K464" i="5"/>
  <c r="J489" i="1"/>
  <c r="K499" i="5"/>
  <c r="O537" i="5"/>
  <c r="O566" i="5"/>
  <c r="O584" i="5"/>
  <c r="O599" i="5"/>
  <c r="N604" i="1"/>
  <c r="J609" i="1"/>
  <c r="J626" i="1"/>
  <c r="K629" i="5"/>
  <c r="O45" i="6"/>
  <c r="K110" i="6"/>
  <c r="J160" i="1"/>
  <c r="K164" i="6"/>
  <c r="J171" i="1"/>
  <c r="J176" i="1"/>
  <c r="K176" i="1" s="1"/>
  <c r="K229" i="6"/>
  <c r="K265" i="6"/>
  <c r="K341" i="6"/>
  <c r="O380" i="6"/>
  <c r="K402" i="6"/>
  <c r="K426" i="6"/>
  <c r="K431" i="6"/>
  <c r="N33" i="6"/>
  <c r="N13" i="6" s="1"/>
  <c r="K465" i="6"/>
  <c r="K473" i="6"/>
  <c r="K481" i="6"/>
  <c r="K497" i="6"/>
  <c r="O535" i="6"/>
  <c r="O564" i="6"/>
  <c r="O599" i="6"/>
  <c r="K633" i="6"/>
  <c r="O661" i="6"/>
  <c r="O49" i="7"/>
  <c r="K138" i="7"/>
  <c r="K158" i="7"/>
  <c r="J322" i="1"/>
  <c r="J328" i="1"/>
  <c r="K328" i="1" s="1"/>
  <c r="O349" i="7"/>
  <c r="K370" i="7"/>
  <c r="K398" i="7"/>
  <c r="K419" i="7"/>
  <c r="K422" i="7"/>
  <c r="K455" i="7"/>
  <c r="O457" i="7"/>
  <c r="K573" i="7"/>
  <c r="O584" i="7"/>
  <c r="K593" i="7"/>
  <c r="K614" i="7"/>
  <c r="K629" i="7"/>
  <c r="L70" i="8"/>
  <c r="L68" i="8" s="1"/>
  <c r="K81" i="8"/>
  <c r="K173" i="8"/>
  <c r="K235" i="8"/>
  <c r="K267" i="8"/>
  <c r="K270" i="8"/>
  <c r="K375" i="8"/>
  <c r="K380" i="8"/>
  <c r="K381" i="8"/>
  <c r="L45" i="9"/>
  <c r="L43" i="9" s="1"/>
  <c r="L23" i="9"/>
  <c r="M68" i="9"/>
  <c r="P70" i="9"/>
  <c r="K418" i="9"/>
  <c r="K427" i="9"/>
  <c r="N33" i="9"/>
  <c r="N13" i="9" s="1"/>
  <c r="J344" i="1"/>
  <c r="N349" i="1"/>
  <c r="K621" i="4"/>
  <c r="K623" i="4"/>
  <c r="L34" i="5"/>
  <c r="O34" i="5" s="1"/>
  <c r="N32" i="6"/>
  <c r="N30" i="6" s="1"/>
  <c r="N41" i="8"/>
  <c r="M120" i="9"/>
  <c r="P120" i="9" s="1"/>
  <c r="P122" i="9"/>
  <c r="M292" i="9"/>
  <c r="P292" i="9" s="1"/>
  <c r="P294" i="9"/>
  <c r="N644" i="11"/>
  <c r="N640" i="11" s="1"/>
  <c r="N638" i="11" s="1"/>
  <c r="N636" i="11" s="1"/>
  <c r="O648" i="11"/>
  <c r="M252" i="15"/>
  <c r="P252" i="15" s="1"/>
  <c r="P254" i="15"/>
  <c r="O583" i="15"/>
  <c r="L33" i="15"/>
  <c r="O33" i="15" s="1"/>
  <c r="J517" i="1"/>
  <c r="J519" i="1"/>
  <c r="J521" i="1"/>
  <c r="J523" i="1"/>
  <c r="J525" i="1"/>
  <c r="J527" i="1"/>
  <c r="J529" i="1"/>
  <c r="J531" i="1"/>
  <c r="J533" i="1"/>
  <c r="K533" i="1" s="1"/>
  <c r="O537" i="3"/>
  <c r="N541" i="1"/>
  <c r="J546" i="1"/>
  <c r="N32" i="3"/>
  <c r="N30" i="3" s="1"/>
  <c r="N557" i="1"/>
  <c r="J560" i="1"/>
  <c r="O566" i="3"/>
  <c r="K611" i="3"/>
  <c r="I617" i="1"/>
  <c r="K618" i="3"/>
  <c r="I624" i="1"/>
  <c r="J630" i="1"/>
  <c r="K630" i="1" s="1"/>
  <c r="N644" i="3"/>
  <c r="N640" i="3" s="1"/>
  <c r="N638" i="3" s="1"/>
  <c r="N636" i="3" s="1"/>
  <c r="J650" i="1"/>
  <c r="J652" i="1"/>
  <c r="J661" i="1"/>
  <c r="N668" i="1"/>
  <c r="J675" i="1"/>
  <c r="O49" i="4"/>
  <c r="N53" i="4"/>
  <c r="L24" i="4"/>
  <c r="O24" i="4" s="1"/>
  <c r="O102" i="4"/>
  <c r="J188" i="1"/>
  <c r="J199" i="1"/>
  <c r="J218" i="1"/>
  <c r="J236" i="1"/>
  <c r="J243" i="1"/>
  <c r="J246" i="1"/>
  <c r="P275" i="4"/>
  <c r="N273" i="4"/>
  <c r="N271" i="4" s="1"/>
  <c r="P271" i="4" s="1"/>
  <c r="J283" i="1"/>
  <c r="J289" i="1"/>
  <c r="J300" i="1"/>
  <c r="J309" i="1"/>
  <c r="O337" i="4"/>
  <c r="J341" i="1"/>
  <c r="O404" i="4"/>
  <c r="N407" i="1"/>
  <c r="K416" i="4"/>
  <c r="K426" i="4"/>
  <c r="K428" i="4"/>
  <c r="K481" i="4"/>
  <c r="K551" i="4"/>
  <c r="J616" i="1"/>
  <c r="K620" i="4"/>
  <c r="K625" i="4"/>
  <c r="L640" i="4"/>
  <c r="L638" i="4" s="1"/>
  <c r="O638" i="4" s="1"/>
  <c r="O651" i="4"/>
  <c r="N94" i="5"/>
  <c r="J134" i="1"/>
  <c r="N250" i="5"/>
  <c r="J261" i="1"/>
  <c r="J264" i="1"/>
  <c r="K341" i="5"/>
  <c r="K343" i="5"/>
  <c r="N33" i="5"/>
  <c r="N13" i="5" s="1"/>
  <c r="O401" i="5"/>
  <c r="K450" i="5"/>
  <c r="O457" i="5"/>
  <c r="K473" i="5"/>
  <c r="K617" i="5"/>
  <c r="K614" i="5"/>
  <c r="K619" i="5"/>
  <c r="K635" i="5"/>
  <c r="J651" i="5"/>
  <c r="O102" i="6"/>
  <c r="K133" i="6"/>
  <c r="L142" i="6"/>
  <c r="O142" i="6" s="1"/>
  <c r="K189" i="6"/>
  <c r="L222" i="6"/>
  <c r="J242" i="1"/>
  <c r="J249" i="1"/>
  <c r="L275" i="6"/>
  <c r="O439" i="6"/>
  <c r="K615" i="6"/>
  <c r="K634" i="6"/>
  <c r="O102" i="7"/>
  <c r="K112" i="7"/>
  <c r="L122" i="7"/>
  <c r="J268" i="1"/>
  <c r="O337" i="7"/>
  <c r="K343" i="7"/>
  <c r="K345" i="7"/>
  <c r="K350" i="7"/>
  <c r="K377" i="7"/>
  <c r="K416" i="7"/>
  <c r="K418" i="7"/>
  <c r="K423" i="7"/>
  <c r="O435" i="7"/>
  <c r="O537" i="7"/>
  <c r="O566" i="7"/>
  <c r="O568" i="7"/>
  <c r="O580" i="7"/>
  <c r="K589" i="7"/>
  <c r="K597" i="7"/>
  <c r="K611" i="7"/>
  <c r="K618" i="7"/>
  <c r="K630" i="7"/>
  <c r="N55" i="8"/>
  <c r="K65" i="8"/>
  <c r="K82" i="8"/>
  <c r="K200" i="8"/>
  <c r="K264" i="8"/>
  <c r="N292" i="8"/>
  <c r="N290" i="8" s="1"/>
  <c r="L331" i="8"/>
  <c r="O354" i="8"/>
  <c r="K617" i="8"/>
  <c r="O648" i="8"/>
  <c r="L640" i="8"/>
  <c r="N310" i="9"/>
  <c r="O314" i="9"/>
  <c r="O385" i="9"/>
  <c r="K397" i="9"/>
  <c r="L32" i="10"/>
  <c r="L30" i="10" s="1"/>
  <c r="J466" i="1"/>
  <c r="J474" i="1"/>
  <c r="K474" i="1" s="1"/>
  <c r="J482" i="1"/>
  <c r="J490" i="1"/>
  <c r="J498" i="1"/>
  <c r="J506" i="1"/>
  <c r="J514" i="1"/>
  <c r="J578" i="1"/>
  <c r="N586" i="1"/>
  <c r="J589" i="1"/>
  <c r="K589" i="1" s="1"/>
  <c r="J597" i="1"/>
  <c r="K597" i="1" s="1"/>
  <c r="N605" i="1"/>
  <c r="J610" i="1"/>
  <c r="I612" i="1"/>
  <c r="K615" i="3"/>
  <c r="J617" i="1"/>
  <c r="J634" i="1"/>
  <c r="J653" i="1"/>
  <c r="J658" i="1"/>
  <c r="N665" i="1"/>
  <c r="O665" i="1" s="1"/>
  <c r="M22" i="4"/>
  <c r="M12" i="4" s="1"/>
  <c r="L71" i="1"/>
  <c r="J79" i="1"/>
  <c r="K81" i="4"/>
  <c r="K86" i="4"/>
  <c r="J89" i="1"/>
  <c r="M102" i="4"/>
  <c r="P102" i="4" s="1"/>
  <c r="N142" i="4"/>
  <c r="N140" i="4" s="1"/>
  <c r="K186" i="4"/>
  <c r="K189" i="4"/>
  <c r="K216" i="4"/>
  <c r="K219" i="4"/>
  <c r="N222" i="4"/>
  <c r="N220" i="4" s="1"/>
  <c r="L294" i="4"/>
  <c r="N329" i="4"/>
  <c r="M337" i="4"/>
  <c r="P337" i="4" s="1"/>
  <c r="K340" i="4"/>
  <c r="K372" i="4"/>
  <c r="K376" i="4"/>
  <c r="N33" i="4"/>
  <c r="N389" i="1"/>
  <c r="K420" i="4"/>
  <c r="O435" i="4"/>
  <c r="N441" i="1"/>
  <c r="J449" i="1"/>
  <c r="O459" i="4"/>
  <c r="I516" i="1"/>
  <c r="I518" i="1"/>
  <c r="I522" i="1"/>
  <c r="I524" i="1"/>
  <c r="I526" i="1"/>
  <c r="I530" i="1"/>
  <c r="I532" i="1"/>
  <c r="N538" i="1"/>
  <c r="K547" i="4"/>
  <c r="L554" i="1"/>
  <c r="O554" i="1" s="1"/>
  <c r="O566" i="4"/>
  <c r="N571" i="1"/>
  <c r="O580" i="4"/>
  <c r="O582" i="4"/>
  <c r="N602" i="1"/>
  <c r="K624" i="4"/>
  <c r="L26" i="5"/>
  <c r="M55" i="5"/>
  <c r="K113" i="5"/>
  <c r="K117" i="5"/>
  <c r="P122" i="5"/>
  <c r="K200" i="5"/>
  <c r="N329" i="5"/>
  <c r="K340" i="5"/>
  <c r="O347" i="5"/>
  <c r="O383" i="5"/>
  <c r="K396" i="5"/>
  <c r="K401" i="5"/>
  <c r="K422" i="5"/>
  <c r="K424" i="5"/>
  <c r="K449" i="5"/>
  <c r="K465" i="5"/>
  <c r="O533" i="5"/>
  <c r="K618" i="5"/>
  <c r="K634" i="5"/>
  <c r="M53" i="6"/>
  <c r="L70" i="6"/>
  <c r="L68" i="6" s="1"/>
  <c r="K84" i="6"/>
  <c r="K93" i="6"/>
  <c r="K132" i="6"/>
  <c r="K149" i="6"/>
  <c r="K235" i="6"/>
  <c r="N312" i="6"/>
  <c r="O349" i="6"/>
  <c r="K368" i="6"/>
  <c r="K370" i="6"/>
  <c r="K396" i="6"/>
  <c r="K398" i="6"/>
  <c r="K419" i="6"/>
  <c r="K422" i="6"/>
  <c r="K432" i="6"/>
  <c r="K455" i="6"/>
  <c r="O457" i="6"/>
  <c r="K573" i="6"/>
  <c r="K614" i="6"/>
  <c r="K629" i="6"/>
  <c r="K648" i="6"/>
  <c r="K663" i="6"/>
  <c r="K65" i="7"/>
  <c r="M68" i="7"/>
  <c r="K87" i="7"/>
  <c r="L98" i="7"/>
  <c r="L96" i="7" s="1"/>
  <c r="K111" i="7"/>
  <c r="N120" i="7"/>
  <c r="N118" i="7" s="1"/>
  <c r="K164" i="7"/>
  <c r="K204" i="7"/>
  <c r="K219" i="7"/>
  <c r="L224" i="7"/>
  <c r="L254" i="7"/>
  <c r="O254" i="7" s="1"/>
  <c r="K285" i="7"/>
  <c r="L333" i="7"/>
  <c r="L331" i="7" s="1"/>
  <c r="O331" i="7" s="1"/>
  <c r="K381" i="7"/>
  <c r="O401" i="7"/>
  <c r="O406" i="7"/>
  <c r="K427" i="7"/>
  <c r="K430" i="7"/>
  <c r="K435" i="7"/>
  <c r="K450" i="7"/>
  <c r="K466" i="7"/>
  <c r="K474" i="7"/>
  <c r="K482" i="7"/>
  <c r="K498" i="7"/>
  <c r="K615" i="7"/>
  <c r="K634" i="7"/>
  <c r="N644" i="7"/>
  <c r="N640" i="7" s="1"/>
  <c r="N638" i="7" s="1"/>
  <c r="N636" i="7" s="1"/>
  <c r="O49" i="8"/>
  <c r="N53" i="8"/>
  <c r="L24" i="8"/>
  <c r="K108" i="8"/>
  <c r="K113" i="8"/>
  <c r="K117" i="8"/>
  <c r="K133" i="8"/>
  <c r="K199" i="8"/>
  <c r="K216" i="8"/>
  <c r="K219" i="8"/>
  <c r="P224" i="8"/>
  <c r="K249" i="8"/>
  <c r="N250" i="8"/>
  <c r="P275" i="8"/>
  <c r="O347" i="8"/>
  <c r="K424" i="8"/>
  <c r="N31" i="8"/>
  <c r="K449" i="8"/>
  <c r="K474" i="8"/>
  <c r="O535" i="8"/>
  <c r="O580" i="8"/>
  <c r="K626" i="8"/>
  <c r="K624" i="8"/>
  <c r="K621" i="8"/>
  <c r="K623" i="8"/>
  <c r="K620" i="8"/>
  <c r="K625" i="8"/>
  <c r="L144" i="9"/>
  <c r="O380" i="9"/>
  <c r="M142" i="10"/>
  <c r="M140" i="10" s="1"/>
  <c r="P144" i="10"/>
  <c r="P98" i="11"/>
  <c r="M96" i="11"/>
  <c r="P144" i="11"/>
  <c r="M142" i="11"/>
  <c r="L68" i="12"/>
  <c r="L66" i="12" s="1"/>
  <c r="O66" i="12" s="1"/>
  <c r="P98" i="13"/>
  <c r="M96" i="13"/>
  <c r="P96" i="13" s="1"/>
  <c r="L294" i="8"/>
  <c r="K341" i="8"/>
  <c r="K343" i="8"/>
  <c r="O380" i="8"/>
  <c r="K397" i="8"/>
  <c r="K418" i="8"/>
  <c r="K420" i="8"/>
  <c r="K429" i="8"/>
  <c r="K450" i="8"/>
  <c r="O459" i="8"/>
  <c r="K473" i="8"/>
  <c r="K547" i="8"/>
  <c r="N34" i="8"/>
  <c r="N558" i="1"/>
  <c r="J592" i="1"/>
  <c r="O599" i="8"/>
  <c r="O601" i="8"/>
  <c r="I619" i="1"/>
  <c r="K628" i="8"/>
  <c r="K630" i="8"/>
  <c r="P57" i="9"/>
  <c r="M55" i="9"/>
  <c r="M53" i="9" s="1"/>
  <c r="K158" i="9"/>
  <c r="L224" i="9"/>
  <c r="L222" i="9" s="1"/>
  <c r="N273" i="9"/>
  <c r="N271" i="9" s="1"/>
  <c r="N292" i="9"/>
  <c r="N290" i="9" s="1"/>
  <c r="O347" i="9"/>
  <c r="O349" i="9"/>
  <c r="K372" i="9"/>
  <c r="K423" i="9"/>
  <c r="K432" i="9"/>
  <c r="O457" i="9"/>
  <c r="O537" i="9"/>
  <c r="O564" i="9"/>
  <c r="K597" i="9"/>
  <c r="K619" i="9"/>
  <c r="K618" i="9"/>
  <c r="K611" i="9"/>
  <c r="K633" i="9"/>
  <c r="K635" i="9"/>
  <c r="O665" i="9"/>
  <c r="K668" i="9"/>
  <c r="K81" i="10"/>
  <c r="O380" i="10"/>
  <c r="O401" i="10"/>
  <c r="P224" i="11"/>
  <c r="M222" i="11"/>
  <c r="M220" i="11" s="1"/>
  <c r="N33" i="11"/>
  <c r="O384" i="13"/>
  <c r="L33" i="13"/>
  <c r="O33" i="13" s="1"/>
  <c r="L24" i="14"/>
  <c r="O24" i="14" s="1"/>
  <c r="N31" i="14"/>
  <c r="N26" i="15"/>
  <c r="N16" i="15" s="1"/>
  <c r="K628" i="9"/>
  <c r="P314" i="10"/>
  <c r="M312" i="10"/>
  <c r="P312" i="10" s="1"/>
  <c r="N31" i="10"/>
  <c r="N29" i="10" s="1"/>
  <c r="P45" i="11"/>
  <c r="M22" i="11"/>
  <c r="O437" i="11"/>
  <c r="L32" i="11"/>
  <c r="L30" i="11" s="1"/>
  <c r="O254" i="13"/>
  <c r="L252" i="13"/>
  <c r="O252" i="13" s="1"/>
  <c r="O337" i="13"/>
  <c r="M337" i="13"/>
  <c r="M331" i="13" s="1"/>
  <c r="P331" i="13" s="1"/>
  <c r="O102" i="14"/>
  <c r="M102" i="14"/>
  <c r="M96" i="14" s="1"/>
  <c r="K370" i="8"/>
  <c r="K398" i="8"/>
  <c r="K430" i="8"/>
  <c r="O437" i="8"/>
  <c r="K481" i="8"/>
  <c r="O568" i="8"/>
  <c r="O584" i="8"/>
  <c r="K633" i="8"/>
  <c r="K368" i="9"/>
  <c r="K375" i="9"/>
  <c r="J671" i="9"/>
  <c r="O333" i="11"/>
  <c r="L331" i="11"/>
  <c r="M22" i="12"/>
  <c r="M12" i="12" s="1"/>
  <c r="P96" i="12"/>
  <c r="M94" i="12"/>
  <c r="P94" i="12" s="1"/>
  <c r="O122" i="12"/>
  <c r="L120" i="12"/>
  <c r="P314" i="12"/>
  <c r="M312" i="12"/>
  <c r="P312" i="12" s="1"/>
  <c r="P314" i="13"/>
  <c r="M312" i="13"/>
  <c r="P312" i="13" s="1"/>
  <c r="N32" i="10"/>
  <c r="N30" i="10" s="1"/>
  <c r="K615" i="10"/>
  <c r="K618" i="10"/>
  <c r="L122" i="11"/>
  <c r="L120" i="11" s="1"/>
  <c r="N32" i="11"/>
  <c r="N30" i="11" s="1"/>
  <c r="O597" i="11"/>
  <c r="O102" i="12"/>
  <c r="K112" i="12"/>
  <c r="L275" i="12"/>
  <c r="O275" i="12" s="1"/>
  <c r="K381" i="12"/>
  <c r="N32" i="12"/>
  <c r="N30" i="12" s="1"/>
  <c r="O385" i="12"/>
  <c r="N26" i="13"/>
  <c r="N16" i="13" s="1"/>
  <c r="M252" i="13"/>
  <c r="P252" i="13" s="1"/>
  <c r="P254" i="13"/>
  <c r="N33" i="14"/>
  <c r="N13" i="14" s="1"/>
  <c r="K424" i="14"/>
  <c r="O437" i="14"/>
  <c r="L32" i="14"/>
  <c r="L30" i="14" s="1"/>
  <c r="O533" i="14"/>
  <c r="N32" i="14"/>
  <c r="N30" i="14" s="1"/>
  <c r="L98" i="15"/>
  <c r="L96" i="15" s="1"/>
  <c r="P224" i="15"/>
  <c r="M222" i="15"/>
  <c r="P222" i="15" s="1"/>
  <c r="L333" i="15"/>
  <c r="O333" i="15" s="1"/>
  <c r="N33" i="15"/>
  <c r="N13" i="15" s="1"/>
  <c r="O438" i="18"/>
  <c r="L33" i="18"/>
  <c r="O33" i="18" s="1"/>
  <c r="K499" i="9"/>
  <c r="O582" i="9"/>
  <c r="N142" i="10"/>
  <c r="N140" i="10" s="1"/>
  <c r="N292" i="10"/>
  <c r="N290" i="10" s="1"/>
  <c r="K428" i="10"/>
  <c r="K432" i="10"/>
  <c r="O459" i="10"/>
  <c r="K499" i="10"/>
  <c r="O553" i="10"/>
  <c r="O582" i="10"/>
  <c r="K614" i="10"/>
  <c r="K617" i="10"/>
  <c r="N96" i="11"/>
  <c r="N94" i="11" s="1"/>
  <c r="N222" i="11"/>
  <c r="N220" i="11" s="1"/>
  <c r="K428" i="11"/>
  <c r="K432" i="11"/>
  <c r="O459" i="11"/>
  <c r="K499" i="11"/>
  <c r="K615" i="11"/>
  <c r="K618" i="11"/>
  <c r="L31" i="12"/>
  <c r="L11" i="12" s="1"/>
  <c r="N34" i="12"/>
  <c r="L24" i="12"/>
  <c r="O24" i="12" s="1"/>
  <c r="N68" i="12"/>
  <c r="N66" i="12" s="1"/>
  <c r="K219" i="12"/>
  <c r="L224" i="12"/>
  <c r="N312" i="12"/>
  <c r="K368" i="12"/>
  <c r="O401" i="12"/>
  <c r="O406" i="12"/>
  <c r="K419" i="12"/>
  <c r="K435" i="12"/>
  <c r="L24" i="13"/>
  <c r="O24" i="13" s="1"/>
  <c r="N31" i="13"/>
  <c r="N29" i="13" s="1"/>
  <c r="K617" i="13"/>
  <c r="K616" i="13"/>
  <c r="K614" i="13"/>
  <c r="K612" i="13"/>
  <c r="N644" i="13"/>
  <c r="N640" i="13" s="1"/>
  <c r="N638" i="13" s="1"/>
  <c r="N636" i="13" s="1"/>
  <c r="L298" i="1"/>
  <c r="O298" i="1" s="1"/>
  <c r="K375" i="14"/>
  <c r="O459" i="14"/>
  <c r="O648" i="14"/>
  <c r="L640" i="14"/>
  <c r="O640" i="14" s="1"/>
  <c r="N68" i="15"/>
  <c r="P98" i="15"/>
  <c r="M96" i="15"/>
  <c r="P96" i="15" s="1"/>
  <c r="M273" i="15"/>
  <c r="O354" i="15"/>
  <c r="L34" i="15"/>
  <c r="K381" i="15"/>
  <c r="M43" i="16"/>
  <c r="P43" i="16" s="1"/>
  <c r="P45" i="16"/>
  <c r="O61" i="16"/>
  <c r="L26" i="16"/>
  <c r="L16" i="16" s="1"/>
  <c r="O144" i="16"/>
  <c r="L142" i="16"/>
  <c r="O49" i="17"/>
  <c r="K650" i="17"/>
  <c r="M22" i="18"/>
  <c r="M12" i="18" s="1"/>
  <c r="M43" i="18"/>
  <c r="P45" i="18"/>
  <c r="N32" i="18"/>
  <c r="N30" i="18" s="1"/>
  <c r="O581" i="18"/>
  <c r="L31" i="18"/>
  <c r="M22" i="9"/>
  <c r="L26" i="9"/>
  <c r="N94" i="9"/>
  <c r="K164" i="9"/>
  <c r="K219" i="9"/>
  <c r="L254" i="9"/>
  <c r="L252" i="9" s="1"/>
  <c r="O252" i="9" s="1"/>
  <c r="K341" i="9"/>
  <c r="K350" i="9"/>
  <c r="K396" i="9"/>
  <c r="K398" i="9"/>
  <c r="K419" i="9"/>
  <c r="K424" i="9"/>
  <c r="K426" i="9"/>
  <c r="O435" i="9"/>
  <c r="O437" i="9"/>
  <c r="K466" i="9"/>
  <c r="K474" i="9"/>
  <c r="K482" i="9"/>
  <c r="K498" i="9"/>
  <c r="K573" i="9"/>
  <c r="O597" i="9"/>
  <c r="O599" i="9"/>
  <c r="O650" i="9"/>
  <c r="M41" i="10"/>
  <c r="L45" i="10"/>
  <c r="K64" i="10"/>
  <c r="K87" i="10"/>
  <c r="N96" i="10"/>
  <c r="N94" i="10" s="1"/>
  <c r="L98" i="10"/>
  <c r="O98" i="10" s="1"/>
  <c r="L122" i="10"/>
  <c r="O122" i="10" s="1"/>
  <c r="K158" i="10"/>
  <c r="L224" i="10"/>
  <c r="K270" i="10"/>
  <c r="K328" i="10"/>
  <c r="K343" i="10"/>
  <c r="K381" i="10"/>
  <c r="K396" i="10"/>
  <c r="K402" i="10"/>
  <c r="K416" i="10"/>
  <c r="K429" i="10"/>
  <c r="K431" i="10"/>
  <c r="N33" i="10"/>
  <c r="N13" i="10" s="1"/>
  <c r="K464" i="10"/>
  <c r="K466" i="10"/>
  <c r="K482" i="10"/>
  <c r="K498" i="10"/>
  <c r="K560" i="10"/>
  <c r="O564" i="10"/>
  <c r="K580" i="10"/>
  <c r="K613" i="10"/>
  <c r="K630" i="10"/>
  <c r="J651" i="10"/>
  <c r="N22" i="11"/>
  <c r="N68" i="11"/>
  <c r="O68" i="11" s="1"/>
  <c r="K85" i="11"/>
  <c r="K149" i="11"/>
  <c r="K176" i="11"/>
  <c r="K200" i="11"/>
  <c r="K219" i="11"/>
  <c r="K235" i="11"/>
  <c r="L275" i="11"/>
  <c r="P337" i="11"/>
  <c r="K341" i="11"/>
  <c r="O347" i="11"/>
  <c r="N31" i="11"/>
  <c r="K376" i="11"/>
  <c r="O385" i="11"/>
  <c r="K398" i="11"/>
  <c r="K401" i="11"/>
  <c r="K429" i="11"/>
  <c r="K431" i="11"/>
  <c r="K464" i="11"/>
  <c r="K466" i="11"/>
  <c r="K482" i="11"/>
  <c r="K498" i="11"/>
  <c r="O582" i="11"/>
  <c r="O584" i="11"/>
  <c r="K614" i="11"/>
  <c r="K132" i="12"/>
  <c r="L144" i="12"/>
  <c r="L142" i="12" s="1"/>
  <c r="K189" i="12"/>
  <c r="K200" i="12"/>
  <c r="K341" i="12"/>
  <c r="N31" i="12"/>
  <c r="K401" i="12"/>
  <c r="K416" i="12"/>
  <c r="K418" i="12"/>
  <c r="O435" i="12"/>
  <c r="O437" i="12"/>
  <c r="K449" i="12"/>
  <c r="O457" i="12"/>
  <c r="O459" i="12"/>
  <c r="K482" i="12"/>
  <c r="K497" i="12"/>
  <c r="K614" i="12"/>
  <c r="K616" i="12"/>
  <c r="K630" i="12"/>
  <c r="O98" i="13"/>
  <c r="K117" i="13"/>
  <c r="K133" i="13"/>
  <c r="M142" i="13"/>
  <c r="P142" i="13" s="1"/>
  <c r="P144" i="13"/>
  <c r="L314" i="13"/>
  <c r="K416" i="13"/>
  <c r="K455" i="13"/>
  <c r="O580" i="13"/>
  <c r="O582" i="13"/>
  <c r="K591" i="13"/>
  <c r="K618" i="13"/>
  <c r="K629" i="13"/>
  <c r="K631" i="13"/>
  <c r="K285" i="14"/>
  <c r="N290" i="14"/>
  <c r="P314" i="14"/>
  <c r="M312" i="14"/>
  <c r="P312" i="14" s="1"/>
  <c r="L34" i="14"/>
  <c r="O34" i="14" s="1"/>
  <c r="O354" i="14"/>
  <c r="K455" i="14"/>
  <c r="K634" i="14"/>
  <c r="K229" i="15"/>
  <c r="K285" i="15"/>
  <c r="K422" i="15"/>
  <c r="K424" i="15"/>
  <c r="O436" i="15"/>
  <c r="L31" i="15"/>
  <c r="L29" i="15" s="1"/>
  <c r="O533" i="15"/>
  <c r="K632" i="15"/>
  <c r="N644" i="15"/>
  <c r="N640" i="15" s="1"/>
  <c r="N638" i="15" s="1"/>
  <c r="N636" i="15" s="1"/>
  <c r="N14" i="16"/>
  <c r="O383" i="16"/>
  <c r="O385" i="16"/>
  <c r="P45" i="17"/>
  <c r="M49" i="17"/>
  <c r="M43" i="17" s="1"/>
  <c r="K616" i="17"/>
  <c r="K618" i="17"/>
  <c r="K614" i="17"/>
  <c r="K466" i="12"/>
  <c r="K533" i="12"/>
  <c r="K613" i="12"/>
  <c r="K624" i="12"/>
  <c r="K634" i="12"/>
  <c r="J651" i="12"/>
  <c r="O665" i="12"/>
  <c r="J671" i="12"/>
  <c r="K132" i="13"/>
  <c r="K199" i="13"/>
  <c r="L224" i="13"/>
  <c r="K349" i="13"/>
  <c r="K380" i="13"/>
  <c r="K401" i="13"/>
  <c r="O404" i="13"/>
  <c r="K421" i="13"/>
  <c r="K449" i="13"/>
  <c r="K547" i="13"/>
  <c r="K564" i="13"/>
  <c r="K595" i="13"/>
  <c r="K611" i="13"/>
  <c r="K619" i="13"/>
  <c r="K109" i="14"/>
  <c r="O337" i="14"/>
  <c r="K368" i="14"/>
  <c r="K396" i="14"/>
  <c r="K428" i="14"/>
  <c r="O435" i="14"/>
  <c r="K499" i="14"/>
  <c r="O537" i="14"/>
  <c r="O564" i="14"/>
  <c r="K621" i="14"/>
  <c r="K631" i="14"/>
  <c r="K83" i="15"/>
  <c r="N96" i="15"/>
  <c r="N94" i="15" s="1"/>
  <c r="K132" i="15"/>
  <c r="K216" i="15"/>
  <c r="N252" i="15"/>
  <c r="L254" i="15"/>
  <c r="O254" i="15" s="1"/>
  <c r="P333" i="15"/>
  <c r="K368" i="15"/>
  <c r="K376" i="15"/>
  <c r="O380" i="15"/>
  <c r="O439" i="15"/>
  <c r="K482" i="15"/>
  <c r="P314" i="16"/>
  <c r="M312" i="16"/>
  <c r="P312" i="16" s="1"/>
  <c r="M331" i="16"/>
  <c r="M329" i="16" s="1"/>
  <c r="P333" i="16"/>
  <c r="O382" i="16"/>
  <c r="L31" i="16"/>
  <c r="K422" i="16"/>
  <c r="K424" i="16"/>
  <c r="K435" i="16"/>
  <c r="O535" i="16"/>
  <c r="K618" i="16"/>
  <c r="K613" i="16"/>
  <c r="K614" i="16"/>
  <c r="K267" i="17"/>
  <c r="P275" i="17"/>
  <c r="M273" i="17"/>
  <c r="K380" i="17"/>
  <c r="O455" i="17"/>
  <c r="N34" i="18"/>
  <c r="N14" i="18" s="1"/>
  <c r="O533" i="12"/>
  <c r="O535" i="12"/>
  <c r="K547" i="12"/>
  <c r="O564" i="12"/>
  <c r="O601" i="12"/>
  <c r="K621" i="12"/>
  <c r="K626" i="12"/>
  <c r="N66" i="13"/>
  <c r="K164" i="13"/>
  <c r="K189" i="13"/>
  <c r="N220" i="13"/>
  <c r="P224" i="13"/>
  <c r="K229" i="13"/>
  <c r="N252" i="13"/>
  <c r="N250" i="13" s="1"/>
  <c r="P275" i="13"/>
  <c r="N290" i="13"/>
  <c r="L331" i="13"/>
  <c r="O331" i="13" s="1"/>
  <c r="O347" i="13"/>
  <c r="O349" i="13"/>
  <c r="L31" i="13"/>
  <c r="L11" i="13" s="1"/>
  <c r="O354" i="13"/>
  <c r="K376" i="13"/>
  <c r="O380" i="13"/>
  <c r="O383" i="13"/>
  <c r="O385" i="13"/>
  <c r="O401" i="13"/>
  <c r="K425" i="13"/>
  <c r="O564" i="13"/>
  <c r="O566" i="13"/>
  <c r="K573" i="13"/>
  <c r="K580" i="13"/>
  <c r="K628" i="13"/>
  <c r="K108" i="14"/>
  <c r="K113" i="14"/>
  <c r="L122" i="14"/>
  <c r="O122" i="14" s="1"/>
  <c r="K173" i="14"/>
  <c r="K199" i="14"/>
  <c r="K219" i="14"/>
  <c r="K235" i="14"/>
  <c r="L275" i="14"/>
  <c r="L314" i="14"/>
  <c r="K328" i="14"/>
  <c r="M337" i="14"/>
  <c r="K340" i="14"/>
  <c r="K343" i="14"/>
  <c r="K372" i="14"/>
  <c r="K397" i="14"/>
  <c r="O404" i="14"/>
  <c r="K416" i="14"/>
  <c r="K429" i="14"/>
  <c r="K432" i="14"/>
  <c r="O439" i="14"/>
  <c r="K547" i="14"/>
  <c r="K591" i="14"/>
  <c r="O597" i="14"/>
  <c r="K628" i="14"/>
  <c r="K635" i="14"/>
  <c r="K200" i="15"/>
  <c r="L314" i="15"/>
  <c r="K340" i="15"/>
  <c r="K345" i="15"/>
  <c r="K349" i="15"/>
  <c r="K397" i="15"/>
  <c r="O564" i="15"/>
  <c r="K573" i="15"/>
  <c r="K417" i="16"/>
  <c r="K419" i="16"/>
  <c r="N644" i="16"/>
  <c r="N640" i="16" s="1"/>
  <c r="N638" i="16" s="1"/>
  <c r="N636" i="16" s="1"/>
  <c r="K431" i="17"/>
  <c r="O435" i="17"/>
  <c r="K481" i="17"/>
  <c r="L68" i="18"/>
  <c r="L66" i="18" s="1"/>
  <c r="O70" i="18"/>
  <c r="K270" i="18"/>
  <c r="K340" i="18"/>
  <c r="K533" i="18"/>
  <c r="K631" i="18"/>
  <c r="K633" i="18"/>
  <c r="K431" i="15"/>
  <c r="K474" i="15"/>
  <c r="K614" i="15"/>
  <c r="N22" i="16"/>
  <c r="N55" i="16"/>
  <c r="N53" i="16" s="1"/>
  <c r="O74" i="16"/>
  <c r="K431" i="16"/>
  <c r="K474" i="16"/>
  <c r="K533" i="16"/>
  <c r="K573" i="16"/>
  <c r="L333" i="17"/>
  <c r="L331" i="17" s="1"/>
  <c r="K158" i="18"/>
  <c r="L294" i="18"/>
  <c r="N33" i="18"/>
  <c r="N13" i="18" s="1"/>
  <c r="J656" i="1"/>
  <c r="O404" i="15"/>
  <c r="K423" i="15"/>
  <c r="K425" i="15"/>
  <c r="K430" i="15"/>
  <c r="K449" i="15"/>
  <c r="K466" i="15"/>
  <c r="K533" i="15"/>
  <c r="N31" i="15"/>
  <c r="N29" i="15" s="1"/>
  <c r="K618" i="15"/>
  <c r="K650" i="15"/>
  <c r="K663" i="15"/>
  <c r="O665" i="15"/>
  <c r="N41" i="16"/>
  <c r="N96" i="16"/>
  <c r="N94" i="16" s="1"/>
  <c r="N142" i="16"/>
  <c r="N140" i="16" s="1"/>
  <c r="K164" i="16"/>
  <c r="N252" i="16"/>
  <c r="N250" i="16" s="1"/>
  <c r="L275" i="16"/>
  <c r="O347" i="16"/>
  <c r="K377" i="16"/>
  <c r="K380" i="16"/>
  <c r="K398" i="16"/>
  <c r="K401" i="16"/>
  <c r="K402" i="16"/>
  <c r="O457" i="16"/>
  <c r="K464" i="16"/>
  <c r="K547" i="16"/>
  <c r="O566" i="16"/>
  <c r="O601" i="16"/>
  <c r="K634" i="16"/>
  <c r="P57" i="17"/>
  <c r="K92" i="17"/>
  <c r="K112" i="17"/>
  <c r="N142" i="17"/>
  <c r="N140" i="17" s="1"/>
  <c r="K149" i="17"/>
  <c r="K186" i="17"/>
  <c r="K189" i="17"/>
  <c r="K349" i="17"/>
  <c r="K375" i="17"/>
  <c r="K397" i="17"/>
  <c r="O401" i="17"/>
  <c r="K425" i="17"/>
  <c r="K499" i="17"/>
  <c r="K560" i="17"/>
  <c r="K81" i="18"/>
  <c r="K235" i="18"/>
  <c r="K343" i="18"/>
  <c r="K345" i="18"/>
  <c r="O354" i="18"/>
  <c r="O385" i="18"/>
  <c r="O406" i="18"/>
  <c r="K580" i="18"/>
  <c r="K597" i="18"/>
  <c r="K564" i="15"/>
  <c r="O568" i="15"/>
  <c r="K597" i="15"/>
  <c r="K628" i="15"/>
  <c r="O651" i="15"/>
  <c r="K668" i="15"/>
  <c r="K64" i="16"/>
  <c r="K80" i="16"/>
  <c r="L98" i="16"/>
  <c r="K117" i="16"/>
  <c r="P122" i="16"/>
  <c r="K173" i="16"/>
  <c r="K199" i="16"/>
  <c r="K219" i="16"/>
  <c r="K270" i="16"/>
  <c r="N290" i="16"/>
  <c r="K328" i="16"/>
  <c r="N331" i="16"/>
  <c r="N329" i="16" s="1"/>
  <c r="P329" i="16" s="1"/>
  <c r="O354" i="16"/>
  <c r="K397" i="16"/>
  <c r="O401" i="16"/>
  <c r="O404" i="16"/>
  <c r="K423" i="16"/>
  <c r="K425" i="16"/>
  <c r="K430" i="16"/>
  <c r="O437" i="16"/>
  <c r="K449" i="16"/>
  <c r="K455" i="16"/>
  <c r="K465" i="16"/>
  <c r="K498" i="16"/>
  <c r="K580" i="16"/>
  <c r="K591" i="16"/>
  <c r="K628" i="16"/>
  <c r="N96" i="17"/>
  <c r="N94" i="17" s="1"/>
  <c r="O102" i="17"/>
  <c r="N273" i="17"/>
  <c r="K340" i="17"/>
  <c r="K368" i="17"/>
  <c r="K376" i="17"/>
  <c r="K417" i="17"/>
  <c r="K419" i="17"/>
  <c r="K424" i="17"/>
  <c r="K455" i="17"/>
  <c r="O459" i="17"/>
  <c r="K466" i="17"/>
  <c r="K474" i="17"/>
  <c r="K482" i="17"/>
  <c r="K498" i="17"/>
  <c r="O533" i="17"/>
  <c r="K551" i="17"/>
  <c r="O564" i="17"/>
  <c r="K634" i="17"/>
  <c r="N644" i="17"/>
  <c r="N640" i="17" s="1"/>
  <c r="N638" i="17" s="1"/>
  <c r="N636" i="17" s="1"/>
  <c r="N66" i="18"/>
  <c r="K93" i="18"/>
  <c r="K109" i="18"/>
  <c r="K200" i="18"/>
  <c r="M222" i="18"/>
  <c r="M220" i="18" s="1"/>
  <c r="P224" i="18"/>
  <c r="L23" i="18"/>
  <c r="O337" i="18"/>
  <c r="K349" i="18"/>
  <c r="K401" i="18"/>
  <c r="O455" i="18"/>
  <c r="O457" i="18"/>
  <c r="K591" i="18"/>
  <c r="K650" i="18"/>
  <c r="K597" i="17"/>
  <c r="K628" i="17"/>
  <c r="K88" i="18"/>
  <c r="K110" i="18"/>
  <c r="L144" i="18"/>
  <c r="L142" i="18" s="1"/>
  <c r="L140" i="18" s="1"/>
  <c r="K199" i="18"/>
  <c r="K219" i="18"/>
  <c r="N222" i="18"/>
  <c r="N220" i="18" s="1"/>
  <c r="K264" i="18"/>
  <c r="K266" i="18"/>
  <c r="K309" i="18"/>
  <c r="O347" i="18"/>
  <c r="O352" i="18"/>
  <c r="K372" i="18"/>
  <c r="K376" i="18"/>
  <c r="O404" i="18"/>
  <c r="K416" i="18"/>
  <c r="K421" i="18"/>
  <c r="K424" i="18"/>
  <c r="K429" i="18"/>
  <c r="K432" i="18"/>
  <c r="N31" i="18"/>
  <c r="K564" i="18"/>
  <c r="O566" i="18"/>
  <c r="K595" i="18"/>
  <c r="O597" i="18"/>
  <c r="K617" i="18"/>
  <c r="K612" i="18"/>
  <c r="K624" i="18"/>
  <c r="K632" i="18"/>
  <c r="K635" i="18"/>
  <c r="N644" i="18"/>
  <c r="N640" i="18" s="1"/>
  <c r="N638" i="18" s="1"/>
  <c r="N636" i="18" s="1"/>
  <c r="M19" i="1"/>
  <c r="P21" i="1"/>
  <c r="M11" i="1"/>
  <c r="O640" i="2"/>
  <c r="L638" i="2"/>
  <c r="K380" i="2"/>
  <c r="I380" i="1"/>
  <c r="K380" i="1" s="1"/>
  <c r="O382" i="2"/>
  <c r="L382" i="1"/>
  <c r="K397" i="2"/>
  <c r="I397" i="1"/>
  <c r="K397" i="1" s="1"/>
  <c r="K422" i="2"/>
  <c r="J422" i="1"/>
  <c r="O537" i="2"/>
  <c r="L537" i="1"/>
  <c r="O537" i="1" s="1"/>
  <c r="O551" i="2"/>
  <c r="N551" i="1"/>
  <c r="M53" i="3"/>
  <c r="P53" i="3" s="1"/>
  <c r="P55" i="3"/>
  <c r="M14" i="1"/>
  <c r="P14" i="1" s="1"/>
  <c r="P34" i="1"/>
  <c r="L534" i="1"/>
  <c r="O534" i="1" s="1"/>
  <c r="M53" i="2"/>
  <c r="P53" i="2" s="1"/>
  <c r="P55" i="2"/>
  <c r="L224" i="2"/>
  <c r="L226" i="1"/>
  <c r="K264" i="2"/>
  <c r="I264" i="1"/>
  <c r="K289" i="2"/>
  <c r="I289" i="1"/>
  <c r="K289" i="1" s="1"/>
  <c r="K344" i="2"/>
  <c r="I344" i="1"/>
  <c r="K344" i="1" s="1"/>
  <c r="O347" i="2"/>
  <c r="L347" i="1"/>
  <c r="O347" i="1" s="1"/>
  <c r="O352" i="2"/>
  <c r="L352" i="1"/>
  <c r="K449" i="2"/>
  <c r="I449" i="1"/>
  <c r="K449" i="1" s="1"/>
  <c r="K452" i="2"/>
  <c r="I452" i="1"/>
  <c r="K452" i="1" s="1"/>
  <c r="K635" i="2"/>
  <c r="I635" i="1"/>
  <c r="K635" i="1" s="1"/>
  <c r="P25" i="1"/>
  <c r="M15" i="1"/>
  <c r="P15" i="1" s="1"/>
  <c r="P29" i="1"/>
  <c r="M28" i="1"/>
  <c r="P28" i="1" s="1"/>
  <c r="P26" i="2"/>
  <c r="M16" i="2"/>
  <c r="P16" i="2" s="1"/>
  <c r="O42" i="2"/>
  <c r="K339" i="2"/>
  <c r="I339" i="1"/>
  <c r="K339" i="1" s="1"/>
  <c r="O435" i="2"/>
  <c r="L435" i="1"/>
  <c r="O435" i="1" s="1"/>
  <c r="O584" i="2"/>
  <c r="N584" i="1"/>
  <c r="O57" i="3"/>
  <c r="L55" i="3"/>
  <c r="P54" i="1"/>
  <c r="O54" i="1"/>
  <c r="P70" i="1"/>
  <c r="K87" i="1"/>
  <c r="K92" i="1"/>
  <c r="K199" i="1"/>
  <c r="J219" i="1"/>
  <c r="K219" i="1" s="1"/>
  <c r="K249" i="1"/>
  <c r="I632" i="1"/>
  <c r="K632" i="1" s="1"/>
  <c r="N34" i="2"/>
  <c r="N14" i="2" s="1"/>
  <c r="N43" i="2"/>
  <c r="N41" i="2" s="1"/>
  <c r="N22" i="2"/>
  <c r="P22" i="2" s="1"/>
  <c r="N45" i="1"/>
  <c r="N96" i="2"/>
  <c r="N102" i="1"/>
  <c r="K117" i="2"/>
  <c r="J117" i="1"/>
  <c r="K189" i="2"/>
  <c r="J189" i="1"/>
  <c r="K189" i="1" s="1"/>
  <c r="K430" i="2"/>
  <c r="J430" i="1"/>
  <c r="N564" i="1"/>
  <c r="O564" i="2"/>
  <c r="O122" i="3"/>
  <c r="P271" i="3"/>
  <c r="O70" i="8"/>
  <c r="L42" i="1"/>
  <c r="L21" i="1"/>
  <c r="O57" i="2"/>
  <c r="L55" i="2"/>
  <c r="N68" i="2"/>
  <c r="N26" i="2"/>
  <c r="N16" i="2" s="1"/>
  <c r="L96" i="2"/>
  <c r="O98" i="2"/>
  <c r="L144" i="2"/>
  <c r="L145" i="1"/>
  <c r="M310" i="2"/>
  <c r="P312" i="2"/>
  <c r="O671" i="2"/>
  <c r="L671" i="1"/>
  <c r="O671" i="1" s="1"/>
  <c r="N74" i="1"/>
  <c r="L25" i="1"/>
  <c r="O354" i="1"/>
  <c r="M20" i="2"/>
  <c r="M12" i="2"/>
  <c r="L32" i="2"/>
  <c r="L122" i="2"/>
  <c r="L24" i="2"/>
  <c r="L124" i="1"/>
  <c r="K377" i="3"/>
  <c r="I377" i="1"/>
  <c r="K377" i="1" s="1"/>
  <c r="K430" i="3"/>
  <c r="I430" i="1"/>
  <c r="N33" i="3"/>
  <c r="N13" i="3" s="1"/>
  <c r="N438" i="1"/>
  <c r="K485" i="3"/>
  <c r="I485" i="1"/>
  <c r="K485" i="1" s="1"/>
  <c r="K493" i="3"/>
  <c r="I493" i="1"/>
  <c r="K493" i="1" s="1"/>
  <c r="K577" i="3"/>
  <c r="I577" i="1"/>
  <c r="K577" i="1" s="1"/>
  <c r="O584" i="3"/>
  <c r="L584" i="1"/>
  <c r="O584" i="1" s="1"/>
  <c r="K596" i="3"/>
  <c r="I596" i="1"/>
  <c r="K596" i="1" s="1"/>
  <c r="K629" i="3"/>
  <c r="I629" i="1"/>
  <c r="J657" i="1"/>
  <c r="J651" i="3"/>
  <c r="P24" i="4"/>
  <c r="M14" i="4"/>
  <c r="P14" i="4" s="1"/>
  <c r="M13" i="4"/>
  <c r="P13" i="4" s="1"/>
  <c r="P33" i="4"/>
  <c r="L70" i="4"/>
  <c r="K619" i="4"/>
  <c r="K615" i="4"/>
  <c r="K611" i="4"/>
  <c r="K616" i="4"/>
  <c r="K612" i="4"/>
  <c r="K618" i="4"/>
  <c r="K614" i="4"/>
  <c r="P222" i="5"/>
  <c r="M220" i="5"/>
  <c r="P220" i="5" s="1"/>
  <c r="L294" i="5"/>
  <c r="L24" i="5"/>
  <c r="M142" i="6"/>
  <c r="P142" i="6" s="1"/>
  <c r="P144" i="6"/>
  <c r="O581" i="6"/>
  <c r="L31" i="6"/>
  <c r="L11" i="6" s="1"/>
  <c r="P24" i="7"/>
  <c r="M14" i="7"/>
  <c r="P14" i="7" s="1"/>
  <c r="P275" i="7"/>
  <c r="N273" i="7"/>
  <c r="N271" i="7" s="1"/>
  <c r="O275" i="7"/>
  <c r="M13" i="8"/>
  <c r="P13" i="8" s="1"/>
  <c r="P33" i="8"/>
  <c r="K369" i="8"/>
  <c r="I367" i="8"/>
  <c r="K367" i="8" s="1"/>
  <c r="O457" i="8"/>
  <c r="N32" i="8"/>
  <c r="N30" i="8" s="1"/>
  <c r="O224" i="15"/>
  <c r="P144" i="18"/>
  <c r="N142" i="18"/>
  <c r="I109" i="1"/>
  <c r="K109" i="1" s="1"/>
  <c r="M122" i="1"/>
  <c r="P122" i="1" s="1"/>
  <c r="L123" i="1"/>
  <c r="L148" i="1"/>
  <c r="O148" i="1" s="1"/>
  <c r="M57" i="1"/>
  <c r="I84" i="1"/>
  <c r="K84" i="1" s="1"/>
  <c r="I93" i="1"/>
  <c r="K93" i="1" s="1"/>
  <c r="N98" i="1"/>
  <c r="P98" i="1" s="1"/>
  <c r="N144" i="1"/>
  <c r="J149" i="1"/>
  <c r="K149" i="1" s="1"/>
  <c r="I200" i="1"/>
  <c r="K200" i="1" s="1"/>
  <c r="I215" i="1"/>
  <c r="K215" i="1" s="1"/>
  <c r="N258" i="1"/>
  <c r="I270" i="1"/>
  <c r="K270" i="1" s="1"/>
  <c r="N275" i="1"/>
  <c r="P275" i="1" s="1"/>
  <c r="N291" i="1"/>
  <c r="M311" i="1"/>
  <c r="P311" i="1" s="1"/>
  <c r="N352" i="1"/>
  <c r="I371" i="1"/>
  <c r="K371" i="1" s="1"/>
  <c r="K375" i="1"/>
  <c r="N384" i="1"/>
  <c r="I416" i="1"/>
  <c r="K416" i="1" s="1"/>
  <c r="I432" i="1"/>
  <c r="K432" i="1" s="1"/>
  <c r="L436" i="1"/>
  <c r="O436" i="1" s="1"/>
  <c r="O455" i="1"/>
  <c r="I479" i="1"/>
  <c r="K479" i="1" s="1"/>
  <c r="I495" i="1"/>
  <c r="K495" i="1" s="1"/>
  <c r="I504" i="1"/>
  <c r="K504" i="1" s="1"/>
  <c r="I511" i="1"/>
  <c r="K511" i="1" s="1"/>
  <c r="N535" i="1"/>
  <c r="I547" i="1"/>
  <c r="I560" i="1"/>
  <c r="I593" i="1"/>
  <c r="K593" i="1" s="1"/>
  <c r="N599" i="1"/>
  <c r="I611" i="1"/>
  <c r="I628" i="1"/>
  <c r="K628" i="1" s="1"/>
  <c r="J633" i="1"/>
  <c r="O668" i="1"/>
  <c r="L33" i="2"/>
  <c r="O33" i="2" s="1"/>
  <c r="P45" i="2"/>
  <c r="M43" i="2"/>
  <c r="L26" i="2"/>
  <c r="P57" i="2"/>
  <c r="K132" i="2"/>
  <c r="K158" i="2"/>
  <c r="K229" i="2"/>
  <c r="L254" i="2"/>
  <c r="L333" i="2"/>
  <c r="N33" i="2"/>
  <c r="N13" i="2" s="1"/>
  <c r="K401" i="2"/>
  <c r="K417" i="2"/>
  <c r="K425" i="2"/>
  <c r="K464" i="2"/>
  <c r="K561" i="1"/>
  <c r="K580" i="2"/>
  <c r="K591" i="2"/>
  <c r="O42" i="3"/>
  <c r="P45" i="3"/>
  <c r="M43" i="3"/>
  <c r="L26" i="3"/>
  <c r="P57" i="3"/>
  <c r="K82" i="3"/>
  <c r="O98" i="3"/>
  <c r="K113" i="3"/>
  <c r="O119" i="3"/>
  <c r="P122" i="3"/>
  <c r="M140" i="3"/>
  <c r="P142" i="3"/>
  <c r="L222" i="3"/>
  <c r="O224" i="3"/>
  <c r="O254" i="3"/>
  <c r="P273" i="3"/>
  <c r="P311" i="3"/>
  <c r="N329" i="3"/>
  <c r="O380" i="3"/>
  <c r="L380" i="1"/>
  <c r="O385" i="3"/>
  <c r="K398" i="3"/>
  <c r="I398" i="1"/>
  <c r="K450" i="3"/>
  <c r="I450" i="1"/>
  <c r="K533" i="3"/>
  <c r="O535" i="3"/>
  <c r="L535" i="1"/>
  <c r="O535" i="1" s="1"/>
  <c r="J613" i="1"/>
  <c r="M9" i="4"/>
  <c r="P11" i="4"/>
  <c r="P29" i="4"/>
  <c r="M28" i="4"/>
  <c r="P28" i="4" s="1"/>
  <c r="P42" i="4"/>
  <c r="N26" i="4"/>
  <c r="N16" i="4" s="1"/>
  <c r="O57" i="4"/>
  <c r="L55" i="4"/>
  <c r="L23" i="4"/>
  <c r="O67" i="4"/>
  <c r="P70" i="4"/>
  <c r="L120" i="4"/>
  <c r="O122" i="4"/>
  <c r="K199" i="4"/>
  <c r="P222" i="4"/>
  <c r="O252" i="4"/>
  <c r="K309" i="4"/>
  <c r="O311" i="4"/>
  <c r="L310" i="4"/>
  <c r="O310" i="4" s="1"/>
  <c r="M312" i="4"/>
  <c r="P312" i="4" s="1"/>
  <c r="P314" i="4"/>
  <c r="O333" i="4"/>
  <c r="O352" i="4"/>
  <c r="L32" i="4"/>
  <c r="K380" i="4"/>
  <c r="K397" i="4"/>
  <c r="K449" i="4"/>
  <c r="N34" i="4"/>
  <c r="N14" i="4" s="1"/>
  <c r="O555" i="4"/>
  <c r="K617" i="4"/>
  <c r="N19" i="5"/>
  <c r="N11" i="5"/>
  <c r="N9" i="5" s="1"/>
  <c r="O23" i="5"/>
  <c r="L32" i="5"/>
  <c r="O57" i="5"/>
  <c r="L55" i="5"/>
  <c r="P68" i="5"/>
  <c r="M66" i="5"/>
  <c r="P66" i="5" s="1"/>
  <c r="P120" i="5"/>
  <c r="M118" i="5"/>
  <c r="P118" i="5" s="1"/>
  <c r="M140" i="5"/>
  <c r="P140" i="5" s="1"/>
  <c r="P142" i="5"/>
  <c r="L222" i="5"/>
  <c r="O224" i="5"/>
  <c r="M250" i="5"/>
  <c r="P250" i="5" s="1"/>
  <c r="P252" i="5"/>
  <c r="P273" i="5"/>
  <c r="M312" i="5"/>
  <c r="P314" i="5"/>
  <c r="N32" i="5"/>
  <c r="N30" i="5" s="1"/>
  <c r="N28" i="5" s="1"/>
  <c r="K369" i="5"/>
  <c r="I367" i="5"/>
  <c r="K367" i="5" s="1"/>
  <c r="O554" i="5"/>
  <c r="L33" i="5"/>
  <c r="O33" i="5" s="1"/>
  <c r="N644" i="5"/>
  <c r="N640" i="5" s="1"/>
  <c r="N638" i="5" s="1"/>
  <c r="N636" i="5" s="1"/>
  <c r="P11" i="6"/>
  <c r="M96" i="6"/>
  <c r="M22" i="6"/>
  <c r="P98" i="6"/>
  <c r="P102" i="6"/>
  <c r="M26" i="6"/>
  <c r="O141" i="6"/>
  <c r="L140" i="6"/>
  <c r="O140" i="6" s="1"/>
  <c r="P275" i="6"/>
  <c r="N273" i="6"/>
  <c r="N271" i="6" s="1"/>
  <c r="O275" i="6"/>
  <c r="M292" i="6"/>
  <c r="P294" i="6"/>
  <c r="N644" i="6"/>
  <c r="N640" i="6" s="1"/>
  <c r="N638" i="6" s="1"/>
  <c r="N636" i="6" s="1"/>
  <c r="O648" i="6"/>
  <c r="L68" i="7"/>
  <c r="O70" i="7"/>
  <c r="P95" i="7"/>
  <c r="P251" i="7"/>
  <c r="O279" i="7"/>
  <c r="L273" i="7"/>
  <c r="K371" i="7"/>
  <c r="I367" i="7"/>
  <c r="K367" i="7" s="1"/>
  <c r="K625" i="7"/>
  <c r="K621" i="7"/>
  <c r="K624" i="7"/>
  <c r="K620" i="7"/>
  <c r="K622" i="7"/>
  <c r="K623" i="7"/>
  <c r="L31" i="8"/>
  <c r="L11" i="8" s="1"/>
  <c r="O24" i="8"/>
  <c r="L14" i="8"/>
  <c r="N19" i="9"/>
  <c r="M20" i="9"/>
  <c r="M12" i="9"/>
  <c r="M94" i="9"/>
  <c r="P94" i="9" s="1"/>
  <c r="P96" i="9"/>
  <c r="K371" i="9"/>
  <c r="I367" i="9"/>
  <c r="K367" i="9" s="1"/>
  <c r="P32" i="10"/>
  <c r="M30" i="10"/>
  <c r="P30" i="10" s="1"/>
  <c r="O385" i="10"/>
  <c r="L34" i="10"/>
  <c r="L14" i="10" s="1"/>
  <c r="O600" i="10"/>
  <c r="L33" i="10"/>
  <c r="O33" i="10" s="1"/>
  <c r="P67" i="12"/>
  <c r="O311" i="3"/>
  <c r="O405" i="3"/>
  <c r="L405" i="1"/>
  <c r="O405" i="1" s="1"/>
  <c r="K422" i="3"/>
  <c r="I422" i="1"/>
  <c r="O457" i="3"/>
  <c r="L457" i="1"/>
  <c r="K469" i="3"/>
  <c r="I469" i="1"/>
  <c r="K469" i="1" s="1"/>
  <c r="K477" i="3"/>
  <c r="I477" i="1"/>
  <c r="K477" i="1" s="1"/>
  <c r="K509" i="3"/>
  <c r="I509" i="1"/>
  <c r="K509" i="1" s="1"/>
  <c r="O551" i="3"/>
  <c r="L551" i="1"/>
  <c r="K625" i="3"/>
  <c r="K621" i="3"/>
  <c r="K624" i="3"/>
  <c r="K620" i="3"/>
  <c r="I620" i="1"/>
  <c r="K626" i="3"/>
  <c r="K663" i="3"/>
  <c r="I663" i="1"/>
  <c r="K663" i="1" s="1"/>
  <c r="K671" i="3"/>
  <c r="I671" i="1"/>
  <c r="O29" i="4"/>
  <c r="M250" i="4"/>
  <c r="P252" i="4"/>
  <c r="P42" i="6"/>
  <c r="O354" i="6"/>
  <c r="L34" i="6"/>
  <c r="I86" i="1"/>
  <c r="K86" i="1" s="1"/>
  <c r="N95" i="1"/>
  <c r="L296" i="1"/>
  <c r="I341" i="1"/>
  <c r="K341" i="1" s="1"/>
  <c r="L349" i="1"/>
  <c r="I372" i="1"/>
  <c r="K372" i="1" s="1"/>
  <c r="I376" i="1"/>
  <c r="K376" i="1" s="1"/>
  <c r="I424" i="1"/>
  <c r="K424" i="1" s="1"/>
  <c r="J450" i="1"/>
  <c r="I455" i="1"/>
  <c r="K455" i="1" s="1"/>
  <c r="L456" i="1"/>
  <c r="O456" i="1" s="1"/>
  <c r="I464" i="1"/>
  <c r="K464" i="1" s="1"/>
  <c r="I471" i="1"/>
  <c r="K471" i="1" s="1"/>
  <c r="I480" i="1"/>
  <c r="K480" i="1" s="1"/>
  <c r="I487" i="1"/>
  <c r="K487" i="1" s="1"/>
  <c r="I503" i="1"/>
  <c r="K503" i="1" s="1"/>
  <c r="I512" i="1"/>
  <c r="K512" i="1" s="1"/>
  <c r="L600" i="1"/>
  <c r="O600" i="1" s="1"/>
  <c r="I634" i="1"/>
  <c r="K634" i="1" s="1"/>
  <c r="N648" i="1"/>
  <c r="J660" i="1"/>
  <c r="O19" i="2"/>
  <c r="N19" i="2"/>
  <c r="N11" i="2"/>
  <c r="N9" i="2" s="1"/>
  <c r="O45" i="2"/>
  <c r="L43" i="2"/>
  <c r="L68" i="2"/>
  <c r="O70" i="2"/>
  <c r="M94" i="2"/>
  <c r="P96" i="2"/>
  <c r="P119" i="2"/>
  <c r="M118" i="2"/>
  <c r="P122" i="2"/>
  <c r="N120" i="2"/>
  <c r="P120" i="2" s="1"/>
  <c r="P221" i="2"/>
  <c r="M220" i="2"/>
  <c r="P224" i="2"/>
  <c r="N222" i="2"/>
  <c r="P222" i="2" s="1"/>
  <c r="O251" i="2"/>
  <c r="M252" i="2"/>
  <c r="P254" i="2"/>
  <c r="O330" i="2"/>
  <c r="M331" i="2"/>
  <c r="P333" i="2"/>
  <c r="N32" i="2"/>
  <c r="N30" i="2" s="1"/>
  <c r="N28" i="2" s="1"/>
  <c r="K369" i="2"/>
  <c r="I367" i="2"/>
  <c r="K367" i="2" s="1"/>
  <c r="K619" i="2"/>
  <c r="K615" i="2"/>
  <c r="K611" i="2"/>
  <c r="K618" i="2"/>
  <c r="K614" i="2"/>
  <c r="K612" i="2"/>
  <c r="O19" i="3"/>
  <c r="N19" i="3"/>
  <c r="N22" i="3"/>
  <c r="N26" i="3"/>
  <c r="N16" i="3" s="1"/>
  <c r="L68" i="3"/>
  <c r="O70" i="3"/>
  <c r="L94" i="3"/>
  <c r="M96" i="3"/>
  <c r="K110" i="3"/>
  <c r="M220" i="3"/>
  <c r="P220" i="3" s="1"/>
  <c r="M250" i="3"/>
  <c r="P252" i="3"/>
  <c r="L331" i="3"/>
  <c r="O384" i="3"/>
  <c r="L384" i="1"/>
  <c r="O435" i="3"/>
  <c r="O437" i="3"/>
  <c r="L437" i="1"/>
  <c r="K623" i="3"/>
  <c r="L640" i="3"/>
  <c r="O649" i="3"/>
  <c r="L649" i="1"/>
  <c r="O649" i="1" s="1"/>
  <c r="O661" i="3"/>
  <c r="L661" i="1"/>
  <c r="K668" i="3"/>
  <c r="I668" i="1"/>
  <c r="K668" i="1" s="1"/>
  <c r="L19" i="4"/>
  <c r="O21" i="4"/>
  <c r="L11" i="4"/>
  <c r="N13" i="4"/>
  <c r="M55" i="4"/>
  <c r="N22" i="4"/>
  <c r="P68" i="4"/>
  <c r="M118" i="4"/>
  <c r="P118" i="4" s="1"/>
  <c r="L142" i="4"/>
  <c r="L273" i="4"/>
  <c r="O275" i="4"/>
  <c r="P291" i="4"/>
  <c r="O314" i="4"/>
  <c r="L329" i="4"/>
  <c r="O329" i="4" s="1"/>
  <c r="K341" i="4"/>
  <c r="O349" i="4"/>
  <c r="O437" i="4"/>
  <c r="O19" i="5"/>
  <c r="M29" i="5"/>
  <c r="M11" i="5"/>
  <c r="P31" i="5"/>
  <c r="P45" i="5"/>
  <c r="M43" i="5"/>
  <c r="L16" i="5"/>
  <c r="M102" i="5"/>
  <c r="O102" i="5"/>
  <c r="P291" i="5"/>
  <c r="M290" i="5"/>
  <c r="P290" i="5" s="1"/>
  <c r="N292" i="5"/>
  <c r="N22" i="5"/>
  <c r="O311" i="5"/>
  <c r="O314" i="5"/>
  <c r="L312" i="5"/>
  <c r="O312" i="5" s="1"/>
  <c r="M337" i="5"/>
  <c r="O337" i="5"/>
  <c r="P29" i="6"/>
  <c r="M28" i="6"/>
  <c r="P28" i="6" s="1"/>
  <c r="O74" i="6"/>
  <c r="P272" i="6"/>
  <c r="M271" i="6"/>
  <c r="P330" i="6"/>
  <c r="O24" i="7"/>
  <c r="O96" i="7"/>
  <c r="O141" i="7"/>
  <c r="L140" i="7"/>
  <c r="O140" i="7" s="1"/>
  <c r="P273" i="7"/>
  <c r="O354" i="7"/>
  <c r="L34" i="7"/>
  <c r="P24" i="8"/>
  <c r="M14" i="8"/>
  <c r="P14" i="8" s="1"/>
  <c r="M120" i="8"/>
  <c r="P122" i="8"/>
  <c r="P224" i="9"/>
  <c r="N222" i="9"/>
  <c r="O312" i="9"/>
  <c r="L310" i="9"/>
  <c r="O310" i="9" s="1"/>
  <c r="M9" i="10"/>
  <c r="P11" i="10"/>
  <c r="L57" i="10"/>
  <c r="L23" i="10"/>
  <c r="O333" i="12"/>
  <c r="L331" i="12"/>
  <c r="O331" i="12" s="1"/>
  <c r="O404" i="12"/>
  <c r="L32" i="12"/>
  <c r="P22" i="3"/>
  <c r="L30" i="3"/>
  <c r="O252" i="3"/>
  <c r="M312" i="3"/>
  <c r="P312" i="3" s="1"/>
  <c r="P314" i="3"/>
  <c r="O354" i="3"/>
  <c r="L34" i="3"/>
  <c r="K501" i="3"/>
  <c r="I501" i="1"/>
  <c r="K501" i="1" s="1"/>
  <c r="O564" i="3"/>
  <c r="L564" i="1"/>
  <c r="O564" i="1" s="1"/>
  <c r="K369" i="4"/>
  <c r="I367" i="4"/>
  <c r="K367" i="4" s="1"/>
  <c r="O554" i="4"/>
  <c r="L33" i="4"/>
  <c r="O33" i="4" s="1"/>
  <c r="L41" i="6"/>
  <c r="P67" i="6"/>
  <c r="M66" i="6"/>
  <c r="M13" i="7"/>
  <c r="P13" i="7" s="1"/>
  <c r="P33" i="7"/>
  <c r="M292" i="7"/>
  <c r="P294" i="7"/>
  <c r="M22" i="8"/>
  <c r="P57" i="8"/>
  <c r="M55" i="8"/>
  <c r="O67" i="8"/>
  <c r="O102" i="10"/>
  <c r="L96" i="10"/>
  <c r="P272" i="10"/>
  <c r="M19" i="12"/>
  <c r="P21" i="12"/>
  <c r="M11" i="12"/>
  <c r="O298" i="14"/>
  <c r="L292" i="14"/>
  <c r="M67" i="1"/>
  <c r="P67" i="1" s="1"/>
  <c r="I82" i="1"/>
  <c r="K82" i="1" s="1"/>
  <c r="L102" i="1"/>
  <c r="N141" i="1"/>
  <c r="I164" i="1"/>
  <c r="K164" i="1" s="1"/>
  <c r="I81" i="1"/>
  <c r="K81" i="1" s="1"/>
  <c r="I112" i="1"/>
  <c r="K112" i="1" s="1"/>
  <c r="I133" i="1"/>
  <c r="K133" i="1" s="1"/>
  <c r="M144" i="1"/>
  <c r="P144" i="1" s="1"/>
  <c r="I216" i="1"/>
  <c r="K216" i="1" s="1"/>
  <c r="M224" i="1"/>
  <c r="P224" i="1" s="1"/>
  <c r="N251" i="1"/>
  <c r="I267" i="1"/>
  <c r="N279" i="1"/>
  <c r="I304" i="1"/>
  <c r="K304" i="1" s="1"/>
  <c r="I309" i="1"/>
  <c r="K309" i="1" s="1"/>
  <c r="L311" i="1"/>
  <c r="O311" i="1" s="1"/>
  <c r="N314" i="1"/>
  <c r="P314" i="1" s="1"/>
  <c r="N330" i="1"/>
  <c r="L337" i="1"/>
  <c r="I349" i="1"/>
  <c r="K349" i="1" s="1"/>
  <c r="I369" i="1"/>
  <c r="N380" i="1"/>
  <c r="J398" i="1"/>
  <c r="I402" i="1"/>
  <c r="K402" i="1" s="1"/>
  <c r="L404" i="1"/>
  <c r="O404" i="1" s="1"/>
  <c r="I419" i="1"/>
  <c r="K419" i="1" s="1"/>
  <c r="I421" i="1"/>
  <c r="K421" i="1" s="1"/>
  <c r="J426" i="1"/>
  <c r="K428" i="1"/>
  <c r="O439" i="1"/>
  <c r="I466" i="1"/>
  <c r="K466" i="1" s="1"/>
  <c r="I468" i="1"/>
  <c r="K468" i="1" s="1"/>
  <c r="J473" i="1"/>
  <c r="I482" i="1"/>
  <c r="I484" i="1"/>
  <c r="K484" i="1" s="1"/>
  <c r="I498" i="1"/>
  <c r="K498" i="1" s="1"/>
  <c r="I500" i="1"/>
  <c r="K500" i="1" s="1"/>
  <c r="I514" i="1"/>
  <c r="K514" i="1" s="1"/>
  <c r="O533" i="1"/>
  <c r="N555" i="1"/>
  <c r="O566" i="1"/>
  <c r="L581" i="1"/>
  <c r="O581" i="1" s="1"/>
  <c r="L583" i="1"/>
  <c r="O583" i="1" s="1"/>
  <c r="J629" i="1"/>
  <c r="L23" i="2"/>
  <c r="M29" i="2"/>
  <c r="M11" i="2"/>
  <c r="P31" i="2"/>
  <c r="P32" i="2"/>
  <c r="N94" i="2"/>
  <c r="O141" i="2"/>
  <c r="M142" i="2"/>
  <c r="P144" i="2"/>
  <c r="K164" i="2"/>
  <c r="P272" i="2"/>
  <c r="M271" i="2"/>
  <c r="P275" i="2"/>
  <c r="N273" i="2"/>
  <c r="K340" i="2"/>
  <c r="O351" i="2"/>
  <c r="L31" i="2"/>
  <c r="O383" i="2"/>
  <c r="L34" i="2"/>
  <c r="O439" i="2"/>
  <c r="K547" i="2"/>
  <c r="K617" i="2"/>
  <c r="K628" i="2"/>
  <c r="L23" i="3"/>
  <c r="M29" i="3"/>
  <c r="M11" i="3"/>
  <c r="P31" i="3"/>
  <c r="P32" i="3"/>
  <c r="M118" i="3"/>
  <c r="P118" i="3" s="1"/>
  <c r="L142" i="3"/>
  <c r="P224" i="3"/>
  <c r="N250" i="3"/>
  <c r="L273" i="3"/>
  <c r="O275" i="3"/>
  <c r="P291" i="3"/>
  <c r="L314" i="3"/>
  <c r="M329" i="3"/>
  <c r="P331" i="3"/>
  <c r="K350" i="3"/>
  <c r="I367" i="3"/>
  <c r="K367" i="3" s="1"/>
  <c r="K370" i="3"/>
  <c r="I370" i="1"/>
  <c r="K370" i="1" s="1"/>
  <c r="O401" i="3"/>
  <c r="L401" i="1"/>
  <c r="O401" i="1" s="1"/>
  <c r="O406" i="3"/>
  <c r="K418" i="3"/>
  <c r="I418" i="1"/>
  <c r="K418" i="1" s="1"/>
  <c r="K423" i="3"/>
  <c r="K426" i="3"/>
  <c r="I426" i="1"/>
  <c r="K431" i="3"/>
  <c r="K465" i="3"/>
  <c r="I465" i="1"/>
  <c r="K465" i="1" s="1"/>
  <c r="K473" i="3"/>
  <c r="I473" i="1"/>
  <c r="K481" i="3"/>
  <c r="I481" i="1"/>
  <c r="K481" i="1" s="1"/>
  <c r="K489" i="3"/>
  <c r="I489" i="1"/>
  <c r="K489" i="1" s="1"/>
  <c r="K497" i="3"/>
  <c r="I497" i="1"/>
  <c r="K497" i="1" s="1"/>
  <c r="K505" i="3"/>
  <c r="I505" i="1"/>
  <c r="K505" i="1" s="1"/>
  <c r="K513" i="3"/>
  <c r="I513" i="1"/>
  <c r="K513" i="1" s="1"/>
  <c r="O552" i="3"/>
  <c r="L31" i="3"/>
  <c r="O555" i="3"/>
  <c r="L555" i="1"/>
  <c r="O568" i="3"/>
  <c r="L568" i="1"/>
  <c r="O568" i="1" s="1"/>
  <c r="O580" i="3"/>
  <c r="L580" i="1"/>
  <c r="O580" i="1" s="1"/>
  <c r="K589" i="3"/>
  <c r="K592" i="3"/>
  <c r="I592" i="1"/>
  <c r="K592" i="1" s="1"/>
  <c r="K597" i="3"/>
  <c r="O599" i="3"/>
  <c r="L599" i="1"/>
  <c r="K622" i="3"/>
  <c r="K630" i="3"/>
  <c r="K633" i="3"/>
  <c r="I633" i="1"/>
  <c r="O651" i="3"/>
  <c r="L651" i="1"/>
  <c r="O651" i="1" s="1"/>
  <c r="K665" i="3"/>
  <c r="I665" i="1"/>
  <c r="K665" i="1" s="1"/>
  <c r="M19" i="4"/>
  <c r="O25" i="4"/>
  <c r="L15" i="4"/>
  <c r="O15" i="4" s="1"/>
  <c r="L26" i="4"/>
  <c r="O31" i="4"/>
  <c r="L34" i="4"/>
  <c r="L43" i="4"/>
  <c r="M49" i="4"/>
  <c r="P57" i="4"/>
  <c r="M66" i="4"/>
  <c r="O98" i="4"/>
  <c r="K113" i="4"/>
  <c r="P122" i="4"/>
  <c r="M140" i="4"/>
  <c r="L222" i="4"/>
  <c r="O224" i="4"/>
  <c r="O254" i="4"/>
  <c r="P273" i="4"/>
  <c r="K401" i="4"/>
  <c r="K417" i="4"/>
  <c r="K425" i="4"/>
  <c r="N31" i="4"/>
  <c r="K464" i="4"/>
  <c r="K613" i="4"/>
  <c r="O640" i="4"/>
  <c r="M22" i="5"/>
  <c r="M53" i="5"/>
  <c r="N55" i="5"/>
  <c r="N53" i="5" s="1"/>
  <c r="N26" i="5"/>
  <c r="N16" i="5" s="1"/>
  <c r="L68" i="5"/>
  <c r="O70" i="5"/>
  <c r="L96" i="5"/>
  <c r="L142" i="5"/>
  <c r="L273" i="5"/>
  <c r="P25" i="6"/>
  <c r="M15" i="6"/>
  <c r="P15" i="6" s="1"/>
  <c r="P70" i="6"/>
  <c r="N68" i="6"/>
  <c r="N66" i="6" s="1"/>
  <c r="O95" i="6"/>
  <c r="P251" i="6"/>
  <c r="O279" i="6"/>
  <c r="L273" i="6"/>
  <c r="K371" i="6"/>
  <c r="I367" i="6"/>
  <c r="K367" i="6" s="1"/>
  <c r="K625" i="6"/>
  <c r="K621" i="6"/>
  <c r="K624" i="6"/>
  <c r="K620" i="6"/>
  <c r="K622" i="6"/>
  <c r="K623" i="6"/>
  <c r="L31" i="7"/>
  <c r="L11" i="7" s="1"/>
  <c r="M22" i="7"/>
  <c r="P57" i="7"/>
  <c r="M55" i="7"/>
  <c r="L66" i="7"/>
  <c r="O67" i="7"/>
  <c r="O74" i="7"/>
  <c r="N68" i="7"/>
  <c r="N66" i="7" s="1"/>
  <c r="M142" i="7"/>
  <c r="P142" i="7" s="1"/>
  <c r="P144" i="7"/>
  <c r="P272" i="7"/>
  <c r="M271" i="7"/>
  <c r="P271" i="7" s="1"/>
  <c r="P330" i="7"/>
  <c r="N14" i="8"/>
  <c r="L273" i="8"/>
  <c r="O275" i="8"/>
  <c r="O331" i="8"/>
  <c r="L329" i="8"/>
  <c r="O23" i="9"/>
  <c r="P221" i="9"/>
  <c r="M220" i="9"/>
  <c r="K622" i="2"/>
  <c r="K612" i="3"/>
  <c r="K616" i="3"/>
  <c r="K622" i="4"/>
  <c r="L31" i="5"/>
  <c r="O439" i="5"/>
  <c r="O580" i="5"/>
  <c r="K630" i="5"/>
  <c r="M19" i="6"/>
  <c r="O25" i="6"/>
  <c r="L15" i="6"/>
  <c r="O15" i="6" s="1"/>
  <c r="L26" i="6"/>
  <c r="P95" i="6"/>
  <c r="K111" i="6"/>
  <c r="P119" i="6"/>
  <c r="M118" i="6"/>
  <c r="P122" i="6"/>
  <c r="N120" i="6"/>
  <c r="O120" i="6" s="1"/>
  <c r="P141" i="6"/>
  <c r="P221" i="6"/>
  <c r="M220" i="6"/>
  <c r="P224" i="6"/>
  <c r="N222" i="6"/>
  <c r="P222" i="6" s="1"/>
  <c r="K249" i="6"/>
  <c r="O251" i="6"/>
  <c r="M252" i="6"/>
  <c r="P252" i="6" s="1"/>
  <c r="P254" i="6"/>
  <c r="N310" i="6"/>
  <c r="K328" i="6"/>
  <c r="O330" i="6"/>
  <c r="M331" i="6"/>
  <c r="P331" i="6" s="1"/>
  <c r="P333" i="6"/>
  <c r="P337" i="6"/>
  <c r="O385" i="6"/>
  <c r="K533" i="6"/>
  <c r="K650" i="6"/>
  <c r="M11" i="7"/>
  <c r="P29" i="7"/>
  <c r="M28" i="7"/>
  <c r="P28" i="7" s="1"/>
  <c r="P42" i="7"/>
  <c r="N26" i="7"/>
  <c r="N16" i="7" s="1"/>
  <c r="O57" i="7"/>
  <c r="L55" i="7"/>
  <c r="L23" i="7"/>
  <c r="P70" i="7"/>
  <c r="P74" i="7"/>
  <c r="K93" i="7"/>
  <c r="O95" i="7"/>
  <c r="L94" i="7"/>
  <c r="O94" i="7" s="1"/>
  <c r="M96" i="7"/>
  <c r="P96" i="7" s="1"/>
  <c r="P98" i="7"/>
  <c r="P102" i="7"/>
  <c r="P141" i="7"/>
  <c r="K213" i="7"/>
  <c r="P221" i="7"/>
  <c r="M220" i="7"/>
  <c r="P224" i="7"/>
  <c r="N222" i="7"/>
  <c r="O251" i="7"/>
  <c r="M252" i="7"/>
  <c r="P252" i="7" s="1"/>
  <c r="P254" i="7"/>
  <c r="K328" i="7"/>
  <c r="O330" i="7"/>
  <c r="L329" i="7"/>
  <c r="O329" i="7" s="1"/>
  <c r="M331" i="7"/>
  <c r="P331" i="7" s="1"/>
  <c r="P333" i="7"/>
  <c r="P337" i="7"/>
  <c r="O385" i="7"/>
  <c r="K533" i="7"/>
  <c r="M11" i="8"/>
  <c r="P29" i="8"/>
  <c r="M28" i="8"/>
  <c r="P28" i="8" s="1"/>
  <c r="P42" i="8"/>
  <c r="N26" i="8"/>
  <c r="O57" i="8"/>
  <c r="L55" i="8"/>
  <c r="L23" i="8"/>
  <c r="P70" i="8"/>
  <c r="L96" i="8"/>
  <c r="M102" i="8"/>
  <c r="L120" i="8"/>
  <c r="O122" i="8"/>
  <c r="N140" i="8"/>
  <c r="P222" i="8"/>
  <c r="M220" i="8"/>
  <c r="P291" i="8"/>
  <c r="M290" i="8"/>
  <c r="P290" i="8" s="1"/>
  <c r="O311" i="8"/>
  <c r="M337" i="8"/>
  <c r="O337" i="8"/>
  <c r="O352" i="8"/>
  <c r="L32" i="8"/>
  <c r="L30" i="9"/>
  <c r="O45" i="9"/>
  <c r="P68" i="9"/>
  <c r="M66" i="9"/>
  <c r="P66" i="9" s="1"/>
  <c r="P119" i="9"/>
  <c r="M118" i="9"/>
  <c r="P118" i="9" s="1"/>
  <c r="N120" i="9"/>
  <c r="N118" i="9" s="1"/>
  <c r="N22" i="9"/>
  <c r="O141" i="9"/>
  <c r="O144" i="9"/>
  <c r="L142" i="9"/>
  <c r="O142" i="9" s="1"/>
  <c r="L220" i="9"/>
  <c r="M252" i="9"/>
  <c r="P254" i="9"/>
  <c r="P272" i="9"/>
  <c r="M271" i="9"/>
  <c r="P271" i="9" s="1"/>
  <c r="M331" i="9"/>
  <c r="P333" i="9"/>
  <c r="P337" i="9"/>
  <c r="O552" i="9"/>
  <c r="L31" i="9"/>
  <c r="K625" i="9"/>
  <c r="K621" i="9"/>
  <c r="K626" i="9"/>
  <c r="K623" i="9"/>
  <c r="K620" i="9"/>
  <c r="K624" i="9"/>
  <c r="K622" i="9"/>
  <c r="N11" i="10"/>
  <c r="N9" i="10" s="1"/>
  <c r="L19" i="10"/>
  <c r="O21" i="10"/>
  <c r="N68" i="10"/>
  <c r="N22" i="10"/>
  <c r="O74" i="10"/>
  <c r="N26" i="10"/>
  <c r="N16" i="10" s="1"/>
  <c r="O314" i="10"/>
  <c r="P25" i="11"/>
  <c r="M15" i="11"/>
  <c r="P15" i="11" s="1"/>
  <c r="L66" i="11"/>
  <c r="O224" i="11"/>
  <c r="K625" i="5"/>
  <c r="K621" i="5"/>
  <c r="K624" i="5"/>
  <c r="K620" i="5"/>
  <c r="K626" i="5"/>
  <c r="P24" i="6"/>
  <c r="M14" i="6"/>
  <c r="P14" i="6" s="1"/>
  <c r="M13" i="6"/>
  <c r="P13" i="6" s="1"/>
  <c r="P33" i="6"/>
  <c r="O54" i="6"/>
  <c r="L57" i="6"/>
  <c r="L24" i="6"/>
  <c r="L312" i="6"/>
  <c r="O333" i="6"/>
  <c r="N31" i="6"/>
  <c r="N34" i="6"/>
  <c r="N14" i="6" s="1"/>
  <c r="L32" i="6"/>
  <c r="O437" i="6"/>
  <c r="L640" i="6"/>
  <c r="O649" i="6"/>
  <c r="L19" i="7"/>
  <c r="O21" i="7"/>
  <c r="N13" i="7"/>
  <c r="N22" i="7"/>
  <c r="O98" i="7"/>
  <c r="L312" i="7"/>
  <c r="O333" i="7"/>
  <c r="N31" i="7"/>
  <c r="N34" i="7"/>
  <c r="N14" i="7" s="1"/>
  <c r="L32" i="7"/>
  <c r="O437" i="7"/>
  <c r="L640" i="7"/>
  <c r="O649" i="7"/>
  <c r="L19" i="8"/>
  <c r="O21" i="8"/>
  <c r="P68" i="8"/>
  <c r="L142" i="8"/>
  <c r="L252" i="8"/>
  <c r="M271" i="8"/>
  <c r="P271" i="8" s="1"/>
  <c r="M312" i="8"/>
  <c r="P314" i="8"/>
  <c r="O554" i="8"/>
  <c r="L33" i="8"/>
  <c r="O33" i="8" s="1"/>
  <c r="M16" i="9"/>
  <c r="P45" i="9"/>
  <c r="M43" i="9"/>
  <c r="L16" i="9"/>
  <c r="M142" i="9"/>
  <c r="P144" i="9"/>
  <c r="O251" i="9"/>
  <c r="O254" i="9"/>
  <c r="M310" i="9"/>
  <c r="P310" i="9" s="1"/>
  <c r="P312" i="9"/>
  <c r="O330" i="9"/>
  <c r="O333" i="9"/>
  <c r="L331" i="9"/>
  <c r="O331" i="9" s="1"/>
  <c r="O354" i="9"/>
  <c r="L34" i="9"/>
  <c r="L15" i="10"/>
  <c r="O15" i="10" s="1"/>
  <c r="O25" i="10"/>
  <c r="M331" i="10"/>
  <c r="P333" i="10"/>
  <c r="L43" i="11"/>
  <c r="O45" i="11"/>
  <c r="L118" i="11"/>
  <c r="L312" i="11"/>
  <c r="O314" i="11"/>
  <c r="O406" i="11"/>
  <c r="L34" i="11"/>
  <c r="O32" i="11"/>
  <c r="N12" i="11"/>
  <c r="O601" i="11"/>
  <c r="N34" i="11"/>
  <c r="N14" i="11" s="1"/>
  <c r="O19" i="12"/>
  <c r="N19" i="13"/>
  <c r="N11" i="13"/>
  <c r="N9" i="13" s="1"/>
  <c r="K613" i="3"/>
  <c r="K623" i="5"/>
  <c r="L640" i="5"/>
  <c r="O649" i="5"/>
  <c r="L19" i="6"/>
  <c r="O21" i="6"/>
  <c r="N43" i="6"/>
  <c r="N41" i="6" s="1"/>
  <c r="N26" i="6"/>
  <c r="N16" i="6" s="1"/>
  <c r="P57" i="6"/>
  <c r="N55" i="6"/>
  <c r="N22" i="6"/>
  <c r="L23" i="6"/>
  <c r="L98" i="6"/>
  <c r="L118" i="6"/>
  <c r="O144" i="6"/>
  <c r="L220" i="6"/>
  <c r="O222" i="6"/>
  <c r="M310" i="6"/>
  <c r="P310" i="6" s="1"/>
  <c r="P312" i="6"/>
  <c r="O353" i="6"/>
  <c r="L33" i="6"/>
  <c r="O33" i="6" s="1"/>
  <c r="P19" i="7"/>
  <c r="O25" i="7"/>
  <c r="L15" i="7"/>
  <c r="O15" i="7" s="1"/>
  <c r="L26" i="7"/>
  <c r="L43" i="7"/>
  <c r="M49" i="7"/>
  <c r="P119" i="7"/>
  <c r="M118" i="7"/>
  <c r="P118" i="7" s="1"/>
  <c r="O144" i="7"/>
  <c r="M310" i="7"/>
  <c r="P310" i="7" s="1"/>
  <c r="P312" i="7"/>
  <c r="O353" i="7"/>
  <c r="L33" i="7"/>
  <c r="O33" i="7" s="1"/>
  <c r="P19" i="8"/>
  <c r="O25" i="8"/>
  <c r="L15" i="8"/>
  <c r="O15" i="8" s="1"/>
  <c r="L26" i="8"/>
  <c r="O34" i="8"/>
  <c r="M49" i="8"/>
  <c r="M66" i="8"/>
  <c r="P66" i="8" s="1"/>
  <c r="P142" i="8"/>
  <c r="L222" i="8"/>
  <c r="O224" i="8"/>
  <c r="M250" i="8"/>
  <c r="P250" i="8" s="1"/>
  <c r="P252" i="8"/>
  <c r="K619" i="8"/>
  <c r="K615" i="8"/>
  <c r="K611" i="8"/>
  <c r="K616" i="8"/>
  <c r="K612" i="8"/>
  <c r="K618" i="8"/>
  <c r="K614" i="8"/>
  <c r="N644" i="8"/>
  <c r="N640" i="8" s="1"/>
  <c r="N638" i="8" s="1"/>
  <c r="N636" i="8" s="1"/>
  <c r="O19" i="9"/>
  <c r="M29" i="9"/>
  <c r="M11" i="9"/>
  <c r="P31" i="9"/>
  <c r="N34" i="9"/>
  <c r="N14" i="9" s="1"/>
  <c r="N55" i="9"/>
  <c r="N53" i="9" s="1"/>
  <c r="N26" i="9"/>
  <c r="N16" i="9" s="1"/>
  <c r="L68" i="9"/>
  <c r="O70" i="9"/>
  <c r="L122" i="9"/>
  <c r="L24" i="9"/>
  <c r="O224" i="9"/>
  <c r="N31" i="9"/>
  <c r="N29" i="9" s="1"/>
  <c r="O438" i="9"/>
  <c r="L33" i="9"/>
  <c r="O33" i="9" s="1"/>
  <c r="N32" i="9"/>
  <c r="N30" i="9" s="1"/>
  <c r="O668" i="9"/>
  <c r="N644" i="9"/>
  <c r="N640" i="9" s="1"/>
  <c r="N638" i="9" s="1"/>
  <c r="N636" i="9" s="1"/>
  <c r="O24" i="10"/>
  <c r="P67" i="10"/>
  <c r="P119" i="10"/>
  <c r="P141" i="12"/>
  <c r="P294" i="13"/>
  <c r="M292" i="13"/>
  <c r="K612" i="5"/>
  <c r="K616" i="5"/>
  <c r="K612" i="6"/>
  <c r="K616" i="6"/>
  <c r="K612" i="7"/>
  <c r="K616" i="7"/>
  <c r="K622" i="8"/>
  <c r="K612" i="9"/>
  <c r="K616" i="9"/>
  <c r="K650" i="9"/>
  <c r="P24" i="10"/>
  <c r="M28" i="10"/>
  <c r="P28" i="10" s="1"/>
  <c r="K65" i="10"/>
  <c r="O67" i="10"/>
  <c r="P70" i="10"/>
  <c r="M68" i="10"/>
  <c r="M26" i="10"/>
  <c r="P74" i="10"/>
  <c r="P95" i="10"/>
  <c r="M94" i="10"/>
  <c r="P94" i="10" s="1"/>
  <c r="O119" i="10"/>
  <c r="P122" i="10"/>
  <c r="M120" i="10"/>
  <c r="P120" i="10" s="1"/>
  <c r="K189" i="10"/>
  <c r="P221" i="10"/>
  <c r="O254" i="10"/>
  <c r="L252" i="10"/>
  <c r="O252" i="10" s="1"/>
  <c r="L275" i="10"/>
  <c r="O347" i="10"/>
  <c r="I367" i="10"/>
  <c r="K367" i="10" s="1"/>
  <c r="K589" i="10"/>
  <c r="N34" i="10"/>
  <c r="N14" i="10" s="1"/>
  <c r="O601" i="10"/>
  <c r="M19" i="11"/>
  <c r="P21" i="11"/>
  <c r="M11" i="11"/>
  <c r="N41" i="11"/>
  <c r="O122" i="11"/>
  <c r="L144" i="11"/>
  <c r="L23" i="11"/>
  <c r="P221" i="11"/>
  <c r="M252" i="11"/>
  <c r="P252" i="11" s="1"/>
  <c r="M292" i="11"/>
  <c r="P294" i="11"/>
  <c r="K630" i="11"/>
  <c r="O142" i="12"/>
  <c r="M13" i="13"/>
  <c r="P13" i="13" s="1"/>
  <c r="P122" i="13"/>
  <c r="M120" i="13"/>
  <c r="P19" i="10"/>
  <c r="P23" i="10"/>
  <c r="M13" i="10"/>
  <c r="P13" i="10" s="1"/>
  <c r="O42" i="10"/>
  <c r="L142" i="10"/>
  <c r="O142" i="10" s="1"/>
  <c r="M252" i="10"/>
  <c r="P254" i="10"/>
  <c r="O456" i="10"/>
  <c r="L31" i="10"/>
  <c r="O649" i="10"/>
  <c r="L640" i="10"/>
  <c r="P24" i="11"/>
  <c r="M14" i="11"/>
  <c r="P14" i="11" s="1"/>
  <c r="O141" i="11"/>
  <c r="N310" i="11"/>
  <c r="O456" i="11"/>
  <c r="L31" i="11"/>
  <c r="L11" i="11" s="1"/>
  <c r="P25" i="12"/>
  <c r="M15" i="12"/>
  <c r="P15" i="12" s="1"/>
  <c r="O314" i="12"/>
  <c r="N96" i="13"/>
  <c r="N94" i="13" s="1"/>
  <c r="N22" i="13"/>
  <c r="O279" i="13"/>
  <c r="L26" i="13"/>
  <c r="K613" i="5"/>
  <c r="K613" i="6"/>
  <c r="K613" i="7"/>
  <c r="K617" i="9"/>
  <c r="K613" i="9"/>
  <c r="L640" i="9"/>
  <c r="N43" i="10"/>
  <c r="P45" i="10"/>
  <c r="O49" i="10"/>
  <c r="L26" i="10"/>
  <c r="P57" i="10"/>
  <c r="M55" i="10"/>
  <c r="M22" i="10"/>
  <c r="O251" i="10"/>
  <c r="O330" i="10"/>
  <c r="O333" i="10"/>
  <c r="L331" i="10"/>
  <c r="L329" i="10" s="1"/>
  <c r="O337" i="10"/>
  <c r="N331" i="10"/>
  <c r="N329" i="10" s="1"/>
  <c r="N118" i="11"/>
  <c r="O126" i="11"/>
  <c r="L26" i="11"/>
  <c r="L292" i="11"/>
  <c r="P314" i="11"/>
  <c r="M312" i="11"/>
  <c r="O330" i="11"/>
  <c r="L329" i="11"/>
  <c r="O649" i="11"/>
  <c r="L640" i="11"/>
  <c r="P24" i="12"/>
  <c r="M14" i="12"/>
  <c r="P14" i="12" s="1"/>
  <c r="L43" i="12"/>
  <c r="O45" i="12"/>
  <c r="O68" i="12"/>
  <c r="L254" i="12"/>
  <c r="L23" i="12"/>
  <c r="O568" i="12"/>
  <c r="L34" i="12"/>
  <c r="K426" i="10"/>
  <c r="O457" i="10"/>
  <c r="O551" i="10"/>
  <c r="K624" i="10"/>
  <c r="K620" i="10"/>
  <c r="K621" i="10"/>
  <c r="O21" i="11"/>
  <c r="O25" i="11"/>
  <c r="L15" i="11"/>
  <c r="O15" i="11" s="1"/>
  <c r="P29" i="11"/>
  <c r="M28" i="11"/>
  <c r="P28" i="11" s="1"/>
  <c r="P42" i="11"/>
  <c r="N26" i="11"/>
  <c r="N16" i="11" s="1"/>
  <c r="O251" i="11"/>
  <c r="L254" i="11"/>
  <c r="K345" i="11"/>
  <c r="K377" i="11"/>
  <c r="O401" i="11"/>
  <c r="K426" i="11"/>
  <c r="O457" i="11"/>
  <c r="K624" i="11"/>
  <c r="K620" i="11"/>
  <c r="K621" i="11"/>
  <c r="O21" i="12"/>
  <c r="O25" i="12"/>
  <c r="L15" i="12"/>
  <c r="O15" i="12" s="1"/>
  <c r="P29" i="12"/>
  <c r="M28" i="12"/>
  <c r="P28" i="12" s="1"/>
  <c r="P42" i="12"/>
  <c r="N26" i="12"/>
  <c r="N16" i="12" s="1"/>
  <c r="O16" i="12" s="1"/>
  <c r="N53" i="12"/>
  <c r="P53" i="12" s="1"/>
  <c r="N22" i="12"/>
  <c r="P98" i="12"/>
  <c r="P102" i="12"/>
  <c r="O141" i="12"/>
  <c r="L140" i="12"/>
  <c r="O140" i="12" s="1"/>
  <c r="M142" i="12"/>
  <c r="P142" i="12" s="1"/>
  <c r="P144" i="12"/>
  <c r="K164" i="12"/>
  <c r="K265" i="12"/>
  <c r="P272" i="12"/>
  <c r="M271" i="12"/>
  <c r="P275" i="12"/>
  <c r="N273" i="12"/>
  <c r="P273" i="12" s="1"/>
  <c r="O354" i="12"/>
  <c r="K464" i="12"/>
  <c r="O649" i="12"/>
  <c r="L640" i="12"/>
  <c r="P21" i="13"/>
  <c r="M11" i="13"/>
  <c r="L57" i="13"/>
  <c r="L23" i="13"/>
  <c r="L68" i="13"/>
  <c r="O68" i="13" s="1"/>
  <c r="O70" i="13"/>
  <c r="O314" i="13"/>
  <c r="L312" i="13"/>
  <c r="M30" i="14"/>
  <c r="P32" i="14"/>
  <c r="N250" i="14"/>
  <c r="P337" i="14"/>
  <c r="M331" i="14"/>
  <c r="M222" i="10"/>
  <c r="P222" i="10" s="1"/>
  <c r="M273" i="10"/>
  <c r="P273" i="10" s="1"/>
  <c r="M290" i="10"/>
  <c r="P290" i="10" s="1"/>
  <c r="K623" i="10"/>
  <c r="K626" i="10"/>
  <c r="N13" i="11"/>
  <c r="O49" i="11"/>
  <c r="O57" i="11"/>
  <c r="L55" i="11"/>
  <c r="O70" i="11"/>
  <c r="P119" i="11"/>
  <c r="M118" i="11"/>
  <c r="P122" i="11"/>
  <c r="P272" i="11"/>
  <c r="M271" i="11"/>
  <c r="P275" i="11"/>
  <c r="O353" i="11"/>
  <c r="L33" i="11"/>
  <c r="O33" i="11" s="1"/>
  <c r="K623" i="11"/>
  <c r="K626" i="11"/>
  <c r="O49" i="12"/>
  <c r="O57" i="12"/>
  <c r="L55" i="12"/>
  <c r="O98" i="12"/>
  <c r="L118" i="12"/>
  <c r="O144" i="12"/>
  <c r="P294" i="12"/>
  <c r="O353" i="12"/>
  <c r="L33" i="12"/>
  <c r="O33" i="12" s="1"/>
  <c r="I367" i="12"/>
  <c r="K367" i="12" s="1"/>
  <c r="P57" i="13"/>
  <c r="M55" i="13"/>
  <c r="P55" i="13" s="1"/>
  <c r="L142" i="13"/>
  <c r="O272" i="13"/>
  <c r="P273" i="13"/>
  <c r="M271" i="13"/>
  <c r="O291" i="13"/>
  <c r="N43" i="14"/>
  <c r="N41" i="14" s="1"/>
  <c r="N22" i="14"/>
  <c r="L96" i="14"/>
  <c r="O98" i="14"/>
  <c r="N26" i="14"/>
  <c r="N16" i="14" s="1"/>
  <c r="N142" i="14"/>
  <c r="P142" i="14" s="1"/>
  <c r="N19" i="15"/>
  <c r="M310" i="10"/>
  <c r="P310" i="10" s="1"/>
  <c r="K430" i="10"/>
  <c r="K465" i="10"/>
  <c r="K481" i="10"/>
  <c r="K497" i="10"/>
  <c r="O555" i="10"/>
  <c r="O580" i="10"/>
  <c r="O599" i="10"/>
  <c r="K616" i="10"/>
  <c r="K612" i="10"/>
  <c r="K619" i="10"/>
  <c r="K622" i="10"/>
  <c r="K625" i="10"/>
  <c r="M13" i="11"/>
  <c r="P13" i="11" s="1"/>
  <c r="O30" i="11"/>
  <c r="M49" i="11"/>
  <c r="L24" i="11"/>
  <c r="N331" i="11"/>
  <c r="O349" i="11"/>
  <c r="O380" i="11"/>
  <c r="K430" i="11"/>
  <c r="K465" i="11"/>
  <c r="K481" i="11"/>
  <c r="K497" i="11"/>
  <c r="O580" i="11"/>
  <c r="O599" i="11"/>
  <c r="K616" i="11"/>
  <c r="K612" i="11"/>
  <c r="K619" i="11"/>
  <c r="K622" i="11"/>
  <c r="K625" i="11"/>
  <c r="M13" i="12"/>
  <c r="P13" i="12" s="1"/>
  <c r="N14" i="12"/>
  <c r="M49" i="12"/>
  <c r="P55" i="12"/>
  <c r="M68" i="12"/>
  <c r="K92" i="12"/>
  <c r="O95" i="12"/>
  <c r="L96" i="12"/>
  <c r="O96" i="12" s="1"/>
  <c r="K111" i="12"/>
  <c r="P119" i="12"/>
  <c r="M118" i="12"/>
  <c r="P122" i="12"/>
  <c r="N120" i="12"/>
  <c r="O120" i="12" s="1"/>
  <c r="P221" i="12"/>
  <c r="M220" i="12"/>
  <c r="P224" i="12"/>
  <c r="N222" i="12"/>
  <c r="K249" i="12"/>
  <c r="O251" i="12"/>
  <c r="M252" i="12"/>
  <c r="P254" i="12"/>
  <c r="L273" i="12"/>
  <c r="L292" i="12"/>
  <c r="O294" i="12"/>
  <c r="N310" i="12"/>
  <c r="K328" i="12"/>
  <c r="O330" i="12"/>
  <c r="M331" i="12"/>
  <c r="P333" i="12"/>
  <c r="P337" i="12"/>
  <c r="K380" i="12"/>
  <c r="K398" i="12"/>
  <c r="K429" i="12"/>
  <c r="M14" i="13"/>
  <c r="P14" i="13" s="1"/>
  <c r="M19" i="13"/>
  <c r="M22" i="13"/>
  <c r="O42" i="13"/>
  <c r="M41" i="13"/>
  <c r="N43" i="13"/>
  <c r="P43" i="13" s="1"/>
  <c r="O67" i="13"/>
  <c r="M68" i="13"/>
  <c r="O31" i="13"/>
  <c r="K623" i="13"/>
  <c r="K625" i="13"/>
  <c r="K621" i="13"/>
  <c r="K620" i="13"/>
  <c r="K626" i="13"/>
  <c r="K622" i="13"/>
  <c r="N140" i="14"/>
  <c r="O383" i="12"/>
  <c r="K417" i="12"/>
  <c r="K564" i="12"/>
  <c r="K619" i="12"/>
  <c r="K615" i="12"/>
  <c r="K611" i="12"/>
  <c r="K612" i="12"/>
  <c r="K622" i="12"/>
  <c r="K625" i="12"/>
  <c r="K628" i="12"/>
  <c r="P54" i="13"/>
  <c r="M53" i="13"/>
  <c r="P53" i="13" s="1"/>
  <c r="O221" i="13"/>
  <c r="M222" i="13"/>
  <c r="K285" i="13"/>
  <c r="L292" i="13"/>
  <c r="O292" i="13" s="1"/>
  <c r="P311" i="13"/>
  <c r="N34" i="13"/>
  <c r="N14" i="13" s="1"/>
  <c r="K402" i="13"/>
  <c r="K630" i="13"/>
  <c r="O648" i="13"/>
  <c r="L640" i="13"/>
  <c r="P23" i="14"/>
  <c r="M13" i="14"/>
  <c r="P13" i="14" s="1"/>
  <c r="P45" i="14"/>
  <c r="L26" i="14"/>
  <c r="L57" i="14"/>
  <c r="L23" i="14"/>
  <c r="M68" i="14"/>
  <c r="P70" i="14"/>
  <c r="N94" i="14"/>
  <c r="O119" i="14"/>
  <c r="M222" i="14"/>
  <c r="P224" i="14"/>
  <c r="M273" i="14"/>
  <c r="P275" i="14"/>
  <c r="K350" i="14"/>
  <c r="M142" i="15"/>
  <c r="P144" i="15"/>
  <c r="M22" i="15"/>
  <c r="O384" i="16"/>
  <c r="L33" i="16"/>
  <c r="O33" i="16" s="1"/>
  <c r="O584" i="16"/>
  <c r="L34" i="16"/>
  <c r="O34" i="16" s="1"/>
  <c r="L32" i="13"/>
  <c r="P19" i="14"/>
  <c r="O19" i="14"/>
  <c r="L14" i="14"/>
  <c r="O14" i="14" s="1"/>
  <c r="O45" i="14"/>
  <c r="L43" i="14"/>
  <c r="O43" i="14" s="1"/>
  <c r="N53" i="14"/>
  <c r="P57" i="14"/>
  <c r="M55" i="14"/>
  <c r="M22" i="14"/>
  <c r="O67" i="14"/>
  <c r="O70" i="14"/>
  <c r="L68" i="14"/>
  <c r="O68" i="14" s="1"/>
  <c r="M120" i="14"/>
  <c r="P122" i="14"/>
  <c r="L142" i="14"/>
  <c r="O144" i="14"/>
  <c r="O221" i="14"/>
  <c r="O224" i="14"/>
  <c r="L222" i="14"/>
  <c r="O222" i="14" s="1"/>
  <c r="O272" i="14"/>
  <c r="O275" i="14"/>
  <c r="L273" i="14"/>
  <c r="L331" i="14"/>
  <c r="O333" i="14"/>
  <c r="L68" i="15"/>
  <c r="O70" i="15"/>
  <c r="O122" i="15"/>
  <c r="L120" i="15"/>
  <c r="L118" i="15" s="1"/>
  <c r="P291" i="15"/>
  <c r="L19" i="17"/>
  <c r="O21" i="17"/>
  <c r="P25" i="13"/>
  <c r="M15" i="13"/>
  <c r="P15" i="13" s="1"/>
  <c r="O45" i="13"/>
  <c r="L43" i="13"/>
  <c r="P95" i="13"/>
  <c r="M94" i="13"/>
  <c r="P94" i="13" s="1"/>
  <c r="O119" i="13"/>
  <c r="P141" i="13"/>
  <c r="P251" i="13"/>
  <c r="M250" i="13"/>
  <c r="P250" i="13" s="1"/>
  <c r="N271" i="13"/>
  <c r="P330" i="13"/>
  <c r="O352" i="13"/>
  <c r="N32" i="13"/>
  <c r="N30" i="13" s="1"/>
  <c r="N28" i="13" s="1"/>
  <c r="J671" i="13"/>
  <c r="P9" i="14"/>
  <c r="N29" i="14"/>
  <c r="N11" i="14"/>
  <c r="N9" i="14" s="1"/>
  <c r="O42" i="14"/>
  <c r="M140" i="14"/>
  <c r="P252" i="14"/>
  <c r="M250" i="14"/>
  <c r="P250" i="14" s="1"/>
  <c r="P311" i="14"/>
  <c r="M310" i="14"/>
  <c r="P310" i="14" s="1"/>
  <c r="O456" i="14"/>
  <c r="L31" i="14"/>
  <c r="L30" i="15"/>
  <c r="M312" i="15"/>
  <c r="P314" i="15"/>
  <c r="L34" i="13"/>
  <c r="K613" i="13"/>
  <c r="O49" i="14"/>
  <c r="K377" i="14"/>
  <c r="K426" i="14"/>
  <c r="K465" i="14"/>
  <c r="K473" i="14"/>
  <c r="K481" i="14"/>
  <c r="K497" i="14"/>
  <c r="O535" i="14"/>
  <c r="O555" i="14"/>
  <c r="O584" i="14"/>
  <c r="N644" i="14"/>
  <c r="N640" i="14" s="1"/>
  <c r="N638" i="14" s="1"/>
  <c r="N636" i="14" s="1"/>
  <c r="O19" i="15"/>
  <c r="M29" i="15"/>
  <c r="M11" i="15"/>
  <c r="P31" i="15"/>
  <c r="O45" i="15"/>
  <c r="L43" i="15"/>
  <c r="N55" i="15"/>
  <c r="N66" i="15"/>
  <c r="N120" i="15"/>
  <c r="N118" i="15" s="1"/>
  <c r="N22" i="15"/>
  <c r="K133" i="15"/>
  <c r="K149" i="15"/>
  <c r="K204" i="15"/>
  <c r="L273" i="15"/>
  <c r="O275" i="15"/>
  <c r="L294" i="15"/>
  <c r="M337" i="15"/>
  <c r="O337" i="15"/>
  <c r="K341" i="15"/>
  <c r="O349" i="15"/>
  <c r="K624" i="15"/>
  <c r="K620" i="15"/>
  <c r="K625" i="15"/>
  <c r="K621" i="15"/>
  <c r="K623" i="15"/>
  <c r="K622" i="15"/>
  <c r="K626" i="15"/>
  <c r="K619" i="14"/>
  <c r="K615" i="14"/>
  <c r="K611" i="14"/>
  <c r="K616" i="14"/>
  <c r="K612" i="14"/>
  <c r="K618" i="14"/>
  <c r="K614" i="14"/>
  <c r="P45" i="15"/>
  <c r="M43" i="15"/>
  <c r="P43" i="15" s="1"/>
  <c r="P68" i="15"/>
  <c r="O96" i="15"/>
  <c r="L94" i="15"/>
  <c r="O94" i="15" s="1"/>
  <c r="P119" i="15"/>
  <c r="L24" i="15"/>
  <c r="O311" i="15"/>
  <c r="P29" i="16"/>
  <c r="M28" i="16"/>
  <c r="P28" i="16" s="1"/>
  <c r="N12" i="16"/>
  <c r="M43" i="14"/>
  <c r="M290" i="14"/>
  <c r="P290" i="14" s="1"/>
  <c r="K345" i="14"/>
  <c r="K369" i="14"/>
  <c r="I367" i="14"/>
  <c r="K367" i="14" s="1"/>
  <c r="O401" i="14"/>
  <c r="K422" i="14"/>
  <c r="O457" i="14"/>
  <c r="O551" i="14"/>
  <c r="O568" i="14"/>
  <c r="O580" i="14"/>
  <c r="O599" i="14"/>
  <c r="L23" i="15"/>
  <c r="N41" i="15"/>
  <c r="O98" i="15"/>
  <c r="O102" i="15"/>
  <c r="L26" i="15"/>
  <c r="P122" i="15"/>
  <c r="O141" i="15"/>
  <c r="L140" i="15"/>
  <c r="O144" i="15"/>
  <c r="L142" i="15"/>
  <c r="O148" i="15"/>
  <c r="N142" i="15"/>
  <c r="N140" i="15" s="1"/>
  <c r="N250" i="15"/>
  <c r="O314" i="15"/>
  <c r="L312" i="15"/>
  <c r="O312" i="15" s="1"/>
  <c r="N32" i="15"/>
  <c r="N30" i="15" s="1"/>
  <c r="L23" i="17"/>
  <c r="L57" i="17"/>
  <c r="K622" i="14"/>
  <c r="K626" i="14"/>
  <c r="K369" i="15"/>
  <c r="I367" i="15"/>
  <c r="K367" i="15" s="1"/>
  <c r="K377" i="15"/>
  <c r="O401" i="15"/>
  <c r="K418" i="15"/>
  <c r="K426" i="15"/>
  <c r="O437" i="15"/>
  <c r="O457" i="15"/>
  <c r="O649" i="15"/>
  <c r="L640" i="15"/>
  <c r="L29" i="16"/>
  <c r="L11" i="16"/>
  <c r="O31" i="16"/>
  <c r="M22" i="16"/>
  <c r="P57" i="16"/>
  <c r="M55" i="16"/>
  <c r="O67" i="16"/>
  <c r="M142" i="16"/>
  <c r="P144" i="16"/>
  <c r="O275" i="16"/>
  <c r="L273" i="16"/>
  <c r="O273" i="16" s="1"/>
  <c r="O352" i="16"/>
  <c r="L32" i="16"/>
  <c r="L96" i="17"/>
  <c r="O98" i="17"/>
  <c r="P330" i="17"/>
  <c r="M329" i="17"/>
  <c r="O351" i="17"/>
  <c r="L31" i="17"/>
  <c r="O354" i="17"/>
  <c r="L34" i="17"/>
  <c r="O438" i="17"/>
  <c r="L33" i="17"/>
  <c r="O33" i="17" s="1"/>
  <c r="K620" i="14"/>
  <c r="M19" i="15"/>
  <c r="M66" i="15"/>
  <c r="P66" i="15" s="1"/>
  <c r="M120" i="15"/>
  <c r="M292" i="15"/>
  <c r="P292" i="15" s="1"/>
  <c r="N331" i="15"/>
  <c r="N329" i="15" s="1"/>
  <c r="K465" i="15"/>
  <c r="K473" i="15"/>
  <c r="K481" i="15"/>
  <c r="N9" i="16"/>
  <c r="M19" i="16"/>
  <c r="P21" i="16"/>
  <c r="M11" i="16"/>
  <c r="N37" i="16"/>
  <c r="M26" i="16"/>
  <c r="P49" i="16"/>
  <c r="L23" i="16"/>
  <c r="L57" i="16"/>
  <c r="M68" i="16"/>
  <c r="P70" i="16"/>
  <c r="P95" i="16"/>
  <c r="M290" i="16"/>
  <c r="P290" i="16" s="1"/>
  <c r="P292" i="16"/>
  <c r="O311" i="17"/>
  <c r="P25" i="16"/>
  <c r="M15" i="16"/>
  <c r="P15" i="16" s="1"/>
  <c r="M14" i="16"/>
  <c r="P14" i="16" s="1"/>
  <c r="P34" i="16"/>
  <c r="O45" i="16"/>
  <c r="L43" i="16"/>
  <c r="L24" i="16"/>
  <c r="M118" i="16"/>
  <c r="P118" i="16" s="1"/>
  <c r="K624" i="16"/>
  <c r="K620" i="16"/>
  <c r="K623" i="16"/>
  <c r="K625" i="16"/>
  <c r="K626" i="16"/>
  <c r="K622" i="16"/>
  <c r="K621" i="16"/>
  <c r="O67" i="17"/>
  <c r="P68" i="17"/>
  <c r="M66" i="17"/>
  <c r="P66" i="17" s="1"/>
  <c r="P102" i="17"/>
  <c r="M96" i="17"/>
  <c r="M94" i="17" s="1"/>
  <c r="P94" i="17" s="1"/>
  <c r="P122" i="17"/>
  <c r="M120" i="17"/>
  <c r="P141" i="17"/>
  <c r="M140" i="17"/>
  <c r="P140" i="17" s="1"/>
  <c r="L254" i="17"/>
  <c r="L24" i="17"/>
  <c r="K611" i="15"/>
  <c r="K615" i="15"/>
  <c r="K619" i="15"/>
  <c r="L122" i="16"/>
  <c r="L224" i="16"/>
  <c r="M250" i="16"/>
  <c r="P250" i="16" s="1"/>
  <c r="L292" i="16"/>
  <c r="P331" i="16"/>
  <c r="K370" i="16"/>
  <c r="O651" i="16"/>
  <c r="M9" i="17"/>
  <c r="P11" i="17"/>
  <c r="P54" i="17"/>
  <c r="M55" i="17"/>
  <c r="M53" i="17" s="1"/>
  <c r="N55" i="17"/>
  <c r="N53" i="17" s="1"/>
  <c r="N26" i="17"/>
  <c r="N16" i="17" s="1"/>
  <c r="P251" i="17"/>
  <c r="M250" i="17"/>
  <c r="L329" i="17"/>
  <c r="P333" i="17"/>
  <c r="N331" i="17"/>
  <c r="N329" i="17" s="1"/>
  <c r="N32" i="17"/>
  <c r="N30" i="17" s="1"/>
  <c r="K371" i="17"/>
  <c r="I367" i="17"/>
  <c r="K367" i="17" s="1"/>
  <c r="P25" i="18"/>
  <c r="M15" i="18"/>
  <c r="P15" i="18" s="1"/>
  <c r="K613" i="15"/>
  <c r="K617" i="15"/>
  <c r="O221" i="16"/>
  <c r="M222" i="16"/>
  <c r="P222" i="16" s="1"/>
  <c r="P224" i="16"/>
  <c r="L252" i="16"/>
  <c r="O252" i="16" s="1"/>
  <c r="O254" i="16"/>
  <c r="K369" i="16"/>
  <c r="I367" i="16"/>
  <c r="K367" i="16" s="1"/>
  <c r="M22" i="17"/>
  <c r="O74" i="17"/>
  <c r="L26" i="17"/>
  <c r="L273" i="17"/>
  <c r="O333" i="17"/>
  <c r="N31" i="17"/>
  <c r="O553" i="17"/>
  <c r="L32" i="17"/>
  <c r="O61" i="18"/>
  <c r="L26" i="18"/>
  <c r="L55" i="18"/>
  <c r="M66" i="18"/>
  <c r="K612" i="15"/>
  <c r="N26" i="16"/>
  <c r="N16" i="16" s="1"/>
  <c r="O272" i="16"/>
  <c r="M273" i="16"/>
  <c r="P275" i="16"/>
  <c r="P311" i="16"/>
  <c r="M310" i="16"/>
  <c r="P310" i="16" s="1"/>
  <c r="L331" i="16"/>
  <c r="O333" i="16"/>
  <c r="O568" i="16"/>
  <c r="O580" i="16"/>
  <c r="O599" i="16"/>
  <c r="K616" i="16"/>
  <c r="K612" i="16"/>
  <c r="K619" i="16"/>
  <c r="K615" i="16"/>
  <c r="K611" i="16"/>
  <c r="K617" i="16"/>
  <c r="K633" i="16"/>
  <c r="L640" i="16"/>
  <c r="K651" i="16"/>
  <c r="O42" i="17"/>
  <c r="M26" i="17"/>
  <c r="P49" i="17"/>
  <c r="P95" i="17"/>
  <c r="N118" i="17"/>
  <c r="L120" i="17"/>
  <c r="O122" i="17"/>
  <c r="P254" i="17"/>
  <c r="N252" i="17"/>
  <c r="N250" i="17" s="1"/>
  <c r="N22" i="17"/>
  <c r="L312" i="17"/>
  <c r="O312" i="17" s="1"/>
  <c r="O314" i="17"/>
  <c r="L29" i="18"/>
  <c r="L11" i="18"/>
  <c r="O31" i="18"/>
  <c r="K113" i="17"/>
  <c r="M220" i="17"/>
  <c r="K264" i="17"/>
  <c r="N271" i="17"/>
  <c r="O291" i="17"/>
  <c r="M292" i="17"/>
  <c r="P292" i="17" s="1"/>
  <c r="P294" i="17"/>
  <c r="M310" i="17"/>
  <c r="P310" i="17" s="1"/>
  <c r="O347" i="17"/>
  <c r="K372" i="17"/>
  <c r="N34" i="17"/>
  <c r="N14" i="17" s="1"/>
  <c r="O599" i="17"/>
  <c r="K624" i="17"/>
  <c r="K620" i="17"/>
  <c r="K625" i="17"/>
  <c r="K621" i="17"/>
  <c r="K623" i="17"/>
  <c r="K622" i="17"/>
  <c r="K626" i="17"/>
  <c r="P98" i="18"/>
  <c r="N96" i="18"/>
  <c r="N94" i="18" s="1"/>
  <c r="N22" i="18"/>
  <c r="O272" i="18"/>
  <c r="P120" i="18"/>
  <c r="P141" i="18"/>
  <c r="M140" i="18"/>
  <c r="L640" i="18"/>
  <c r="O648" i="18"/>
  <c r="K651" i="18"/>
  <c r="P19" i="17"/>
  <c r="P23" i="17"/>
  <c r="M13" i="17"/>
  <c r="P13" i="17" s="1"/>
  <c r="N66" i="17"/>
  <c r="L222" i="17"/>
  <c r="M271" i="17"/>
  <c r="P271" i="17" s="1"/>
  <c r="P273" i="17"/>
  <c r="O537" i="17"/>
  <c r="M14" i="18"/>
  <c r="P14" i="18" s="1"/>
  <c r="P34" i="18"/>
  <c r="P102" i="18"/>
  <c r="M96" i="18"/>
  <c r="M26" i="18"/>
  <c r="P291" i="18"/>
  <c r="M290" i="18"/>
  <c r="P290" i="18" s="1"/>
  <c r="P311" i="18"/>
  <c r="O649" i="17"/>
  <c r="L640" i="17"/>
  <c r="M19" i="18"/>
  <c r="P21" i="18"/>
  <c r="M11" i="18"/>
  <c r="O45" i="18"/>
  <c r="L43" i="18"/>
  <c r="L98" i="18"/>
  <c r="L24" i="18"/>
  <c r="L120" i="18"/>
  <c r="O144" i="18"/>
  <c r="L275" i="18"/>
  <c r="P29" i="18"/>
  <c r="M28" i="18"/>
  <c r="P28" i="18" s="1"/>
  <c r="M41" i="18"/>
  <c r="N26" i="18"/>
  <c r="N16" i="18" s="1"/>
  <c r="N43" i="18"/>
  <c r="N41" i="18" s="1"/>
  <c r="P54" i="18"/>
  <c r="M53" i="18"/>
  <c r="P53" i="18" s="1"/>
  <c r="P95" i="18"/>
  <c r="O459" i="18"/>
  <c r="L34" i="18"/>
  <c r="O553" i="18"/>
  <c r="L32" i="18"/>
  <c r="K611" i="17"/>
  <c r="K615" i="17"/>
  <c r="K619" i="17"/>
  <c r="P252" i="18"/>
  <c r="M250" i="18"/>
  <c r="K267" i="18"/>
  <c r="P275" i="18"/>
  <c r="L314" i="18"/>
  <c r="N329" i="18"/>
  <c r="O333" i="18"/>
  <c r="L331" i="18"/>
  <c r="K380" i="18"/>
  <c r="K397" i="18"/>
  <c r="K449" i="18"/>
  <c r="K613" i="17"/>
  <c r="K617" i="17"/>
  <c r="N250" i="18"/>
  <c r="O250" i="18" s="1"/>
  <c r="P273" i="18"/>
  <c r="K304" i="18"/>
  <c r="P314" i="18"/>
  <c r="O383" i="18"/>
  <c r="K547" i="18"/>
  <c r="K612" i="17"/>
  <c r="O224" i="18"/>
  <c r="L222" i="18"/>
  <c r="O222" i="18" s="1"/>
  <c r="P337" i="18"/>
  <c r="M331" i="18"/>
  <c r="M312" i="18"/>
  <c r="P312" i="18" s="1"/>
  <c r="I367" i="18"/>
  <c r="K367" i="18" s="1"/>
  <c r="K611" i="18"/>
  <c r="K615" i="18"/>
  <c r="K619" i="18"/>
  <c r="K623" i="18"/>
  <c r="K614" i="18"/>
  <c r="K618" i="18"/>
  <c r="K622" i="18"/>
  <c r="K613" i="18"/>
  <c r="M220" i="15" l="1"/>
  <c r="L96" i="9"/>
  <c r="M290" i="3"/>
  <c r="N34" i="1"/>
  <c r="N14" i="1" s="1"/>
  <c r="K117" i="1"/>
  <c r="P68" i="7"/>
  <c r="P337" i="13"/>
  <c r="M102" i="1"/>
  <c r="P102" i="1" s="1"/>
  <c r="O34" i="2"/>
  <c r="P273" i="6"/>
  <c r="M310" i="4"/>
  <c r="P310" i="4" s="1"/>
  <c r="P220" i="11"/>
  <c r="O383" i="1"/>
  <c r="M26" i="13"/>
  <c r="P273" i="11"/>
  <c r="M41" i="16"/>
  <c r="P41" i="16" s="1"/>
  <c r="M20" i="18"/>
  <c r="N53" i="11"/>
  <c r="P53" i="11" s="1"/>
  <c r="O120" i="11"/>
  <c r="L120" i="5"/>
  <c r="P273" i="15"/>
  <c r="K435" i="1"/>
  <c r="M310" i="13"/>
  <c r="P310" i="13" s="1"/>
  <c r="P271" i="11"/>
  <c r="K267" i="1"/>
  <c r="O294" i="2"/>
  <c r="L329" i="13"/>
  <c r="O329" i="13" s="1"/>
  <c r="L250" i="10"/>
  <c r="O250" i="10" s="1"/>
  <c r="P271" i="6"/>
  <c r="P22" i="11"/>
  <c r="O68" i="18"/>
  <c r="N28" i="16"/>
  <c r="P55" i="15"/>
  <c r="L43" i="8"/>
  <c r="L252" i="7"/>
  <c r="O252" i="7" s="1"/>
  <c r="O34" i="4"/>
  <c r="P329" i="3"/>
  <c r="L22" i="8"/>
  <c r="K264" i="1"/>
  <c r="P96" i="14"/>
  <c r="M94" i="14"/>
  <c r="P94" i="14" s="1"/>
  <c r="O68" i="8"/>
  <c r="L66" i="8"/>
  <c r="O66" i="8" s="1"/>
  <c r="O96" i="13"/>
  <c r="L94" i="13"/>
  <c r="O94" i="13" s="1"/>
  <c r="O331" i="6"/>
  <c r="L329" i="6"/>
  <c r="O329" i="6" s="1"/>
  <c r="O43" i="17"/>
  <c r="L41" i="17"/>
  <c r="O122" i="13"/>
  <c r="L636" i="4"/>
  <c r="O636" i="4" s="1"/>
  <c r="O68" i="3"/>
  <c r="L292" i="17"/>
  <c r="M250" i="15"/>
  <c r="P250" i="15" s="1"/>
  <c r="O273" i="14"/>
  <c r="L120" i="14"/>
  <c r="O120" i="14" s="1"/>
  <c r="P68" i="12"/>
  <c r="M310" i="12"/>
  <c r="P310" i="12" s="1"/>
  <c r="P142" i="10"/>
  <c r="O70" i="10"/>
  <c r="O254" i="6"/>
  <c r="L96" i="11"/>
  <c r="O294" i="6"/>
  <c r="O294" i="9"/>
  <c r="L331" i="5"/>
  <c r="L329" i="5" s="1"/>
  <c r="O329" i="5" s="1"/>
  <c r="O273" i="4"/>
  <c r="L43" i="3"/>
  <c r="O43" i="3" s="1"/>
  <c r="M140" i="6"/>
  <c r="P140" i="6" s="1"/>
  <c r="O457" i="1"/>
  <c r="N94" i="4"/>
  <c r="O94" i="4" s="1"/>
  <c r="K650" i="1"/>
  <c r="P53" i="17"/>
  <c r="O312" i="2"/>
  <c r="P43" i="18"/>
  <c r="P220" i="17"/>
  <c r="O331" i="17"/>
  <c r="O45" i="17"/>
  <c r="M94" i="15"/>
  <c r="P94" i="15" s="1"/>
  <c r="P140" i="14"/>
  <c r="L250" i="13"/>
  <c r="O250" i="13" s="1"/>
  <c r="N41" i="13"/>
  <c r="L22" i="14"/>
  <c r="P68" i="11"/>
  <c r="P220" i="8"/>
  <c r="O599" i="1"/>
  <c r="O222" i="9"/>
  <c r="M331" i="4"/>
  <c r="M329" i="4" s="1"/>
  <c r="P329" i="4" s="1"/>
  <c r="O349" i="1"/>
  <c r="K547" i="1"/>
  <c r="K113" i="1"/>
  <c r="O34" i="18"/>
  <c r="L68" i="16"/>
  <c r="O68" i="16" s="1"/>
  <c r="N28" i="15"/>
  <c r="O254" i="14"/>
  <c r="M26" i="14"/>
  <c r="M20" i="14" s="1"/>
  <c r="L292" i="10"/>
  <c r="O292" i="10" s="1"/>
  <c r="L22" i="9"/>
  <c r="O22" i="9" s="1"/>
  <c r="M66" i="7"/>
  <c r="P66" i="7" s="1"/>
  <c r="M290" i="9"/>
  <c r="P290" i="9" s="1"/>
  <c r="P273" i="8"/>
  <c r="L55" i="9"/>
  <c r="N37" i="8"/>
  <c r="L292" i="7"/>
  <c r="O292" i="7" s="1"/>
  <c r="O70" i="6"/>
  <c r="L252" i="5"/>
  <c r="L250" i="5" s="1"/>
  <c r="O250" i="5" s="1"/>
  <c r="O555" i="1"/>
  <c r="O32" i="3"/>
  <c r="L24" i="1"/>
  <c r="O24" i="1" s="1"/>
  <c r="P96" i="6"/>
  <c r="L43" i="5"/>
  <c r="N33" i="1"/>
  <c r="N13" i="1" s="1"/>
  <c r="M94" i="16"/>
  <c r="P94" i="16" s="1"/>
  <c r="O43" i="13"/>
  <c r="L68" i="17"/>
  <c r="O68" i="17" s="1"/>
  <c r="M271" i="15"/>
  <c r="P271" i="15" s="1"/>
  <c r="M140" i="13"/>
  <c r="P140" i="13" s="1"/>
  <c r="N66" i="11"/>
  <c r="P66" i="11" s="1"/>
  <c r="O437" i="1"/>
  <c r="O252" i="18"/>
  <c r="P222" i="18"/>
  <c r="O66" i="18"/>
  <c r="O331" i="16"/>
  <c r="P68" i="18"/>
  <c r="P96" i="17"/>
  <c r="P120" i="15"/>
  <c r="L331" i="15"/>
  <c r="O34" i="15"/>
  <c r="L55" i="15"/>
  <c r="L53" i="15" s="1"/>
  <c r="L638" i="14"/>
  <c r="L636" i="14" s="1"/>
  <c r="O636" i="14" s="1"/>
  <c r="P102" i="14"/>
  <c r="O32" i="14"/>
  <c r="L66" i="13"/>
  <c r="O66" i="13" s="1"/>
  <c r="L22" i="12"/>
  <c r="L12" i="12" s="1"/>
  <c r="M12" i="11"/>
  <c r="L120" i="10"/>
  <c r="L312" i="8"/>
  <c r="O312" i="8" s="1"/>
  <c r="L250" i="6"/>
  <c r="O250" i="6" s="1"/>
  <c r="O314" i="2"/>
  <c r="O30" i="3"/>
  <c r="O661" i="1"/>
  <c r="N11" i="3"/>
  <c r="N9" i="3" s="1"/>
  <c r="P250" i="4"/>
  <c r="L22" i="5"/>
  <c r="O22" i="5" s="1"/>
  <c r="L142" i="17"/>
  <c r="O142" i="17" s="1"/>
  <c r="N312" i="1"/>
  <c r="O142" i="7"/>
  <c r="P142" i="4"/>
  <c r="N644" i="1"/>
  <c r="N640" i="1" s="1"/>
  <c r="N638" i="1" s="1"/>
  <c r="N636" i="1" s="1"/>
  <c r="O254" i="18"/>
  <c r="P66" i="18"/>
  <c r="L252" i="15"/>
  <c r="O252" i="15" s="1"/>
  <c r="N28" i="14"/>
  <c r="L273" i="13"/>
  <c r="O273" i="13" s="1"/>
  <c r="L29" i="13"/>
  <c r="O29" i="13" s="1"/>
  <c r="N11" i="15"/>
  <c r="N9" i="15" s="1"/>
  <c r="O329" i="8"/>
  <c r="K633" i="1"/>
  <c r="P68" i="3"/>
  <c r="K482" i="1"/>
  <c r="M290" i="4"/>
  <c r="P290" i="4" s="1"/>
  <c r="K648" i="1"/>
  <c r="O275" i="9"/>
  <c r="L273" i="9"/>
  <c r="K473" i="1"/>
  <c r="L250" i="7"/>
  <c r="O250" i="7" s="1"/>
  <c r="O94" i="3"/>
  <c r="M41" i="15"/>
  <c r="P41" i="15" s="1"/>
  <c r="O118" i="15"/>
  <c r="L22" i="2"/>
  <c r="L12" i="2" s="1"/>
  <c r="P222" i="11"/>
  <c r="N37" i="4"/>
  <c r="O314" i="16"/>
  <c r="L312" i="16"/>
  <c r="P102" i="3"/>
  <c r="M26" i="3"/>
  <c r="P140" i="3"/>
  <c r="K560" i="1"/>
  <c r="O30" i="14"/>
  <c r="N31" i="1"/>
  <c r="N29" i="1" s="1"/>
  <c r="O96" i="3"/>
  <c r="L271" i="16"/>
  <c r="O271" i="16" s="1"/>
  <c r="O329" i="17"/>
  <c r="L41" i="14"/>
  <c r="O41" i="14" s="1"/>
  <c r="O66" i="11"/>
  <c r="O120" i="3"/>
  <c r="L118" i="3"/>
  <c r="O118" i="3" s="1"/>
  <c r="N28" i="10"/>
  <c r="O30" i="10"/>
  <c r="L220" i="18"/>
  <c r="O220" i="18" s="1"/>
  <c r="L118" i="13"/>
  <c r="O118" i="13" s="1"/>
  <c r="L94" i="12"/>
  <c r="O94" i="12" s="1"/>
  <c r="N28" i="9"/>
  <c r="P140" i="8"/>
  <c r="K426" i="1"/>
  <c r="O551" i="1"/>
  <c r="N29" i="18"/>
  <c r="N28" i="18" s="1"/>
  <c r="N11" i="18"/>
  <c r="N9" i="18" s="1"/>
  <c r="P220" i="18"/>
  <c r="N11" i="12"/>
  <c r="N9" i="12" s="1"/>
  <c r="N29" i="12"/>
  <c r="N28" i="12" s="1"/>
  <c r="O224" i="10"/>
  <c r="L222" i="10"/>
  <c r="M140" i="11"/>
  <c r="P140" i="11" s="1"/>
  <c r="P142" i="11"/>
  <c r="O122" i="7"/>
  <c r="L120" i="7"/>
  <c r="M96" i="4"/>
  <c r="P140" i="4"/>
  <c r="O11" i="13"/>
  <c r="L9" i="13"/>
  <c r="O9" i="13" s="1"/>
  <c r="P43" i="17"/>
  <c r="M41" i="17"/>
  <c r="P41" i="17" s="1"/>
  <c r="P140" i="10"/>
  <c r="O224" i="7"/>
  <c r="L222" i="7"/>
  <c r="L292" i="3"/>
  <c r="O294" i="3"/>
  <c r="L45" i="1"/>
  <c r="L43" i="1" s="1"/>
  <c r="P96" i="18"/>
  <c r="P220" i="15"/>
  <c r="N53" i="15"/>
  <c r="N37" i="15" s="1"/>
  <c r="M329" i="13"/>
  <c r="P329" i="13" s="1"/>
  <c r="L66" i="14"/>
  <c r="O66" i="14" s="1"/>
  <c r="P118" i="11"/>
  <c r="L22" i="11"/>
  <c r="L12" i="11" s="1"/>
  <c r="M118" i="10"/>
  <c r="P118" i="10" s="1"/>
  <c r="P55" i="9"/>
  <c r="L57" i="1"/>
  <c r="O57" i="1" s="1"/>
  <c r="L140" i="9"/>
  <c r="O140" i="9" s="1"/>
  <c r="N310" i="1"/>
  <c r="O142" i="18"/>
  <c r="K671" i="1"/>
  <c r="K422" i="1"/>
  <c r="O32" i="10"/>
  <c r="L22" i="7"/>
  <c r="L23" i="1"/>
  <c r="O23" i="1" s="1"/>
  <c r="O23" i="18"/>
  <c r="L13" i="18"/>
  <c r="O13" i="18" s="1"/>
  <c r="O98" i="16"/>
  <c r="L96" i="16"/>
  <c r="P142" i="17"/>
  <c r="O31" i="15"/>
  <c r="L11" i="15"/>
  <c r="L140" i="16"/>
  <c r="O140" i="16" s="1"/>
  <c r="O142" i="16"/>
  <c r="L222" i="12"/>
  <c r="L220" i="12" s="1"/>
  <c r="O224" i="12"/>
  <c r="P96" i="11"/>
  <c r="M94" i="11"/>
  <c r="P94" i="11" s="1"/>
  <c r="N11" i="8"/>
  <c r="N9" i="8" s="1"/>
  <c r="N29" i="8"/>
  <c r="N28" i="8" s="1"/>
  <c r="O640" i="8"/>
  <c r="L638" i="8"/>
  <c r="N28" i="3"/>
  <c r="L271" i="14"/>
  <c r="O271" i="14" s="1"/>
  <c r="L329" i="12"/>
  <c r="O329" i="12" s="1"/>
  <c r="N142" i="1"/>
  <c r="N12" i="8"/>
  <c r="N37" i="3"/>
  <c r="O43" i="2"/>
  <c r="O294" i="18"/>
  <c r="L292" i="18"/>
  <c r="O314" i="14"/>
  <c r="L312" i="14"/>
  <c r="L222" i="13"/>
  <c r="O224" i="13"/>
  <c r="N11" i="11"/>
  <c r="N9" i="11" s="1"/>
  <c r="N29" i="11"/>
  <c r="N28" i="11" s="1"/>
  <c r="O275" i="11"/>
  <c r="L273" i="11"/>
  <c r="O45" i="10"/>
  <c r="L43" i="10"/>
  <c r="L41" i="10" s="1"/>
  <c r="L29" i="12"/>
  <c r="O29" i="12" s="1"/>
  <c r="O31" i="12"/>
  <c r="O294" i="8"/>
  <c r="L292" i="8"/>
  <c r="O294" i="4"/>
  <c r="L292" i="4"/>
  <c r="O275" i="2"/>
  <c r="L273" i="2"/>
  <c r="L271" i="2" s="1"/>
  <c r="P220" i="4"/>
  <c r="L20" i="11"/>
  <c r="O22" i="11"/>
  <c r="L20" i="12"/>
  <c r="O22" i="12"/>
  <c r="O314" i="18"/>
  <c r="L312" i="18"/>
  <c r="O275" i="18"/>
  <c r="L273" i="18"/>
  <c r="O24" i="18"/>
  <c r="L14" i="18"/>
  <c r="O14" i="18" s="1"/>
  <c r="P19" i="18"/>
  <c r="M18" i="18"/>
  <c r="M310" i="18"/>
  <c r="P310" i="18" s="1"/>
  <c r="P26" i="18"/>
  <c r="M16" i="18"/>
  <c r="N12" i="18"/>
  <c r="P22" i="18"/>
  <c r="N20" i="18"/>
  <c r="N18" i="18" s="1"/>
  <c r="L53" i="18"/>
  <c r="O53" i="18" s="1"/>
  <c r="O55" i="18"/>
  <c r="O273" i="17"/>
  <c r="L271" i="17"/>
  <c r="O271" i="17" s="1"/>
  <c r="O122" i="16"/>
  <c r="L120" i="16"/>
  <c r="O24" i="17"/>
  <c r="L14" i="17"/>
  <c r="O14" i="17" s="1"/>
  <c r="P120" i="17"/>
  <c r="M118" i="17"/>
  <c r="P118" i="17" s="1"/>
  <c r="M220" i="16"/>
  <c r="P220" i="16" s="1"/>
  <c r="P68" i="16"/>
  <c r="M66" i="16"/>
  <c r="P66" i="16" s="1"/>
  <c r="P26" i="16"/>
  <c r="M16" i="16"/>
  <c r="P16" i="16" s="1"/>
  <c r="P11" i="16"/>
  <c r="M9" i="16"/>
  <c r="P19" i="15"/>
  <c r="O34" i="17"/>
  <c r="P331" i="17"/>
  <c r="O96" i="17"/>
  <c r="L94" i="17"/>
  <c r="O94" i="17" s="1"/>
  <c r="O29" i="16"/>
  <c r="O140" i="15"/>
  <c r="O23" i="15"/>
  <c r="L13" i="15"/>
  <c r="O13" i="15" s="1"/>
  <c r="O273" i="15"/>
  <c r="L271" i="15"/>
  <c r="O271" i="15" s="1"/>
  <c r="P312" i="15"/>
  <c r="M310" i="15"/>
  <c r="P310" i="15" s="1"/>
  <c r="M290" i="15"/>
  <c r="P290" i="15" s="1"/>
  <c r="O22" i="14"/>
  <c r="L12" i="14"/>
  <c r="L20" i="14"/>
  <c r="P22" i="15"/>
  <c r="M12" i="15"/>
  <c r="P222" i="14"/>
  <c r="M220" i="14"/>
  <c r="P220" i="14" s="1"/>
  <c r="O26" i="14"/>
  <c r="L16" i="14"/>
  <c r="O16" i="14" s="1"/>
  <c r="L41" i="13"/>
  <c r="L290" i="12"/>
  <c r="O290" i="12" s="1"/>
  <c r="O292" i="12"/>
  <c r="O96" i="14"/>
  <c r="L94" i="14"/>
  <c r="O94" i="14" s="1"/>
  <c r="L53" i="12"/>
  <c r="O53" i="12" s="1"/>
  <c r="O55" i="12"/>
  <c r="P331" i="14"/>
  <c r="M329" i="14"/>
  <c r="P329" i="14" s="1"/>
  <c r="P30" i="14"/>
  <c r="M28" i="14"/>
  <c r="P28" i="14" s="1"/>
  <c r="L9" i="11"/>
  <c r="O11" i="11"/>
  <c r="O23" i="12"/>
  <c r="L13" i="12"/>
  <c r="O13" i="12" s="1"/>
  <c r="O640" i="11"/>
  <c r="L638" i="11"/>
  <c r="L290" i="11"/>
  <c r="O290" i="11" s="1"/>
  <c r="O292" i="11"/>
  <c r="O329" i="10"/>
  <c r="O26" i="10"/>
  <c r="L16" i="10"/>
  <c r="O16" i="10" s="1"/>
  <c r="L638" i="9"/>
  <c r="O640" i="9"/>
  <c r="N12" i="13"/>
  <c r="N10" i="13" s="1"/>
  <c r="N8" i="13" s="1"/>
  <c r="N20" i="13"/>
  <c r="N18" i="13" s="1"/>
  <c r="P120" i="13"/>
  <c r="M118" i="13"/>
  <c r="P118" i="13" s="1"/>
  <c r="M290" i="11"/>
  <c r="P290" i="11" s="1"/>
  <c r="P292" i="11"/>
  <c r="O23" i="11"/>
  <c r="L13" i="11"/>
  <c r="O13" i="11" s="1"/>
  <c r="P11" i="11"/>
  <c r="M9" i="11"/>
  <c r="P26" i="10"/>
  <c r="M16" i="10"/>
  <c r="P16" i="10" s="1"/>
  <c r="N271" i="12"/>
  <c r="L140" i="10"/>
  <c r="O140" i="10" s="1"/>
  <c r="O68" i="9"/>
  <c r="L66" i="9"/>
  <c r="O66" i="9" s="1"/>
  <c r="P53" i="9"/>
  <c r="P29" i="9"/>
  <c r="M28" i="9"/>
  <c r="P28" i="9" s="1"/>
  <c r="O222" i="8"/>
  <c r="L220" i="8"/>
  <c r="O220" i="8" s="1"/>
  <c r="M26" i="8"/>
  <c r="M43" i="8"/>
  <c r="P49" i="8"/>
  <c r="O26" i="7"/>
  <c r="L16" i="7"/>
  <c r="O16" i="7" s="1"/>
  <c r="N12" i="6"/>
  <c r="N10" i="6" s="1"/>
  <c r="N20" i="6"/>
  <c r="N18" i="6" s="1"/>
  <c r="O19" i="6"/>
  <c r="N10" i="11"/>
  <c r="P331" i="10"/>
  <c r="M329" i="10"/>
  <c r="P329" i="10" s="1"/>
  <c r="O26" i="9"/>
  <c r="P26" i="9"/>
  <c r="P312" i="8"/>
  <c r="M310" i="8"/>
  <c r="P310" i="8" s="1"/>
  <c r="O142" i="8"/>
  <c r="L140" i="8"/>
  <c r="O140" i="8" s="1"/>
  <c r="L638" i="7"/>
  <c r="O640" i="7"/>
  <c r="N29" i="7"/>
  <c r="N28" i="7" s="1"/>
  <c r="N11" i="7"/>
  <c r="N9" i="7" s="1"/>
  <c r="L30" i="6"/>
  <c r="O30" i="6" s="1"/>
  <c r="O32" i="6"/>
  <c r="O312" i="6"/>
  <c r="L310" i="6"/>
  <c r="O310" i="6" s="1"/>
  <c r="N20" i="11"/>
  <c r="N18" i="11" s="1"/>
  <c r="O312" i="10"/>
  <c r="L310" i="10"/>
  <c r="O310" i="10" s="1"/>
  <c r="N66" i="10"/>
  <c r="O66" i="10" s="1"/>
  <c r="O68" i="10"/>
  <c r="O30" i="9"/>
  <c r="O120" i="8"/>
  <c r="L118" i="8"/>
  <c r="O118" i="8" s="1"/>
  <c r="O23" i="8"/>
  <c r="L13" i="8"/>
  <c r="O13" i="8" s="1"/>
  <c r="M9" i="8"/>
  <c r="P11" i="8"/>
  <c r="O55" i="7"/>
  <c r="L53" i="7"/>
  <c r="O53" i="7" s="1"/>
  <c r="L16" i="6"/>
  <c r="O16" i="6" s="1"/>
  <c r="O26" i="6"/>
  <c r="M329" i="7"/>
  <c r="P329" i="7" s="1"/>
  <c r="O273" i="5"/>
  <c r="L271" i="5"/>
  <c r="O271" i="5" s="1"/>
  <c r="O120" i="5"/>
  <c r="L118" i="5"/>
  <c r="O118" i="5" s="1"/>
  <c r="P19" i="4"/>
  <c r="O314" i="3"/>
  <c r="L312" i="3"/>
  <c r="L314" i="1"/>
  <c r="O314" i="1" s="1"/>
  <c r="O273" i="3"/>
  <c r="L271" i="3"/>
  <c r="O271" i="3" s="1"/>
  <c r="M9" i="3"/>
  <c r="P11" i="3"/>
  <c r="I367" i="1"/>
  <c r="K367" i="1" s="1"/>
  <c r="K369" i="1"/>
  <c r="P11" i="12"/>
  <c r="M9" i="12"/>
  <c r="M12" i="8"/>
  <c r="P22" i="8"/>
  <c r="M20" i="8"/>
  <c r="O43" i="6"/>
  <c r="L14" i="3"/>
  <c r="O14" i="3" s="1"/>
  <c r="O34" i="3"/>
  <c r="O57" i="10"/>
  <c r="L55" i="10"/>
  <c r="L22" i="10"/>
  <c r="P120" i="8"/>
  <c r="M118" i="8"/>
  <c r="P118" i="8" s="1"/>
  <c r="M120" i="1"/>
  <c r="N20" i="5"/>
  <c r="N12" i="5"/>
  <c r="N10" i="5" s="1"/>
  <c r="P43" i="5"/>
  <c r="M41" i="5"/>
  <c r="P29" i="5"/>
  <c r="M28" i="5"/>
  <c r="P28" i="5" s="1"/>
  <c r="O11" i="4"/>
  <c r="L9" i="4"/>
  <c r="P331" i="2"/>
  <c r="M329" i="2"/>
  <c r="O292" i="2"/>
  <c r="M252" i="1"/>
  <c r="P252" i="2"/>
  <c r="M250" i="2"/>
  <c r="P94" i="2"/>
  <c r="P41" i="6"/>
  <c r="M66" i="12"/>
  <c r="P66" i="12" s="1"/>
  <c r="M18" i="9"/>
  <c r="M250" i="7"/>
  <c r="P250" i="7" s="1"/>
  <c r="L20" i="7"/>
  <c r="L18" i="7" s="1"/>
  <c r="O22" i="7"/>
  <c r="L12" i="7"/>
  <c r="M12" i="6"/>
  <c r="M20" i="6"/>
  <c r="P22" i="6"/>
  <c r="O55" i="5"/>
  <c r="L53" i="5"/>
  <c r="O53" i="5" s="1"/>
  <c r="O43" i="5"/>
  <c r="L41" i="5"/>
  <c r="O380" i="1"/>
  <c r="O26" i="3"/>
  <c r="L16" i="3"/>
  <c r="O16" i="3" s="1"/>
  <c r="O333" i="2"/>
  <c r="L333" i="1"/>
  <c r="O333" i="1" s="1"/>
  <c r="L331" i="2"/>
  <c r="P43" i="2"/>
  <c r="M41" i="2"/>
  <c r="N32" i="1"/>
  <c r="N30" i="1" s="1"/>
  <c r="L250" i="16"/>
  <c r="O250" i="16" s="1"/>
  <c r="K430" i="1"/>
  <c r="M10" i="2"/>
  <c r="P310" i="2"/>
  <c r="O144" i="2"/>
  <c r="L142" i="2"/>
  <c r="L144" i="1"/>
  <c r="O144" i="1" s="1"/>
  <c r="O42" i="1"/>
  <c r="L41" i="1"/>
  <c r="N220" i="6"/>
  <c r="L41" i="3"/>
  <c r="O224" i="2"/>
  <c r="L224" i="1"/>
  <c r="O224" i="1" s="1"/>
  <c r="L222" i="2"/>
  <c r="O331" i="18"/>
  <c r="L329" i="18"/>
  <c r="O329" i="18" s="1"/>
  <c r="P41" i="18"/>
  <c r="O98" i="18"/>
  <c r="L22" i="18"/>
  <c r="L96" i="18"/>
  <c r="O222" i="17"/>
  <c r="L220" i="17"/>
  <c r="O220" i="17" s="1"/>
  <c r="L638" i="18"/>
  <c r="O640" i="18"/>
  <c r="O11" i="18"/>
  <c r="L9" i="18"/>
  <c r="M16" i="17"/>
  <c r="P16" i="17" s="1"/>
  <c r="P26" i="17"/>
  <c r="O640" i="16"/>
  <c r="L638" i="16"/>
  <c r="M271" i="16"/>
  <c r="P271" i="16" s="1"/>
  <c r="P273" i="16"/>
  <c r="O26" i="18"/>
  <c r="L16" i="18"/>
  <c r="O16" i="18" s="1"/>
  <c r="N29" i="17"/>
  <c r="N28" i="17" s="1"/>
  <c r="N11" i="17"/>
  <c r="N9" i="17" s="1"/>
  <c r="L16" i="17"/>
  <c r="O16" i="17" s="1"/>
  <c r="O26" i="17"/>
  <c r="P9" i="17"/>
  <c r="O292" i="16"/>
  <c r="L290" i="16"/>
  <c r="O290" i="16" s="1"/>
  <c r="O254" i="17"/>
  <c r="L252" i="17"/>
  <c r="L310" i="17"/>
  <c r="O310" i="17" s="1"/>
  <c r="O57" i="16"/>
  <c r="L55" i="16"/>
  <c r="L22" i="16"/>
  <c r="P329" i="17"/>
  <c r="L30" i="16"/>
  <c r="O30" i="16" s="1"/>
  <c r="O32" i="16"/>
  <c r="M20" i="16"/>
  <c r="M12" i="16"/>
  <c r="P22" i="16"/>
  <c r="L638" i="15"/>
  <c r="O640" i="15"/>
  <c r="O57" i="17"/>
  <c r="L55" i="17"/>
  <c r="P43" i="14"/>
  <c r="M41" i="14"/>
  <c r="L14" i="15"/>
  <c r="O14" i="15" s="1"/>
  <c r="O24" i="15"/>
  <c r="P337" i="15"/>
  <c r="M26" i="15"/>
  <c r="M331" i="15"/>
  <c r="N20" i="15"/>
  <c r="N18" i="15" s="1"/>
  <c r="N12" i="15"/>
  <c r="N10" i="15" s="1"/>
  <c r="N8" i="15" s="1"/>
  <c r="O32" i="15"/>
  <c r="N37" i="13"/>
  <c r="O68" i="15"/>
  <c r="L66" i="15"/>
  <c r="O66" i="15" s="1"/>
  <c r="O331" i="14"/>
  <c r="L329" i="14"/>
  <c r="O329" i="14" s="1"/>
  <c r="O142" i="14"/>
  <c r="L140" i="14"/>
  <c r="O140" i="14" s="1"/>
  <c r="M16" i="14"/>
  <c r="P16" i="14" s="1"/>
  <c r="P68" i="14"/>
  <c r="M66" i="14"/>
  <c r="P66" i="14" s="1"/>
  <c r="O640" i="13"/>
  <c r="L638" i="13"/>
  <c r="L271" i="12"/>
  <c r="O271" i="12" s="1"/>
  <c r="O273" i="12"/>
  <c r="M43" i="11"/>
  <c r="M26" i="11"/>
  <c r="P49" i="11"/>
  <c r="N20" i="14"/>
  <c r="N18" i="14" s="1"/>
  <c r="N12" i="14"/>
  <c r="N10" i="14" s="1"/>
  <c r="N8" i="14" s="1"/>
  <c r="P271" i="13"/>
  <c r="O142" i="13"/>
  <c r="L140" i="13"/>
  <c r="O140" i="13" s="1"/>
  <c r="O312" i="13"/>
  <c r="L310" i="13"/>
  <c r="O310" i="13" s="1"/>
  <c r="O23" i="13"/>
  <c r="L13" i="13"/>
  <c r="O13" i="13" s="1"/>
  <c r="O640" i="12"/>
  <c r="L638" i="12"/>
  <c r="O254" i="11"/>
  <c r="L252" i="11"/>
  <c r="P26" i="13"/>
  <c r="M16" i="13"/>
  <c r="P16" i="13" s="1"/>
  <c r="O254" i="12"/>
  <c r="L252" i="12"/>
  <c r="M20" i="10"/>
  <c r="M12" i="10"/>
  <c r="P22" i="10"/>
  <c r="P12" i="11"/>
  <c r="O31" i="10"/>
  <c r="L29" i="10"/>
  <c r="O26" i="12"/>
  <c r="O144" i="11"/>
  <c r="L142" i="11"/>
  <c r="M220" i="10"/>
  <c r="P220" i="10" s="1"/>
  <c r="P68" i="10"/>
  <c r="M68" i="1"/>
  <c r="M140" i="12"/>
  <c r="P140" i="12" s="1"/>
  <c r="O24" i="9"/>
  <c r="L14" i="9"/>
  <c r="O14" i="9" s="1"/>
  <c r="L41" i="8"/>
  <c r="O43" i="8"/>
  <c r="N53" i="6"/>
  <c r="P53" i="6" s="1"/>
  <c r="P55" i="6"/>
  <c r="L310" i="11"/>
  <c r="O310" i="11" s="1"/>
  <c r="O312" i="11"/>
  <c r="P43" i="9"/>
  <c r="M41" i="9"/>
  <c r="O19" i="8"/>
  <c r="O11" i="7"/>
  <c r="L9" i="7"/>
  <c r="L11" i="10"/>
  <c r="O55" i="9"/>
  <c r="L53" i="9"/>
  <c r="O53" i="9" s="1"/>
  <c r="O43" i="9"/>
  <c r="L41" i="9"/>
  <c r="P337" i="8"/>
  <c r="M331" i="8"/>
  <c r="P102" i="8"/>
  <c r="M96" i="8"/>
  <c r="O55" i="8"/>
  <c r="L53" i="8"/>
  <c r="O53" i="8" s="1"/>
  <c r="P222" i="7"/>
  <c r="N220" i="7"/>
  <c r="N37" i="7" s="1"/>
  <c r="O292" i="9"/>
  <c r="L290" i="9"/>
  <c r="O290" i="9" s="1"/>
  <c r="L13" i="9"/>
  <c r="O13" i="9" s="1"/>
  <c r="M12" i="7"/>
  <c r="P22" i="7"/>
  <c r="M250" i="6"/>
  <c r="P250" i="6" s="1"/>
  <c r="O252" i="5"/>
  <c r="O96" i="5"/>
  <c r="L94" i="5"/>
  <c r="O94" i="5" s="1"/>
  <c r="P22" i="5"/>
  <c r="M12" i="5"/>
  <c r="O222" i="4"/>
  <c r="L220" i="4"/>
  <c r="O220" i="4" s="1"/>
  <c r="M26" i="4"/>
  <c r="M49" i="1"/>
  <c r="P49" i="4"/>
  <c r="M43" i="4"/>
  <c r="O26" i="4"/>
  <c r="L16" i="4"/>
  <c r="O16" i="4" s="1"/>
  <c r="O31" i="3"/>
  <c r="L29" i="3"/>
  <c r="L11" i="3"/>
  <c r="P290" i="3"/>
  <c r="P29" i="3"/>
  <c r="M28" i="3"/>
  <c r="P28" i="3" s="1"/>
  <c r="O31" i="2"/>
  <c r="L29" i="2"/>
  <c r="L11" i="2"/>
  <c r="N273" i="1"/>
  <c r="P273" i="2"/>
  <c r="N271" i="2"/>
  <c r="N271" i="1" s="1"/>
  <c r="M9" i="2"/>
  <c r="P11" i="2"/>
  <c r="O102" i="1"/>
  <c r="L26" i="1"/>
  <c r="O96" i="10"/>
  <c r="L94" i="10"/>
  <c r="O94" i="10" s="1"/>
  <c r="O41" i="6"/>
  <c r="L14" i="4"/>
  <c r="O14" i="4" s="1"/>
  <c r="N220" i="9"/>
  <c r="N37" i="9" s="1"/>
  <c r="P222" i="9"/>
  <c r="O34" i="7"/>
  <c r="N290" i="5"/>
  <c r="N290" i="1" s="1"/>
  <c r="N292" i="1"/>
  <c r="M26" i="5"/>
  <c r="M20" i="5" s="1"/>
  <c r="P102" i="5"/>
  <c r="M96" i="5"/>
  <c r="N12" i="4"/>
  <c r="N20" i="4"/>
  <c r="N18" i="4" s="1"/>
  <c r="O331" i="3"/>
  <c r="L329" i="3"/>
  <c r="O329" i="3" s="1"/>
  <c r="P250" i="3"/>
  <c r="M94" i="3"/>
  <c r="P94" i="3" s="1"/>
  <c r="P96" i="3"/>
  <c r="L22" i="3"/>
  <c r="N20" i="3"/>
  <c r="N12" i="3"/>
  <c r="N10" i="3" s="1"/>
  <c r="N8" i="3" s="1"/>
  <c r="O273" i="2"/>
  <c r="O34" i="6"/>
  <c r="N11" i="9"/>
  <c r="N9" i="9" s="1"/>
  <c r="L29" i="8"/>
  <c r="O31" i="8"/>
  <c r="P26" i="6"/>
  <c r="M16" i="6"/>
  <c r="P16" i="6" s="1"/>
  <c r="P43" i="6"/>
  <c r="O222" i="5"/>
  <c r="L220" i="5"/>
  <c r="O220" i="5" s="1"/>
  <c r="N8" i="5"/>
  <c r="O32" i="4"/>
  <c r="L30" i="4"/>
  <c r="P9" i="4"/>
  <c r="K398" i="1"/>
  <c r="P43" i="3"/>
  <c r="M41" i="3"/>
  <c r="P57" i="1"/>
  <c r="M55" i="1"/>
  <c r="M22" i="1"/>
  <c r="J651" i="1"/>
  <c r="K651" i="1" s="1"/>
  <c r="P26" i="3"/>
  <c r="N331" i="1"/>
  <c r="L14" i="2"/>
  <c r="O14" i="2" s="1"/>
  <c r="O24" i="2"/>
  <c r="O25" i="1"/>
  <c r="L15" i="1"/>
  <c r="O15" i="1" s="1"/>
  <c r="N250" i="1"/>
  <c r="N66" i="2"/>
  <c r="N68" i="1"/>
  <c r="L640" i="1"/>
  <c r="L20" i="8"/>
  <c r="L18" i="8" s="1"/>
  <c r="O22" i="8"/>
  <c r="L12" i="8"/>
  <c r="N22" i="1"/>
  <c r="N43" i="1"/>
  <c r="P45" i="1"/>
  <c r="O45" i="1"/>
  <c r="O638" i="2"/>
  <c r="L636" i="2"/>
  <c r="O636" i="2" s="1"/>
  <c r="P19" i="1"/>
  <c r="L30" i="18"/>
  <c r="O30" i="18" s="1"/>
  <c r="O32" i="18"/>
  <c r="M94" i="18"/>
  <c r="P94" i="18" s="1"/>
  <c r="O43" i="18"/>
  <c r="L41" i="18"/>
  <c r="P11" i="18"/>
  <c r="M9" i="18"/>
  <c r="L638" i="17"/>
  <c r="O640" i="17"/>
  <c r="O29" i="18"/>
  <c r="O41" i="17"/>
  <c r="P252" i="17"/>
  <c r="N37" i="17"/>
  <c r="L66" i="17"/>
  <c r="O66" i="17" s="1"/>
  <c r="O24" i="16"/>
  <c r="L14" i="16"/>
  <c r="O14" i="16" s="1"/>
  <c r="L13" i="16"/>
  <c r="O13" i="16" s="1"/>
  <c r="O23" i="16"/>
  <c r="O16" i="16"/>
  <c r="P19" i="16"/>
  <c r="M18" i="16"/>
  <c r="O31" i="17"/>
  <c r="L29" i="17"/>
  <c r="M140" i="16"/>
  <c r="P140" i="16" s="1"/>
  <c r="P142" i="16"/>
  <c r="L13" i="17"/>
  <c r="O13" i="17" s="1"/>
  <c r="O23" i="17"/>
  <c r="O331" i="15"/>
  <c r="L329" i="15"/>
  <c r="O329" i="15" s="1"/>
  <c r="O142" i="15"/>
  <c r="N20" i="16"/>
  <c r="N18" i="16" s="1"/>
  <c r="L310" i="15"/>
  <c r="O310" i="15" s="1"/>
  <c r="M118" i="15"/>
  <c r="P118" i="15" s="1"/>
  <c r="O294" i="15"/>
  <c r="L292" i="15"/>
  <c r="L22" i="15"/>
  <c r="P11" i="15"/>
  <c r="M9" i="15"/>
  <c r="O34" i="13"/>
  <c r="L14" i="13"/>
  <c r="O14" i="13" s="1"/>
  <c r="O30" i="15"/>
  <c r="L11" i="17"/>
  <c r="O120" i="15"/>
  <c r="O638" i="14"/>
  <c r="L220" i="14"/>
  <c r="O220" i="14" s="1"/>
  <c r="P22" i="14"/>
  <c r="M12" i="14"/>
  <c r="P142" i="15"/>
  <c r="M140" i="15"/>
  <c r="P140" i="15" s="1"/>
  <c r="P273" i="14"/>
  <c r="M271" i="14"/>
  <c r="P271" i="14" s="1"/>
  <c r="O23" i="14"/>
  <c r="L13" i="14"/>
  <c r="O13" i="14" s="1"/>
  <c r="P222" i="13"/>
  <c r="M220" i="13"/>
  <c r="P220" i="13" s="1"/>
  <c r="P68" i="13"/>
  <c r="M66" i="13"/>
  <c r="P66" i="13" s="1"/>
  <c r="P41" i="13"/>
  <c r="M20" i="13"/>
  <c r="P22" i="13"/>
  <c r="M12" i="13"/>
  <c r="P331" i="12"/>
  <c r="M329" i="12"/>
  <c r="P329" i="12" s="1"/>
  <c r="M43" i="12"/>
  <c r="P49" i="12"/>
  <c r="M26" i="12"/>
  <c r="N329" i="11"/>
  <c r="P329" i="11" s="1"/>
  <c r="P331" i="11"/>
  <c r="N37" i="14"/>
  <c r="L53" i="11"/>
  <c r="O53" i="11" s="1"/>
  <c r="O55" i="11"/>
  <c r="L55" i="13"/>
  <c r="O57" i="13"/>
  <c r="N20" i="12"/>
  <c r="N18" i="12" s="1"/>
  <c r="N12" i="12"/>
  <c r="N10" i="12" s="1"/>
  <c r="N8" i="12" s="1"/>
  <c r="O34" i="12"/>
  <c r="L14" i="12"/>
  <c r="O14" i="12" s="1"/>
  <c r="O43" i="12"/>
  <c r="L41" i="12"/>
  <c r="P22" i="12"/>
  <c r="P312" i="11"/>
  <c r="M310" i="11"/>
  <c r="P310" i="11" s="1"/>
  <c r="M250" i="11"/>
  <c r="P250" i="11" s="1"/>
  <c r="O331" i="10"/>
  <c r="P55" i="10"/>
  <c r="M53" i="10"/>
  <c r="O26" i="13"/>
  <c r="L16" i="13"/>
  <c r="O16" i="13" s="1"/>
  <c r="L22" i="13"/>
  <c r="O312" i="12"/>
  <c r="L310" i="12"/>
  <c r="O310" i="12" s="1"/>
  <c r="L29" i="11"/>
  <c r="O31" i="11"/>
  <c r="P252" i="10"/>
  <c r="M250" i="10"/>
  <c r="P250" i="10" s="1"/>
  <c r="P19" i="11"/>
  <c r="O275" i="10"/>
  <c r="L273" i="10"/>
  <c r="L275" i="1"/>
  <c r="O275" i="1" s="1"/>
  <c r="P292" i="13"/>
  <c r="M290" i="13"/>
  <c r="P290" i="13" s="1"/>
  <c r="O14" i="10"/>
  <c r="O122" i="9"/>
  <c r="L120" i="9"/>
  <c r="M26" i="7"/>
  <c r="M43" i="7"/>
  <c r="P49" i="7"/>
  <c r="O220" i="6"/>
  <c r="O98" i="6"/>
  <c r="L96" i="6"/>
  <c r="O11" i="6"/>
  <c r="L9" i="6"/>
  <c r="O34" i="11"/>
  <c r="O118" i="11"/>
  <c r="O43" i="11"/>
  <c r="L41" i="11"/>
  <c r="P142" i="9"/>
  <c r="M140" i="9"/>
  <c r="P140" i="9" s="1"/>
  <c r="O32" i="7"/>
  <c r="L30" i="7"/>
  <c r="O30" i="7" s="1"/>
  <c r="O312" i="7"/>
  <c r="L310" i="7"/>
  <c r="O310" i="7" s="1"/>
  <c r="L638" i="6"/>
  <c r="O640" i="6"/>
  <c r="N29" i="6"/>
  <c r="N28" i="6" s="1"/>
  <c r="N11" i="6"/>
  <c r="N9" i="6" s="1"/>
  <c r="O24" i="6"/>
  <c r="L14" i="6"/>
  <c r="O14" i="6" s="1"/>
  <c r="O96" i="11"/>
  <c r="L94" i="11"/>
  <c r="O94" i="11" s="1"/>
  <c r="O19" i="10"/>
  <c r="N20" i="9"/>
  <c r="P20" i="9" s="1"/>
  <c r="N12" i="9"/>
  <c r="N10" i="9" s="1"/>
  <c r="O96" i="9"/>
  <c r="L94" i="9"/>
  <c r="O94" i="9" s="1"/>
  <c r="O32" i="8"/>
  <c r="L30" i="8"/>
  <c r="O30" i="8" s="1"/>
  <c r="O96" i="8"/>
  <c r="L94" i="8"/>
  <c r="O94" i="8" s="1"/>
  <c r="P120" i="6"/>
  <c r="N118" i="6"/>
  <c r="P118" i="6" s="1"/>
  <c r="O273" i="8"/>
  <c r="L271" i="8"/>
  <c r="O271" i="8" s="1"/>
  <c r="M140" i="7"/>
  <c r="P140" i="7" s="1"/>
  <c r="O66" i="7"/>
  <c r="L29" i="7"/>
  <c r="O31" i="7"/>
  <c r="O331" i="5"/>
  <c r="O142" i="5"/>
  <c r="L140" i="5"/>
  <c r="O140" i="5" s="1"/>
  <c r="P55" i="5"/>
  <c r="N29" i="4"/>
  <c r="N28" i="4" s="1"/>
  <c r="N11" i="4"/>
  <c r="N9" i="4" s="1"/>
  <c r="L41" i="4"/>
  <c r="O43" i="4"/>
  <c r="O23" i="3"/>
  <c r="L13" i="3"/>
  <c r="O13" i="3" s="1"/>
  <c r="N94" i="1"/>
  <c r="P29" i="2"/>
  <c r="M28" i="2"/>
  <c r="P28" i="2" s="1"/>
  <c r="O337" i="1"/>
  <c r="M337" i="1"/>
  <c r="P337" i="1" s="1"/>
  <c r="O292" i="14"/>
  <c r="L290" i="14"/>
  <c r="O290" i="14" s="1"/>
  <c r="P19" i="12"/>
  <c r="M53" i="8"/>
  <c r="P53" i="8" s="1"/>
  <c r="P55" i="8"/>
  <c r="P292" i="7"/>
  <c r="M290" i="7"/>
  <c r="P290" i="7" s="1"/>
  <c r="P66" i="6"/>
  <c r="P9" i="10"/>
  <c r="M329" i="6"/>
  <c r="P329" i="6" s="1"/>
  <c r="L66" i="6"/>
  <c r="O66" i="6" s="1"/>
  <c r="O68" i="6"/>
  <c r="L310" i="5"/>
  <c r="O310" i="5" s="1"/>
  <c r="O16" i="5"/>
  <c r="O142" i="4"/>
  <c r="L140" i="4"/>
  <c r="O140" i="4" s="1"/>
  <c r="M53" i="4"/>
  <c r="P53" i="4" s="1"/>
  <c r="P55" i="4"/>
  <c r="O19" i="4"/>
  <c r="L638" i="3"/>
  <c r="O640" i="3"/>
  <c r="O68" i="2"/>
  <c r="M222" i="1"/>
  <c r="O34" i="10"/>
  <c r="M10" i="9"/>
  <c r="N18" i="9"/>
  <c r="L271" i="7"/>
  <c r="O271" i="7" s="1"/>
  <c r="O273" i="7"/>
  <c r="M94" i="7"/>
  <c r="P94" i="7" s="1"/>
  <c r="O68" i="7"/>
  <c r="M94" i="6"/>
  <c r="P94" i="6" s="1"/>
  <c r="L30" i="5"/>
  <c r="O30" i="5" s="1"/>
  <c r="O32" i="5"/>
  <c r="N18" i="5"/>
  <c r="L118" i="4"/>
  <c r="O118" i="4" s="1"/>
  <c r="O120" i="4"/>
  <c r="O23" i="4"/>
  <c r="L13" i="4"/>
  <c r="O13" i="4" s="1"/>
  <c r="P22" i="4"/>
  <c r="O254" i="2"/>
  <c r="L254" i="1"/>
  <c r="O254" i="1" s="1"/>
  <c r="L252" i="2"/>
  <c r="K618" i="1"/>
  <c r="K614" i="1"/>
  <c r="K617" i="1"/>
  <c r="K615" i="1"/>
  <c r="K613" i="1"/>
  <c r="K611" i="1"/>
  <c r="K619" i="1"/>
  <c r="K612" i="1"/>
  <c r="K616" i="1"/>
  <c r="P142" i="18"/>
  <c r="N140" i="18"/>
  <c r="N140" i="1" s="1"/>
  <c r="O222" i="15"/>
  <c r="L220" i="15"/>
  <c r="O220" i="15" s="1"/>
  <c r="L29" i="6"/>
  <c r="O31" i="6"/>
  <c r="L14" i="5"/>
  <c r="O14" i="5" s="1"/>
  <c r="O24" i="5"/>
  <c r="K629" i="1"/>
  <c r="O122" i="2"/>
  <c r="L120" i="2"/>
  <c r="L122" i="1"/>
  <c r="O122" i="1" s="1"/>
  <c r="M18" i="2"/>
  <c r="N26" i="1"/>
  <c r="N16" i="1" s="1"/>
  <c r="O74" i="1"/>
  <c r="M273" i="1"/>
  <c r="P273" i="1" s="1"/>
  <c r="L98" i="1"/>
  <c r="O98" i="1" s="1"/>
  <c r="O648" i="1"/>
  <c r="N96" i="1"/>
  <c r="N20" i="2"/>
  <c r="P20" i="2" s="1"/>
  <c r="N12" i="2"/>
  <c r="N10" i="2" s="1"/>
  <c r="N8" i="2" s="1"/>
  <c r="M310" i="3"/>
  <c r="P310" i="3" s="1"/>
  <c r="L41" i="2"/>
  <c r="O250" i="3"/>
  <c r="L290" i="2"/>
  <c r="L271" i="4"/>
  <c r="O271" i="4" s="1"/>
  <c r="M312" i="1"/>
  <c r="P20" i="18"/>
  <c r="P331" i="18"/>
  <c r="M329" i="18"/>
  <c r="P329" i="18" s="1"/>
  <c r="P250" i="18"/>
  <c r="O120" i="18"/>
  <c r="L118" i="18"/>
  <c r="O118" i="18" s="1"/>
  <c r="N12" i="17"/>
  <c r="N10" i="17" s="1"/>
  <c r="N20" i="17"/>
  <c r="N18" i="17" s="1"/>
  <c r="L118" i="17"/>
  <c r="O118" i="17" s="1"/>
  <c r="O120" i="17"/>
  <c r="O32" i="17"/>
  <c r="L30" i="17"/>
  <c r="O30" i="17" s="1"/>
  <c r="M290" i="17"/>
  <c r="P290" i="17" s="1"/>
  <c r="M20" i="17"/>
  <c r="P22" i="17"/>
  <c r="M12" i="17"/>
  <c r="P250" i="17"/>
  <c r="P55" i="17"/>
  <c r="L22" i="17"/>
  <c r="O224" i="16"/>
  <c r="L222" i="16"/>
  <c r="L329" i="16"/>
  <c r="O329" i="16" s="1"/>
  <c r="O43" i="16"/>
  <c r="L41" i="16"/>
  <c r="O26" i="16"/>
  <c r="L28" i="15"/>
  <c r="O28" i="15" s="1"/>
  <c r="O29" i="15"/>
  <c r="P55" i="16"/>
  <c r="M53" i="16"/>
  <c r="P53" i="16" s="1"/>
  <c r="O11" i="16"/>
  <c r="L9" i="16"/>
  <c r="O26" i="15"/>
  <c r="L16" i="15"/>
  <c r="O16" i="15" s="1"/>
  <c r="N10" i="16"/>
  <c r="N8" i="16" s="1"/>
  <c r="O43" i="15"/>
  <c r="L41" i="15"/>
  <c r="P29" i="15"/>
  <c r="M28" i="15"/>
  <c r="P28" i="15" s="1"/>
  <c r="O31" i="14"/>
  <c r="L11" i="14"/>
  <c r="L29" i="14"/>
  <c r="O19" i="17"/>
  <c r="O252" i="14"/>
  <c r="L250" i="14"/>
  <c r="O250" i="14" s="1"/>
  <c r="P120" i="14"/>
  <c r="M118" i="14"/>
  <c r="P118" i="14" s="1"/>
  <c r="P55" i="14"/>
  <c r="M53" i="14"/>
  <c r="P53" i="14" s="1"/>
  <c r="L30" i="13"/>
  <c r="O30" i="13" s="1"/>
  <c r="O32" i="13"/>
  <c r="O57" i="14"/>
  <c r="L55" i="14"/>
  <c r="P19" i="13"/>
  <c r="M18" i="13"/>
  <c r="P252" i="12"/>
  <c r="M250" i="12"/>
  <c r="P250" i="12" s="1"/>
  <c r="P222" i="12"/>
  <c r="N220" i="12"/>
  <c r="P220" i="12" s="1"/>
  <c r="P120" i="12"/>
  <c r="N118" i="12"/>
  <c r="P118" i="12" s="1"/>
  <c r="O24" i="11"/>
  <c r="L14" i="11"/>
  <c r="O14" i="11" s="1"/>
  <c r="L290" i="13"/>
  <c r="O290" i="13" s="1"/>
  <c r="L271" i="13"/>
  <c r="O271" i="13" s="1"/>
  <c r="M9" i="13"/>
  <c r="P11" i="13"/>
  <c r="P271" i="12"/>
  <c r="L9" i="12"/>
  <c r="O11" i="12"/>
  <c r="O331" i="11"/>
  <c r="O26" i="11"/>
  <c r="L16" i="11"/>
  <c r="O16" i="11" s="1"/>
  <c r="N41" i="10"/>
  <c r="P43" i="10"/>
  <c r="O640" i="10"/>
  <c r="L638" i="10"/>
  <c r="N37" i="11"/>
  <c r="M66" i="10"/>
  <c r="P66" i="10" s="1"/>
  <c r="P11" i="9"/>
  <c r="M9" i="9"/>
  <c r="O26" i="8"/>
  <c r="L16" i="8"/>
  <c r="L41" i="7"/>
  <c r="O43" i="7"/>
  <c r="L13" i="6"/>
  <c r="O13" i="6" s="1"/>
  <c r="O23" i="6"/>
  <c r="L638" i="5"/>
  <c r="O640" i="5"/>
  <c r="O34" i="9"/>
  <c r="L329" i="9"/>
  <c r="O329" i="9" s="1"/>
  <c r="L250" i="9"/>
  <c r="O250" i="9" s="1"/>
  <c r="O16" i="9"/>
  <c r="P16" i="9"/>
  <c r="O252" i="8"/>
  <c r="L250" i="8"/>
  <c r="O250" i="8" s="1"/>
  <c r="O11" i="8"/>
  <c r="L9" i="8"/>
  <c r="N12" i="7"/>
  <c r="N10" i="7" s="1"/>
  <c r="N20" i="7"/>
  <c r="N18" i="7" s="1"/>
  <c r="O19" i="7"/>
  <c r="L22" i="6"/>
  <c r="L55" i="6"/>
  <c r="O57" i="6"/>
  <c r="O222" i="11"/>
  <c r="L220" i="11"/>
  <c r="O220" i="11" s="1"/>
  <c r="N12" i="10"/>
  <c r="N10" i="10" s="1"/>
  <c r="N8" i="10" s="1"/>
  <c r="N20" i="10"/>
  <c r="N18" i="10" s="1"/>
  <c r="O31" i="9"/>
  <c r="L29" i="9"/>
  <c r="L11" i="9"/>
  <c r="P331" i="9"/>
  <c r="M329" i="9"/>
  <c r="P329" i="9" s="1"/>
  <c r="P252" i="9"/>
  <c r="M250" i="9"/>
  <c r="P250" i="9" s="1"/>
  <c r="O32" i="9"/>
  <c r="N16" i="8"/>
  <c r="N20" i="8"/>
  <c r="N18" i="8" s="1"/>
  <c r="L290" i="7"/>
  <c r="O290" i="7" s="1"/>
  <c r="P220" i="7"/>
  <c r="O23" i="7"/>
  <c r="L13" i="7"/>
  <c r="O13" i="7" s="1"/>
  <c r="M9" i="7"/>
  <c r="P11" i="7"/>
  <c r="O292" i="6"/>
  <c r="L290" i="6"/>
  <c r="O290" i="6" s="1"/>
  <c r="P220" i="6"/>
  <c r="P19" i="6"/>
  <c r="O31" i="5"/>
  <c r="L29" i="5"/>
  <c r="L11" i="5"/>
  <c r="M53" i="7"/>
  <c r="P53" i="7" s="1"/>
  <c r="P55" i="7"/>
  <c r="L271" i="6"/>
  <c r="O271" i="6" s="1"/>
  <c r="O273" i="6"/>
  <c r="O68" i="5"/>
  <c r="L66" i="5"/>
  <c r="O66" i="5" s="1"/>
  <c r="P53" i="5"/>
  <c r="P66" i="4"/>
  <c r="O142" i="3"/>
  <c r="L140" i="3"/>
  <c r="O140" i="3" s="1"/>
  <c r="P271" i="2"/>
  <c r="M142" i="1"/>
  <c r="M140" i="2"/>
  <c r="P142" i="2"/>
  <c r="O23" i="2"/>
  <c r="L13" i="2"/>
  <c r="O13" i="2" s="1"/>
  <c r="M271" i="10"/>
  <c r="P271" i="10" s="1"/>
  <c r="P12" i="3"/>
  <c r="L30" i="12"/>
  <c r="O32" i="12"/>
  <c r="L13" i="10"/>
  <c r="O13" i="10" s="1"/>
  <c r="O23" i="10"/>
  <c r="L14" i="7"/>
  <c r="O14" i="7" s="1"/>
  <c r="P337" i="5"/>
  <c r="M331" i="5"/>
  <c r="O26" i="5"/>
  <c r="P11" i="5"/>
  <c r="M9" i="5"/>
  <c r="L33" i="1"/>
  <c r="O33" i="1" s="1"/>
  <c r="O384" i="1"/>
  <c r="N18" i="3"/>
  <c r="N220" i="2"/>
  <c r="N222" i="1"/>
  <c r="N118" i="2"/>
  <c r="N120" i="1"/>
  <c r="O22" i="2"/>
  <c r="L20" i="2"/>
  <c r="K626" i="1"/>
  <c r="K622" i="1"/>
  <c r="K624" i="1"/>
  <c r="K620" i="1"/>
  <c r="K621" i="1"/>
  <c r="K623" i="1"/>
  <c r="K625" i="1"/>
  <c r="P22" i="9"/>
  <c r="O14" i="8"/>
  <c r="P292" i="6"/>
  <c r="M290" i="6"/>
  <c r="P290" i="6" s="1"/>
  <c r="M292" i="1"/>
  <c r="P292" i="1" s="1"/>
  <c r="P68" i="6"/>
  <c r="M9" i="6"/>
  <c r="P312" i="5"/>
  <c r="M310" i="5"/>
  <c r="P310" i="5" s="1"/>
  <c r="L13" i="5"/>
  <c r="O13" i="5" s="1"/>
  <c r="O55" i="4"/>
  <c r="L53" i="4"/>
  <c r="O53" i="4" s="1"/>
  <c r="K450" i="1"/>
  <c r="L220" i="3"/>
  <c r="O220" i="3" s="1"/>
  <c r="O222" i="3"/>
  <c r="O26" i="2"/>
  <c r="L16" i="2"/>
  <c r="O16" i="2" s="1"/>
  <c r="O294" i="5"/>
  <c r="L292" i="5"/>
  <c r="L294" i="1"/>
  <c r="O294" i="1" s="1"/>
  <c r="L68" i="4"/>
  <c r="L68" i="1" s="1"/>
  <c r="O70" i="4"/>
  <c r="L70" i="1"/>
  <c r="O70" i="1" s="1"/>
  <c r="L22" i="4"/>
  <c r="L30" i="2"/>
  <c r="O30" i="2" s="1"/>
  <c r="O32" i="2"/>
  <c r="L34" i="1"/>
  <c r="O34" i="1" s="1"/>
  <c r="O96" i="2"/>
  <c r="L94" i="2"/>
  <c r="O55" i="2"/>
  <c r="L53" i="2"/>
  <c r="O53" i="2" s="1"/>
  <c r="O21" i="1"/>
  <c r="L19" i="1"/>
  <c r="L66" i="2"/>
  <c r="O55" i="3"/>
  <c r="L53" i="3"/>
  <c r="O53" i="3" s="1"/>
  <c r="L66" i="3"/>
  <c r="O66" i="3" s="1"/>
  <c r="L32" i="1"/>
  <c r="O352" i="1"/>
  <c r="N252" i="1"/>
  <c r="O382" i="1"/>
  <c r="L31" i="1"/>
  <c r="L11" i="1" s="1"/>
  <c r="P74" i="1"/>
  <c r="P11" i="1"/>
  <c r="M9" i="1"/>
  <c r="O271" i="2" l="1"/>
  <c r="O55" i="15"/>
  <c r="L66" i="16"/>
  <c r="O66" i="16" s="1"/>
  <c r="L140" i="17"/>
  <c r="O140" i="17" s="1"/>
  <c r="L310" i="8"/>
  <c r="O310" i="8" s="1"/>
  <c r="L118" i="14"/>
  <c r="O118" i="14" s="1"/>
  <c r="P12" i="9"/>
  <c r="P20" i="13"/>
  <c r="L290" i="10"/>
  <c r="O290" i="10" s="1"/>
  <c r="M96" i="1"/>
  <c r="P26" i="14"/>
  <c r="L20" i="9"/>
  <c r="L55" i="1"/>
  <c r="N11" i="1"/>
  <c r="N9" i="1" s="1"/>
  <c r="O120" i="10"/>
  <c r="L118" i="10"/>
  <c r="O118" i="10" s="1"/>
  <c r="N118" i="1"/>
  <c r="P312" i="1"/>
  <c r="P220" i="9"/>
  <c r="L12" i="9"/>
  <c r="O292" i="17"/>
  <c r="L290" i="17"/>
  <c r="O290" i="17" s="1"/>
  <c r="L12" i="5"/>
  <c r="L10" i="5" s="1"/>
  <c r="O10" i="5" s="1"/>
  <c r="P331" i="4"/>
  <c r="L250" i="15"/>
  <c r="O250" i="15" s="1"/>
  <c r="P20" i="6"/>
  <c r="L20" i="5"/>
  <c r="O20" i="5" s="1"/>
  <c r="O68" i="1"/>
  <c r="P10" i="9"/>
  <c r="O16" i="8"/>
  <c r="N37" i="2"/>
  <c r="O18" i="7"/>
  <c r="O220" i="12"/>
  <c r="L271" i="9"/>
  <c r="O271" i="9" s="1"/>
  <c r="O273" i="9"/>
  <c r="M18" i="6"/>
  <c r="P18" i="6" s="1"/>
  <c r="N8" i="6"/>
  <c r="L28" i="18"/>
  <c r="O28" i="18" s="1"/>
  <c r="O18" i="8"/>
  <c r="L96" i="1"/>
  <c r="O96" i="1" s="1"/>
  <c r="N8" i="11"/>
  <c r="M16" i="3"/>
  <c r="M20" i="3"/>
  <c r="N18" i="2"/>
  <c r="N10" i="8"/>
  <c r="N8" i="8" s="1"/>
  <c r="N28" i="1"/>
  <c r="L310" i="16"/>
  <c r="O310" i="16" s="1"/>
  <c r="O312" i="16"/>
  <c r="L273" i="1"/>
  <c r="O273" i="1" s="1"/>
  <c r="N66" i="1"/>
  <c r="O53" i="15"/>
  <c r="O11" i="15"/>
  <c r="L9" i="15"/>
  <c r="O9" i="15" s="1"/>
  <c r="L290" i="3"/>
  <c r="O290" i="3" s="1"/>
  <c r="O292" i="3"/>
  <c r="O292" i="4"/>
  <c r="L290" i="4"/>
  <c r="O290" i="4" s="1"/>
  <c r="L271" i="11"/>
  <c r="O271" i="11" s="1"/>
  <c r="O273" i="11"/>
  <c r="O312" i="14"/>
  <c r="L310" i="14"/>
  <c r="O310" i="14" s="1"/>
  <c r="O222" i="12"/>
  <c r="P53" i="15"/>
  <c r="N220" i="1"/>
  <c r="O222" i="13"/>
  <c r="L220" i="13"/>
  <c r="O220" i="13" s="1"/>
  <c r="O638" i="8"/>
  <c r="L636" i="8"/>
  <c r="O636" i="8" s="1"/>
  <c r="M94" i="4"/>
  <c r="P94" i="4" s="1"/>
  <c r="P96" i="4"/>
  <c r="O222" i="7"/>
  <c r="L220" i="7"/>
  <c r="O220" i="7" s="1"/>
  <c r="P142" i="1"/>
  <c r="M66" i="1"/>
  <c r="P66" i="1" s="1"/>
  <c r="O292" i="8"/>
  <c r="L290" i="8"/>
  <c r="O290" i="8" s="1"/>
  <c r="O292" i="18"/>
  <c r="L290" i="18"/>
  <c r="O290" i="18" s="1"/>
  <c r="L94" i="16"/>
  <c r="O94" i="16" s="1"/>
  <c r="O96" i="16"/>
  <c r="O43" i="10"/>
  <c r="O120" i="7"/>
  <c r="L118" i="7"/>
  <c r="O118" i="7" s="1"/>
  <c r="O222" i="10"/>
  <c r="L220" i="10"/>
  <c r="O220" i="10" s="1"/>
  <c r="P20" i="5"/>
  <c r="M18" i="5"/>
  <c r="P18" i="5" s="1"/>
  <c r="O11" i="1"/>
  <c r="L9" i="1"/>
  <c r="P9" i="1"/>
  <c r="O66" i="2"/>
  <c r="L20" i="4"/>
  <c r="O22" i="4"/>
  <c r="L12" i="4"/>
  <c r="O12" i="5"/>
  <c r="P9" i="6"/>
  <c r="O12" i="2"/>
  <c r="L10" i="2"/>
  <c r="O10" i="2" s="1"/>
  <c r="M329" i="5"/>
  <c r="P329" i="5" s="1"/>
  <c r="P331" i="5"/>
  <c r="L9" i="5"/>
  <c r="O11" i="5"/>
  <c r="L20" i="6"/>
  <c r="L12" i="6"/>
  <c r="O22" i="6"/>
  <c r="L636" i="5"/>
  <c r="O636" i="5" s="1"/>
  <c r="O638" i="5"/>
  <c r="O41" i="7"/>
  <c r="O55" i="14"/>
  <c r="L53" i="14"/>
  <c r="L9" i="14"/>
  <c r="O11" i="14"/>
  <c r="O41" i="15"/>
  <c r="O222" i="16"/>
  <c r="L220" i="16"/>
  <c r="O220" i="16" s="1"/>
  <c r="O29" i="6"/>
  <c r="L28" i="6"/>
  <c r="O28" i="6" s="1"/>
  <c r="O29" i="7"/>
  <c r="L28" i="7"/>
  <c r="O28" i="7" s="1"/>
  <c r="P53" i="10"/>
  <c r="M37" i="10"/>
  <c r="O41" i="12"/>
  <c r="P43" i="12"/>
  <c r="M41" i="12"/>
  <c r="O292" i="15"/>
  <c r="L290" i="15"/>
  <c r="O290" i="15" s="1"/>
  <c r="P140" i="18"/>
  <c r="P41" i="3"/>
  <c r="M37" i="3"/>
  <c r="P37" i="3" s="1"/>
  <c r="P220" i="2"/>
  <c r="O22" i="3"/>
  <c r="L12" i="3"/>
  <c r="L20" i="3"/>
  <c r="N10" i="4"/>
  <c r="N8" i="4" s="1"/>
  <c r="P12" i="4"/>
  <c r="O140" i="18"/>
  <c r="P9" i="2"/>
  <c r="M8" i="2"/>
  <c r="P8" i="2" s="1"/>
  <c r="L9" i="2"/>
  <c r="O11" i="2"/>
  <c r="O29" i="3"/>
  <c r="L28" i="3"/>
  <c r="O28" i="3" s="1"/>
  <c r="P43" i="4"/>
  <c r="M41" i="4"/>
  <c r="P12" i="7"/>
  <c r="M94" i="8"/>
  <c r="P94" i="8" s="1"/>
  <c r="P96" i="8"/>
  <c r="O41" i="9"/>
  <c r="O220" i="9"/>
  <c r="O118" i="6"/>
  <c r="P12" i="12"/>
  <c r="O638" i="12"/>
  <c r="L636" i="12"/>
  <c r="O636" i="12" s="1"/>
  <c r="P26" i="11"/>
  <c r="M16" i="11"/>
  <c r="M20" i="11"/>
  <c r="O55" i="17"/>
  <c r="L53" i="17"/>
  <c r="O638" i="16"/>
  <c r="L636" i="16"/>
  <c r="O636" i="16" s="1"/>
  <c r="O9" i="18"/>
  <c r="O41" i="3"/>
  <c r="O41" i="5"/>
  <c r="P252" i="1"/>
  <c r="O312" i="3"/>
  <c r="L312" i="1"/>
  <c r="O312" i="1" s="1"/>
  <c r="L310" i="3"/>
  <c r="M16" i="8"/>
  <c r="P16" i="8" s="1"/>
  <c r="P26" i="8"/>
  <c r="P9" i="11"/>
  <c r="O638" i="11"/>
  <c r="L636" i="11"/>
  <c r="O636" i="11" s="1"/>
  <c r="P12" i="15"/>
  <c r="L10" i="14"/>
  <c r="O10" i="14" s="1"/>
  <c r="O12" i="14"/>
  <c r="L28" i="16"/>
  <c r="O28" i="16" s="1"/>
  <c r="P9" i="16"/>
  <c r="P16" i="18"/>
  <c r="M10" i="18"/>
  <c r="M8" i="18" s="1"/>
  <c r="O273" i="18"/>
  <c r="L271" i="18"/>
  <c r="O271" i="18" s="1"/>
  <c r="N329" i="1"/>
  <c r="N37" i="5"/>
  <c r="L13" i="1"/>
  <c r="O13" i="1" s="1"/>
  <c r="L290" i="5"/>
  <c r="O290" i="5" s="1"/>
  <c r="O292" i="5"/>
  <c r="P9" i="5"/>
  <c r="P140" i="2"/>
  <c r="M140" i="1"/>
  <c r="P140" i="1" s="1"/>
  <c r="L28" i="5"/>
  <c r="O28" i="5" s="1"/>
  <c r="O29" i="5"/>
  <c r="P9" i="7"/>
  <c r="O9" i="8"/>
  <c r="L636" i="10"/>
  <c r="O636" i="10" s="1"/>
  <c r="O638" i="10"/>
  <c r="N37" i="10"/>
  <c r="P41" i="10"/>
  <c r="P9" i="13"/>
  <c r="O9" i="16"/>
  <c r="O41" i="16"/>
  <c r="P12" i="17"/>
  <c r="M10" i="17"/>
  <c r="O41" i="2"/>
  <c r="O96" i="6"/>
  <c r="L94" i="6"/>
  <c r="O94" i="6" s="1"/>
  <c r="P43" i="7"/>
  <c r="M41" i="7"/>
  <c r="O273" i="10"/>
  <c r="L271" i="10"/>
  <c r="O271" i="10" s="1"/>
  <c r="O22" i="13"/>
  <c r="L12" i="13"/>
  <c r="L20" i="13"/>
  <c r="O11" i="17"/>
  <c r="L9" i="17"/>
  <c r="P9" i="15"/>
  <c r="O41" i="18"/>
  <c r="O43" i="1"/>
  <c r="N41" i="1"/>
  <c r="O41" i="1" s="1"/>
  <c r="O20" i="8"/>
  <c r="P22" i="1"/>
  <c r="M12" i="1"/>
  <c r="O30" i="4"/>
  <c r="L28" i="4"/>
  <c r="O28" i="4" s="1"/>
  <c r="M118" i="1"/>
  <c r="P118" i="1" s="1"/>
  <c r="P96" i="1"/>
  <c r="M94" i="5"/>
  <c r="P94" i="5" s="1"/>
  <c r="P96" i="5"/>
  <c r="O26" i="1"/>
  <c r="L16" i="1"/>
  <c r="O16" i="1" s="1"/>
  <c r="O29" i="2"/>
  <c r="L28" i="2"/>
  <c r="O28" i="2" s="1"/>
  <c r="M290" i="1"/>
  <c r="P290" i="1" s="1"/>
  <c r="O11" i="10"/>
  <c r="L9" i="10"/>
  <c r="O29" i="10"/>
  <c r="L28" i="10"/>
  <c r="O28" i="10" s="1"/>
  <c r="P43" i="11"/>
  <c r="M41" i="11"/>
  <c r="P331" i="15"/>
  <c r="M329" i="15"/>
  <c r="M10" i="16"/>
  <c r="P10" i="16" s="1"/>
  <c r="P12" i="16"/>
  <c r="M37" i="18"/>
  <c r="L220" i="2"/>
  <c r="O222" i="2"/>
  <c r="L222" i="1"/>
  <c r="O222" i="1" s="1"/>
  <c r="O142" i="2"/>
  <c r="L142" i="1"/>
  <c r="O142" i="1" s="1"/>
  <c r="L140" i="2"/>
  <c r="P10" i="2"/>
  <c r="O331" i="2"/>
  <c r="L331" i="1"/>
  <c r="O331" i="1" s="1"/>
  <c r="L329" i="2"/>
  <c r="O20" i="7"/>
  <c r="M331" i="1"/>
  <c r="P331" i="1" s="1"/>
  <c r="L12" i="10"/>
  <c r="O22" i="10"/>
  <c r="L20" i="10"/>
  <c r="P12" i="8"/>
  <c r="L636" i="7"/>
  <c r="O636" i="7" s="1"/>
  <c r="O638" i="7"/>
  <c r="N37" i="6"/>
  <c r="L636" i="9"/>
  <c r="O636" i="9" s="1"/>
  <c r="O638" i="9"/>
  <c r="O9" i="11"/>
  <c r="O41" i="13"/>
  <c r="N37" i="18"/>
  <c r="O12" i="12"/>
  <c r="L10" i="12"/>
  <c r="O10" i="12" s="1"/>
  <c r="O12" i="11"/>
  <c r="L10" i="11"/>
  <c r="O10" i="11" s="1"/>
  <c r="O19" i="1"/>
  <c r="O30" i="12"/>
  <c r="L28" i="12"/>
  <c r="O28" i="12" s="1"/>
  <c r="L9" i="9"/>
  <c r="O11" i="9"/>
  <c r="O9" i="12"/>
  <c r="P18" i="13"/>
  <c r="L12" i="17"/>
  <c r="L20" i="17"/>
  <c r="O22" i="17"/>
  <c r="L118" i="2"/>
  <c r="O120" i="2"/>
  <c r="L120" i="1"/>
  <c r="O120" i="1" s="1"/>
  <c r="O252" i="2"/>
  <c r="L252" i="1"/>
  <c r="O252" i="1" s="1"/>
  <c r="L250" i="2"/>
  <c r="P222" i="1"/>
  <c r="L636" i="3"/>
  <c r="O636" i="3" s="1"/>
  <c r="O638" i="3"/>
  <c r="L636" i="6"/>
  <c r="O636" i="6" s="1"/>
  <c r="O638" i="6"/>
  <c r="O41" i="11"/>
  <c r="P26" i="7"/>
  <c r="M16" i="7"/>
  <c r="P16" i="7" s="1"/>
  <c r="O41" i="10"/>
  <c r="O29" i="11"/>
  <c r="L28" i="11"/>
  <c r="O28" i="11" s="1"/>
  <c r="O118" i="12"/>
  <c r="P26" i="12"/>
  <c r="M16" i="12"/>
  <c r="M20" i="12"/>
  <c r="M37" i="13"/>
  <c r="P37" i="13" s="1"/>
  <c r="P20" i="14"/>
  <c r="M18" i="14"/>
  <c r="P18" i="14" s="1"/>
  <c r="M37" i="17"/>
  <c r="P37" i="17" s="1"/>
  <c r="O29" i="17"/>
  <c r="L28" i="17"/>
  <c r="O28" i="17" s="1"/>
  <c r="P18" i="16"/>
  <c r="L636" i="17"/>
  <c r="O636" i="17" s="1"/>
  <c r="O638" i="17"/>
  <c r="N12" i="1"/>
  <c r="N10" i="1" s="1"/>
  <c r="N8" i="1" s="1"/>
  <c r="N20" i="1"/>
  <c r="N18" i="1" s="1"/>
  <c r="L638" i="1"/>
  <c r="O640" i="1"/>
  <c r="P55" i="1"/>
  <c r="M53" i="1"/>
  <c r="P53" i="1" s="1"/>
  <c r="O29" i="8"/>
  <c r="L28" i="8"/>
  <c r="O28" i="8" s="1"/>
  <c r="P118" i="2"/>
  <c r="P49" i="1"/>
  <c r="M26" i="1"/>
  <c r="M43" i="1"/>
  <c r="P12" i="5"/>
  <c r="M20" i="7"/>
  <c r="M329" i="8"/>
  <c r="P329" i="8" s="1"/>
  <c r="P331" i="8"/>
  <c r="O9" i="7"/>
  <c r="P41" i="9"/>
  <c r="M37" i="9"/>
  <c r="P37" i="9" s="1"/>
  <c r="O142" i="11"/>
  <c r="L140" i="11"/>
  <c r="O140" i="11" s="1"/>
  <c r="P12" i="10"/>
  <c r="M10" i="10"/>
  <c r="O252" i="12"/>
  <c r="L250" i="12"/>
  <c r="O250" i="12" s="1"/>
  <c r="O252" i="11"/>
  <c r="L250" i="11"/>
  <c r="O250" i="11" s="1"/>
  <c r="O638" i="13"/>
  <c r="L636" i="13"/>
  <c r="O636" i="13" s="1"/>
  <c r="P26" i="15"/>
  <c r="M16" i="15"/>
  <c r="P16" i="15" s="1"/>
  <c r="P41" i="14"/>
  <c r="M37" i="14"/>
  <c r="P37" i="14" s="1"/>
  <c r="P20" i="16"/>
  <c r="L20" i="16"/>
  <c r="O22" i="16"/>
  <c r="L12" i="16"/>
  <c r="L250" i="17"/>
  <c r="O250" i="17" s="1"/>
  <c r="O252" i="17"/>
  <c r="N8" i="17"/>
  <c r="L94" i="18"/>
  <c r="O94" i="18" s="1"/>
  <c r="O96" i="18"/>
  <c r="P12" i="2"/>
  <c r="M10" i="6"/>
  <c r="P10" i="6" s="1"/>
  <c r="P12" i="6"/>
  <c r="M37" i="6"/>
  <c r="P37" i="6" s="1"/>
  <c r="P250" i="2"/>
  <c r="M250" i="1"/>
  <c r="P250" i="1" s="1"/>
  <c r="L292" i="1"/>
  <c r="O292" i="1" s="1"/>
  <c r="O9" i="4"/>
  <c r="P41" i="5"/>
  <c r="M37" i="5"/>
  <c r="P120" i="1"/>
  <c r="O55" i="10"/>
  <c r="L53" i="10"/>
  <c r="P9" i="12"/>
  <c r="N8" i="7"/>
  <c r="L28" i="13"/>
  <c r="O28" i="13" s="1"/>
  <c r="M20" i="15"/>
  <c r="M37" i="16"/>
  <c r="P37" i="16" s="1"/>
  <c r="O312" i="18"/>
  <c r="L310" i="18"/>
  <c r="O310" i="18" s="1"/>
  <c r="O20" i="9"/>
  <c r="L18" i="9"/>
  <c r="O18" i="9" s="1"/>
  <c r="O55" i="1"/>
  <c r="L53" i="1"/>
  <c r="O53" i="1" s="1"/>
  <c r="L29" i="1"/>
  <c r="O31" i="1"/>
  <c r="L30" i="1"/>
  <c r="O30" i="1" s="1"/>
  <c r="O32" i="1"/>
  <c r="O94" i="2"/>
  <c r="L94" i="1"/>
  <c r="O94" i="1" s="1"/>
  <c r="O68" i="4"/>
  <c r="L66" i="4"/>
  <c r="O66" i="4" s="1"/>
  <c r="L18" i="5"/>
  <c r="O18" i="5" s="1"/>
  <c r="O20" i="2"/>
  <c r="L18" i="2"/>
  <c r="O18" i="2" s="1"/>
  <c r="M271" i="1"/>
  <c r="P271" i="1" s="1"/>
  <c r="L28" i="9"/>
  <c r="O28" i="9" s="1"/>
  <c r="O29" i="9"/>
  <c r="O55" i="6"/>
  <c r="L53" i="6"/>
  <c r="P9" i="9"/>
  <c r="M8" i="9"/>
  <c r="N37" i="12"/>
  <c r="O29" i="14"/>
  <c r="L28" i="14"/>
  <c r="O28" i="14" s="1"/>
  <c r="P20" i="17"/>
  <c r="M18" i="17"/>
  <c r="P18" i="17" s="1"/>
  <c r="O290" i="2"/>
  <c r="P18" i="2"/>
  <c r="O41" i="4"/>
  <c r="L37" i="4"/>
  <c r="O37" i="4" s="1"/>
  <c r="O9" i="6"/>
  <c r="L118" i="9"/>
  <c r="O118" i="9" s="1"/>
  <c r="O120" i="9"/>
  <c r="O55" i="13"/>
  <c r="L53" i="13"/>
  <c r="O53" i="13" s="1"/>
  <c r="P12" i="13"/>
  <c r="M10" i="13"/>
  <c r="P10" i="13" s="1"/>
  <c r="P12" i="14"/>
  <c r="M10" i="14"/>
  <c r="O22" i="15"/>
  <c r="L12" i="15"/>
  <c r="L20" i="15"/>
  <c r="P9" i="18"/>
  <c r="L10" i="8"/>
  <c r="O12" i="8"/>
  <c r="N8" i="9"/>
  <c r="M220" i="1"/>
  <c r="P26" i="5"/>
  <c r="M16" i="5"/>
  <c r="P16" i="5" s="1"/>
  <c r="L9" i="3"/>
  <c r="O11" i="3"/>
  <c r="P26" i="4"/>
  <c r="M16" i="4"/>
  <c r="M20" i="4"/>
  <c r="O41" i="8"/>
  <c r="L37" i="8"/>
  <c r="O37" i="8" s="1"/>
  <c r="P68" i="1"/>
  <c r="P20" i="10"/>
  <c r="M18" i="10"/>
  <c r="P18" i="10" s="1"/>
  <c r="L636" i="15"/>
  <c r="O636" i="15" s="1"/>
  <c r="O638" i="15"/>
  <c r="O55" i="16"/>
  <c r="L53" i="16"/>
  <c r="O53" i="16" s="1"/>
  <c r="L636" i="18"/>
  <c r="O636" i="18" s="1"/>
  <c r="O638" i="18"/>
  <c r="L20" i="18"/>
  <c r="O22" i="18"/>
  <c r="L12" i="18"/>
  <c r="M310" i="1"/>
  <c r="P310" i="1" s="1"/>
  <c r="P41" i="2"/>
  <c r="M37" i="2"/>
  <c r="P37" i="2" s="1"/>
  <c r="L10" i="7"/>
  <c r="O10" i="7" s="1"/>
  <c r="O12" i="7"/>
  <c r="P18" i="9"/>
  <c r="P329" i="2"/>
  <c r="P20" i="8"/>
  <c r="M18" i="8"/>
  <c r="P18" i="8" s="1"/>
  <c r="P9" i="3"/>
  <c r="P9" i="8"/>
  <c r="P43" i="8"/>
  <c r="M41" i="8"/>
  <c r="O329" i="11"/>
  <c r="O20" i="14"/>
  <c r="L18" i="14"/>
  <c r="O18" i="14" s="1"/>
  <c r="O120" i="16"/>
  <c r="L118" i="16"/>
  <c r="O118" i="16" s="1"/>
  <c r="N10" i="18"/>
  <c r="N8" i="18" s="1"/>
  <c r="P12" i="18"/>
  <c r="P18" i="18"/>
  <c r="O12" i="9"/>
  <c r="L10" i="9"/>
  <c r="O10" i="9" s="1"/>
  <c r="O20" i="12"/>
  <c r="L18" i="12"/>
  <c r="O18" i="12" s="1"/>
  <c r="L14" i="1"/>
  <c r="O14" i="1" s="1"/>
  <c r="L22" i="1"/>
  <c r="O20" i="11"/>
  <c r="L18" i="11"/>
  <c r="O18" i="11" s="1"/>
  <c r="P220" i="1" l="1"/>
  <c r="L37" i="7"/>
  <c r="O37" i="7" s="1"/>
  <c r="O10" i="8"/>
  <c r="M18" i="3"/>
  <c r="P18" i="3" s="1"/>
  <c r="P20" i="3"/>
  <c r="M329" i="1"/>
  <c r="P329" i="1" s="1"/>
  <c r="P16" i="3"/>
  <c r="M10" i="3"/>
  <c r="P37" i="5"/>
  <c r="L271" i="1"/>
  <c r="O271" i="1" s="1"/>
  <c r="M10" i="8"/>
  <c r="L290" i="1"/>
  <c r="O290" i="1" s="1"/>
  <c r="N37" i="1"/>
  <c r="P16" i="4"/>
  <c r="M10" i="4"/>
  <c r="O20" i="15"/>
  <c r="L18" i="15"/>
  <c r="O18" i="15" s="1"/>
  <c r="P8" i="9"/>
  <c r="O12" i="16"/>
  <c r="L10" i="16"/>
  <c r="L8" i="7"/>
  <c r="O8" i="7" s="1"/>
  <c r="P20" i="7"/>
  <c r="M18" i="7"/>
  <c r="P18" i="7" s="1"/>
  <c r="P26" i="1"/>
  <c r="M16" i="1"/>
  <c r="P16" i="1" s="1"/>
  <c r="L636" i="1"/>
  <c r="O636" i="1" s="1"/>
  <c r="O638" i="1"/>
  <c r="P20" i="12"/>
  <c r="M18" i="12"/>
  <c r="P18" i="12" s="1"/>
  <c r="O250" i="2"/>
  <c r="L250" i="1"/>
  <c r="O250" i="1" s="1"/>
  <c r="L10" i="17"/>
  <c r="O10" i="17" s="1"/>
  <c r="O12" i="17"/>
  <c r="L10" i="10"/>
  <c r="O10" i="10" s="1"/>
  <c r="O12" i="10"/>
  <c r="L220" i="1"/>
  <c r="O220" i="1" s="1"/>
  <c r="O220" i="2"/>
  <c r="P329" i="15"/>
  <c r="M37" i="15"/>
  <c r="P37" i="15" s="1"/>
  <c r="L37" i="18"/>
  <c r="O37" i="18" s="1"/>
  <c r="P10" i="17"/>
  <c r="M8" i="17"/>
  <c r="P8" i="17" s="1"/>
  <c r="L8" i="8"/>
  <c r="O8" i="8" s="1"/>
  <c r="M8" i="16"/>
  <c r="P8" i="16" s="1"/>
  <c r="M10" i="15"/>
  <c r="O310" i="3"/>
  <c r="L310" i="1"/>
  <c r="O310" i="1" s="1"/>
  <c r="M94" i="1"/>
  <c r="P94" i="1" s="1"/>
  <c r="P16" i="11"/>
  <c r="M10" i="11"/>
  <c r="M10" i="7"/>
  <c r="O20" i="3"/>
  <c r="L18" i="3"/>
  <c r="O18" i="3" s="1"/>
  <c r="L37" i="12"/>
  <c r="O37" i="12" s="1"/>
  <c r="O9" i="5"/>
  <c r="L8" i="5"/>
  <c r="O8" i="5" s="1"/>
  <c r="L66" i="1"/>
  <c r="O66" i="1" s="1"/>
  <c r="O9" i="1"/>
  <c r="P41" i="8"/>
  <c r="M37" i="8"/>
  <c r="P37" i="8" s="1"/>
  <c r="O12" i="15"/>
  <c r="L10" i="15"/>
  <c r="M10" i="5"/>
  <c r="P16" i="12"/>
  <c r="M10" i="12"/>
  <c r="O118" i="2"/>
  <c r="L118" i="1"/>
  <c r="O118" i="1" s="1"/>
  <c r="O9" i="9"/>
  <c r="L8" i="9"/>
  <c r="O8" i="9" s="1"/>
  <c r="P37" i="18"/>
  <c r="P12" i="1"/>
  <c r="L18" i="13"/>
  <c r="O18" i="13" s="1"/>
  <c r="O20" i="13"/>
  <c r="P10" i="18"/>
  <c r="L37" i="5"/>
  <c r="O37" i="5" s="1"/>
  <c r="O53" i="17"/>
  <c r="L37" i="17"/>
  <c r="O37" i="17" s="1"/>
  <c r="P41" i="4"/>
  <c r="M37" i="4"/>
  <c r="P37" i="4" s="1"/>
  <c r="O12" i="3"/>
  <c r="L10" i="3"/>
  <c r="O10" i="3" s="1"/>
  <c r="P41" i="12"/>
  <c r="M37" i="12"/>
  <c r="P37" i="12" s="1"/>
  <c r="P37" i="10"/>
  <c r="O9" i="14"/>
  <c r="L8" i="14"/>
  <c r="O8" i="14" s="1"/>
  <c r="L10" i="6"/>
  <c r="O12" i="6"/>
  <c r="M8" i="6"/>
  <c r="P8" i="6" s="1"/>
  <c r="L10" i="4"/>
  <c r="O12" i="4"/>
  <c r="O53" i="6"/>
  <c r="L37" i="6"/>
  <c r="O37" i="6" s="1"/>
  <c r="L28" i="1"/>
  <c r="O28" i="1" s="1"/>
  <c r="O29" i="1"/>
  <c r="P20" i="15"/>
  <c r="M18" i="15"/>
  <c r="P18" i="15" s="1"/>
  <c r="O20" i="16"/>
  <c r="L18" i="16"/>
  <c r="O18" i="16" s="1"/>
  <c r="P10" i="10"/>
  <c r="M8" i="10"/>
  <c r="P8" i="10" s="1"/>
  <c r="L37" i="11"/>
  <c r="O37" i="11" s="1"/>
  <c r="L8" i="11"/>
  <c r="O8" i="11" s="1"/>
  <c r="O20" i="10"/>
  <c r="L18" i="10"/>
  <c r="O18" i="10" s="1"/>
  <c r="P41" i="11"/>
  <c r="M37" i="11"/>
  <c r="P37" i="11" s="1"/>
  <c r="O12" i="13"/>
  <c r="L10" i="13"/>
  <c r="P41" i="7"/>
  <c r="M37" i="7"/>
  <c r="P37" i="7" s="1"/>
  <c r="L37" i="2"/>
  <c r="O37" i="2" s="1"/>
  <c r="L37" i="16"/>
  <c r="O37" i="16" s="1"/>
  <c r="O9" i="2"/>
  <c r="L8" i="2"/>
  <c r="O8" i="2" s="1"/>
  <c r="L37" i="15"/>
  <c r="O37" i="15" s="1"/>
  <c r="O53" i="14"/>
  <c r="L37" i="14"/>
  <c r="O37" i="14" s="1"/>
  <c r="O20" i="6"/>
  <c r="L18" i="6"/>
  <c r="O18" i="6" s="1"/>
  <c r="O12" i="18"/>
  <c r="L10" i="18"/>
  <c r="L20" i="1"/>
  <c r="O22" i="1"/>
  <c r="L12" i="1"/>
  <c r="O20" i="18"/>
  <c r="L18" i="18"/>
  <c r="O18" i="18" s="1"/>
  <c r="P20" i="4"/>
  <c r="M18" i="4"/>
  <c r="P18" i="4" s="1"/>
  <c r="O9" i="3"/>
  <c r="P8" i="18"/>
  <c r="P10" i="14"/>
  <c r="M8" i="14"/>
  <c r="P8" i="14" s="1"/>
  <c r="O53" i="10"/>
  <c r="L37" i="10"/>
  <c r="O37" i="10" s="1"/>
  <c r="P43" i="1"/>
  <c r="M41" i="1"/>
  <c r="O20" i="17"/>
  <c r="L18" i="17"/>
  <c r="O18" i="17" s="1"/>
  <c r="L8" i="12"/>
  <c r="O8" i="12" s="1"/>
  <c r="L37" i="13"/>
  <c r="O37" i="13" s="1"/>
  <c r="O329" i="2"/>
  <c r="L329" i="1"/>
  <c r="O329" i="1" s="1"/>
  <c r="O140" i="2"/>
  <c r="L140" i="1"/>
  <c r="O140" i="1" s="1"/>
  <c r="O9" i="10"/>
  <c r="M20" i="1"/>
  <c r="O9" i="17"/>
  <c r="L8" i="17"/>
  <c r="O8" i="17" s="1"/>
  <c r="M8" i="13"/>
  <c r="P8" i="13" s="1"/>
  <c r="L37" i="3"/>
  <c r="O37" i="3" s="1"/>
  <c r="P20" i="11"/>
  <c r="M18" i="11"/>
  <c r="P18" i="11" s="1"/>
  <c r="L37" i="9"/>
  <c r="O37" i="9" s="1"/>
  <c r="O20" i="4"/>
  <c r="L18" i="4"/>
  <c r="O18" i="4" s="1"/>
  <c r="M10" i="1" l="1"/>
  <c r="L8" i="10"/>
  <c r="O8" i="10" s="1"/>
  <c r="L8" i="3"/>
  <c r="O8" i="3" s="1"/>
  <c r="P10" i="3"/>
  <c r="M8" i="3"/>
  <c r="P8" i="3" s="1"/>
  <c r="P10" i="8"/>
  <c r="M8" i="8"/>
  <c r="P8" i="8" s="1"/>
  <c r="M37" i="1"/>
  <c r="P37" i="1" s="1"/>
  <c r="P41" i="1"/>
  <c r="O10" i="18"/>
  <c r="L8" i="18"/>
  <c r="O8" i="18" s="1"/>
  <c r="O10" i="6"/>
  <c r="L8" i="6"/>
  <c r="O8" i="6" s="1"/>
  <c r="P10" i="15"/>
  <c r="M8" i="15"/>
  <c r="P8" i="15" s="1"/>
  <c r="P20" i="1"/>
  <c r="M18" i="1"/>
  <c r="P18" i="1" s="1"/>
  <c r="O12" i="1"/>
  <c r="L10" i="1"/>
  <c r="O10" i="13"/>
  <c r="L8" i="13"/>
  <c r="O8" i="13" s="1"/>
  <c r="L37" i="1"/>
  <c r="O37" i="1" s="1"/>
  <c r="O10" i="4"/>
  <c r="L8" i="4"/>
  <c r="O8" i="4" s="1"/>
  <c r="P10" i="1"/>
  <c r="M8" i="1"/>
  <c r="P8" i="1" s="1"/>
  <c r="P10" i="5"/>
  <c r="M8" i="5"/>
  <c r="P8" i="5" s="1"/>
  <c r="O10" i="16"/>
  <c r="L8" i="16"/>
  <c r="O8" i="16" s="1"/>
  <c r="L8" i="15"/>
  <c r="O8" i="15" s="1"/>
  <c r="O10" i="15"/>
  <c r="P10" i="7"/>
  <c r="M8" i="7"/>
  <c r="P8" i="7" s="1"/>
  <c r="P10" i="4"/>
  <c r="M8" i="4"/>
  <c r="P8" i="4" s="1"/>
  <c r="O20" i="1"/>
  <c r="L18" i="1"/>
  <c r="O18" i="1" s="1"/>
  <c r="P10" i="12"/>
  <c r="M8" i="12"/>
  <c r="P8" i="12" s="1"/>
  <c r="P10" i="11"/>
  <c r="M8" i="11"/>
  <c r="P8" i="11" s="1"/>
  <c r="O10" i="1" l="1"/>
  <c r="L8" i="1"/>
  <c r="O8" i="1" s="1"/>
</calcChain>
</file>

<file path=xl/sharedStrings.xml><?xml version="1.0" encoding="utf-8"?>
<sst xmlns="http://schemas.openxmlformats.org/spreadsheetml/2006/main" count="23688" uniqueCount="295">
  <si>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</si>
  <si>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</si>
  <si>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</si>
  <si>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</si>
  <si>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</si>
  <si>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</si>
  <si>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</si>
  <si>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</si>
  <si>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</si>
  <si>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</si>
  <si>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</si>
  <si>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</si>
  <si>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</si>
  <si>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</si>
  <si>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</si>
  <si>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</si>
  <si>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</si>
  <si>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</si>
  <si>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</si>
  <si>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</si>
  <si>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</si>
  <si>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</si>
  <si>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</si>
  <si>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</si>
  <si>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</si>
  <si>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</si>
  <si>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</si>
  <si>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</si>
  <si>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</si>
  <si>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</si>
  <si>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</si>
  <si>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</si>
  <si>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</si>
  <si>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</si>
  <si>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</si>
  <si>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</si>
  <si>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</si>
  <si>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</si>
  <si>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</si>
  <si>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</si>
  <si>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</si>
  <si>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</si>
  <si>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</si>
  <si>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</si>
  <si>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</si>
  <si>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</si>
  <si>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</si>
  <si>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</si>
  <si>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</si>
  <si>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</si>
  <si>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</si>
  <si>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</si>
  <si>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</si>
  <si>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</si>
  <si>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</si>
  <si>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</si>
  <si>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</si>
  <si>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</si>
  <si>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</si>
  <si>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</si>
  <si>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</si>
  <si>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</si>
  <si>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</si>
  <si>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</si>
  <si>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</si>
  <si>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</si>
  <si>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</si>
  <si>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</si>
  <si>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</si>
  <si>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</si>
  <si>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</si>
  <si>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</si>
  <si>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</si>
  <si>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</si>
  <si>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</si>
  <si>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</si>
  <si>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</si>
  <si>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</si>
  <si>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</si>
  <si>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</si>
  <si>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</si>
  <si>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</si>
  <si>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</si>
  <si>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</si>
  <si>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</si>
  <si>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</si>
  <si>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</si>
  <si>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</si>
  <si>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</si>
  <si>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</si>
  <si>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</si>
  <si>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</si>
  <si>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</si>
  <si>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</si>
  <si>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</si>
  <si>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</si>
  <si>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</si>
  <si>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</si>
  <si>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</si>
  <si>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</si>
  <si>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</si>
  <si>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</si>
  <si>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</si>
  <si>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</si>
  <si>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</si>
  <si>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</si>
  <si>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</si>
  <si>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</si>
  <si>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</si>
  <si>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</si>
  <si>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</si>
  <si>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</si>
  <si>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</si>
  <si>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</si>
  <si>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</si>
  <si>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</si>
  <si>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</si>
  <si>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</si>
  <si>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</si>
  <si>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</si>
  <si>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</si>
  <si>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</si>
  <si>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</si>
  <si>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</si>
  <si>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</si>
  <si>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</si>
  <si>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</si>
  <si>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</si>
  <si>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</si>
  <si>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</si>
  <si>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</si>
  <si>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</si>
  <si>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</si>
  <si>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</si>
  <si>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</si>
  <si>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</si>
  <si>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</si>
  <si>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</si>
  <si>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</si>
  <si>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</si>
  <si>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</si>
  <si>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</si>
  <si>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</si>
  <si>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</si>
  <si>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</si>
  <si>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</si>
  <si>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</si>
  <si>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</si>
  <si>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</si>
  <si>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</si>
  <si>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</si>
  <si>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</si>
  <si>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</si>
  <si>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</si>
  <si>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</si>
  <si>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</si>
  <si>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</si>
  <si>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</si>
  <si>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</si>
  <si>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</si>
  <si>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</si>
  <si>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</si>
  <si>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</si>
  <si>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</si>
  <si>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</si>
  <si>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</si>
  <si>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</si>
  <si>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</si>
  <si>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</si>
  <si>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</si>
  <si>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</si>
  <si>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</si>
  <si>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</si>
  <si>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</si>
  <si>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</si>
  <si>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</si>
  <si>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</si>
  <si>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</si>
  <si>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</si>
  <si>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</si>
  <si>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</si>
  <si>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</si>
  <si>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</si>
  <si>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</si>
  <si>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</si>
  <si>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</si>
  <si>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</si>
  <si>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</si>
  <si>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</si>
  <si>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</si>
  <si>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</si>
  <si>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</si>
  <si>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</si>
  <si>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</si>
  <si>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</si>
  <si>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</si>
  <si>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</si>
  <si>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</si>
  <si>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</si>
  <si>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</si>
  <si>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</si>
  <si>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</si>
  <si>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</si>
  <si>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</si>
  <si>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</si>
  <si>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</si>
  <si>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</si>
  <si>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</si>
  <si>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</si>
  <si>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</si>
  <si>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</si>
  <si>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</si>
  <si>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</si>
  <si>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</si>
  <si>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</si>
  <si>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</si>
  <si>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</si>
  <si>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</si>
  <si>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</si>
  <si>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</si>
  <si>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</si>
  <si>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</si>
  <si>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</si>
  <si>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</si>
  <si>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</si>
  <si>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</si>
  <si>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</si>
  <si>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</si>
  <si>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</si>
  <si>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</si>
  <si>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</si>
  <si>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</si>
  <si>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</si>
  <si>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</si>
  <si>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</si>
  <si>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</si>
  <si>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</si>
  <si>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</si>
  <si>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</si>
  <si>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</si>
  <si>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</si>
  <si>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</si>
  <si>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</si>
  <si>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</si>
  <si>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</si>
  <si>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</si>
  <si>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</si>
  <si>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</si>
  <si>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</si>
  <si>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</si>
  <si>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</si>
  <si>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</si>
  <si>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</si>
  <si>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</si>
  <si>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</si>
  <si>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</si>
  <si>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</si>
  <si>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</si>
  <si>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</si>
  <si>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</si>
  <si>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</si>
  <si>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</si>
  <si>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</si>
  <si>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</si>
  <si>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</si>
  <si>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</si>
  <si>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</si>
  <si>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</si>
  <si>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</si>
  <si>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</si>
  <si>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</si>
  <si>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</si>
  <si>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</si>
  <si>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</si>
  <si>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</si>
  <si>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</si>
  <si>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</si>
  <si>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</si>
  <si>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</si>
  <si>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</si>
  <si>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</si>
  <si>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</si>
  <si>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</si>
  <si>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</si>
  <si>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</si>
  <si>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</si>
  <si>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</si>
  <si>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</si>
  <si>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</si>
  <si>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</si>
  <si>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</si>
  <si>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</si>
  <si>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</si>
  <si>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</si>
  <si>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30 เมษายน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</si>
</sst>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0_-;\-* #,##0.00_-;_-* &quot;-&quot;????_-;_-@"/>
    <numFmt numFmtId="169" formatCode="_-* #,##0.0_-;\-* #,##0.0_-;_-* &quot;-&quot;_-;_-@"/>
  </numFmts>
  <fonts count="23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sz val="11"/>
      <color theme="1"/>
      <name val="Calibri"/>
      <scheme val="minor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8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 vertical="center" wrapText="1"/>
    </xf>
    <xf numFmtId="165" fontId="2" fillId="2" borderId="0" xfId="0" applyNumberFormat="1" applyFont="1" applyFill="1" applyAlignment="1">
      <alignment vertical="center" wrapText="1"/>
    </xf>
    <xf numFmtId="164" fontId="2" fillId="2" borderId="0" xfId="0" applyNumberFormat="1" applyFont="1" applyFill="1" applyAlignment="1">
      <alignment vertical="center" wrapText="1"/>
    </xf>
    <xf numFmtId="165" fontId="1" fillId="4" borderId="12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 wrapText="1"/>
    </xf>
    <xf numFmtId="165" fontId="1" fillId="5" borderId="12" xfId="0" applyNumberFormat="1" applyFont="1" applyFill="1" applyBorder="1" applyAlignment="1">
      <alignment horizontal="center" vertical="center" wrapText="1"/>
    </xf>
    <xf numFmtId="165" fontId="1" fillId="7" borderId="12" xfId="0" applyNumberFormat="1" applyFont="1" applyFill="1" applyBorder="1" applyAlignment="1">
      <alignment horizontal="center" vertical="center" wrapText="1"/>
    </xf>
    <xf numFmtId="165" fontId="1" fillId="6" borderId="12" xfId="0" applyNumberFormat="1" applyFont="1" applyFill="1" applyBorder="1" applyAlignment="1">
      <alignment horizontal="center" vertical="center"/>
    </xf>
    <xf numFmtId="165" fontId="1" fillId="5" borderId="12" xfId="0" applyNumberFormat="1" applyFont="1" applyFill="1" applyBorder="1" applyAlignment="1">
      <alignment horizontal="center" vertical="center"/>
    </xf>
    <xf numFmtId="165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66" fontId="1" fillId="8" borderId="12" xfId="0" applyNumberFormat="1" applyFont="1" applyFill="1" applyBorder="1" applyAlignment="1"/>
    <xf numFmtId="165" fontId="1" fillId="8" borderId="12" xfId="0" applyNumberFormat="1" applyFont="1" applyFill="1" applyBorder="1" applyAlignment="1"/>
    <xf numFmtId="165" fontId="1" fillId="8" borderId="12" xfId="0" applyNumberFormat="1" applyFont="1" applyFill="1" applyBorder="1" applyAlignment="1">
      <alignment horizontal="center"/>
    </xf>
    <xf numFmtId="165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66" fontId="1" fillId="9" borderId="16" xfId="0" applyNumberFormat="1" applyFont="1" applyFill="1" applyBorder="1" applyAlignment="1">
      <alignment horizontal="right"/>
    </xf>
    <xf numFmtId="165" fontId="1" fillId="9" borderId="16" xfId="0" applyNumberFormat="1" applyFont="1" applyFill="1" applyBorder="1" applyAlignment="1">
      <alignment horizontal="right"/>
    </xf>
    <xf numFmtId="165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66" fontId="1" fillId="9" borderId="20" xfId="0" applyNumberFormat="1" applyFont="1" applyFill="1" applyBorder="1" applyAlignment="1">
      <alignment horizontal="right"/>
    </xf>
    <xf numFmtId="165" fontId="1" fillId="9" borderId="20" xfId="0" applyNumberFormat="1" applyFont="1" applyFill="1" applyBorder="1" applyAlignment="1">
      <alignment horizontal="right"/>
    </xf>
    <xf numFmtId="165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66" fontId="2" fillId="2" borderId="20" xfId="0" applyNumberFormat="1" applyFont="1" applyFill="1" applyBorder="1" applyAlignment="1">
      <alignment horizontal="right"/>
    </xf>
    <xf numFmtId="165" fontId="2" fillId="2" borderId="20" xfId="0" applyNumberFormat="1" applyFont="1" applyFill="1" applyBorder="1" applyAlignment="1">
      <alignment horizontal="right"/>
    </xf>
    <xf numFmtId="165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65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66" fontId="2" fillId="2" borderId="23" xfId="0" applyNumberFormat="1" applyFont="1" applyFill="1" applyBorder="1" applyAlignment="1">
      <alignment horizontal="right"/>
    </xf>
    <xf numFmtId="165" fontId="2" fillId="2" borderId="23" xfId="0" applyNumberFormat="1" applyFont="1" applyFill="1" applyBorder="1" applyAlignment="1">
      <alignment horizontal="right"/>
    </xf>
    <xf numFmtId="165" fontId="2" fillId="2" borderId="23" xfId="0" applyNumberFormat="1" applyFont="1" applyFill="1" applyBorder="1" applyAlignment="1"/>
    <xf numFmtId="165" fontId="2" fillId="2" borderId="20" xfId="0" applyNumberFormat="1" applyFont="1" applyFill="1" applyBorder="1" applyAlignment="1"/>
    <xf numFmtId="165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66" fontId="1" fillId="10" borderId="12" xfId="0" applyNumberFormat="1" applyFont="1" applyFill="1" applyBorder="1" applyAlignment="1">
      <alignment vertical="center"/>
    </xf>
    <xf numFmtId="165" fontId="1" fillId="10" borderId="12" xfId="0" applyNumberFormat="1" applyFont="1" applyFill="1" applyBorder="1" applyAlignment="1">
      <alignment vertical="center"/>
    </xf>
    <xf numFmtId="165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66" fontId="2" fillId="11" borderId="12" xfId="0" applyNumberFormat="1" applyFont="1" applyFill="1" applyBorder="1" applyAlignment="1">
      <alignment horizontal="left"/>
    </xf>
    <xf numFmtId="165" fontId="2" fillId="11" borderId="12" xfId="0" applyNumberFormat="1" applyFont="1" applyFill="1" applyBorder="1" applyAlignment="1">
      <alignment horizontal="left"/>
    </xf>
    <xf numFmtId="165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66" fontId="1" fillId="12" borderId="16" xfId="0" applyNumberFormat="1" applyFont="1" applyFill="1" applyBorder="1" applyAlignment="1">
      <alignment horizontal="right"/>
    </xf>
    <xf numFmtId="165" fontId="1" fillId="12" borderId="16" xfId="0" applyNumberFormat="1" applyFont="1" applyFill="1" applyBorder="1" applyAlignment="1">
      <alignment horizontal="right"/>
    </xf>
    <xf numFmtId="165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66" fontId="1" fillId="13" borderId="20" xfId="0" applyNumberFormat="1" applyFont="1" applyFill="1" applyBorder="1" applyAlignment="1">
      <alignment horizontal="right"/>
    </xf>
    <xf numFmtId="165" fontId="1" fillId="13" borderId="20" xfId="0" applyNumberFormat="1" applyFont="1" applyFill="1" applyBorder="1" applyAlignment="1">
      <alignment horizontal="right"/>
    </xf>
    <xf numFmtId="165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66" fontId="1" fillId="14" borderId="20" xfId="0" applyNumberFormat="1" applyFont="1" applyFill="1" applyBorder="1" applyAlignment="1">
      <alignment horizontal="right"/>
    </xf>
    <xf numFmtId="165" fontId="1" fillId="14" borderId="20" xfId="0" applyNumberFormat="1" applyFont="1" applyFill="1" applyBorder="1" applyAlignment="1">
      <alignment horizontal="right"/>
    </xf>
    <xf numFmtId="165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66" fontId="2" fillId="0" borderId="20" xfId="0" applyNumberFormat="1" applyFont="1" applyBorder="1" applyAlignment="1">
      <alignment horizontal="right"/>
    </xf>
    <xf numFmtId="165" fontId="2" fillId="0" borderId="20" xfId="0" applyNumberFormat="1" applyFont="1" applyBorder="1" applyAlignment="1">
      <alignment horizontal="right"/>
    </xf>
    <xf numFmtId="165" fontId="1" fillId="2" borderId="20" xfId="0" applyNumberFormat="1" applyFont="1" applyFill="1" applyBorder="1" applyAlignment="1">
      <alignment horizontal="left"/>
    </xf>
    <xf numFmtId="165" fontId="1" fillId="2" borderId="20" xfId="0" applyNumberFormat="1" applyFont="1" applyFill="1" applyBorder="1" applyAlignment="1"/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66" fontId="2" fillId="0" borderId="23" xfId="0" applyNumberFormat="1" applyFont="1" applyBorder="1" applyAlignment="1">
      <alignment horizontal="right"/>
    </xf>
    <xf numFmtId="165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66" fontId="1" fillId="16" borderId="12" xfId="0" applyNumberFormat="1" applyFont="1" applyFill="1" applyBorder="1" applyAlignment="1">
      <alignment horizontal="right"/>
    </xf>
    <xf numFmtId="165" fontId="1" fillId="16" borderId="12" xfId="0" applyNumberFormat="1" applyFont="1" applyFill="1" applyBorder="1" applyAlignment="1">
      <alignment horizontal="right"/>
    </xf>
    <xf numFmtId="165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66" fontId="1" fillId="17" borderId="16" xfId="0" applyNumberFormat="1" applyFont="1" applyFill="1" applyBorder="1" applyAlignment="1">
      <alignment horizontal="right"/>
    </xf>
    <xf numFmtId="165" fontId="1" fillId="17" borderId="16" xfId="0" applyNumberFormat="1" applyFont="1" applyFill="1" applyBorder="1" applyAlignment="1">
      <alignment horizontal="right"/>
    </xf>
    <xf numFmtId="165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66" fontId="1" fillId="18" borderId="20" xfId="0" applyNumberFormat="1" applyFont="1" applyFill="1" applyBorder="1" applyAlignment="1">
      <alignment horizontal="right"/>
    </xf>
    <xf numFmtId="165" fontId="1" fillId="18" borderId="20" xfId="0" applyNumberFormat="1" applyFont="1" applyFill="1" applyBorder="1" applyAlignment="1">
      <alignment horizontal="right"/>
    </xf>
    <xf numFmtId="165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66" fontId="1" fillId="19" borderId="20" xfId="0" applyNumberFormat="1" applyFont="1" applyFill="1" applyBorder="1" applyAlignment="1">
      <alignment horizontal="right"/>
    </xf>
    <xf numFmtId="165" fontId="1" fillId="19" borderId="20" xfId="0" applyNumberFormat="1" applyFont="1" applyFill="1" applyBorder="1" applyAlignment="1">
      <alignment horizontal="right"/>
    </xf>
    <xf numFmtId="165" fontId="1" fillId="19" borderId="20" xfId="0" applyNumberFormat="1" applyFont="1" applyFill="1" applyBorder="1" applyAlignment="1"/>
    <xf numFmtId="164" fontId="1" fillId="20" borderId="24" xfId="0" applyNumberFormat="1" applyFont="1" applyFill="1" applyBorder="1" applyAlignment="1">
      <alignment vertical="center"/>
    </xf>
    <xf numFmtId="164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66" fontId="2" fillId="20" borderId="27" xfId="0" applyNumberFormat="1" applyFont="1" applyFill="1" applyBorder="1" applyAlignment="1">
      <alignment horizontal="left" vertical="center"/>
    </xf>
    <xf numFmtId="165" fontId="2" fillId="20" borderId="27" xfId="0" applyNumberFormat="1" applyFont="1" applyFill="1" applyBorder="1" applyAlignment="1">
      <alignment horizontal="left" vertical="center"/>
    </xf>
    <xf numFmtId="165" fontId="2" fillId="20" borderId="27" xfId="0" applyNumberFormat="1" applyFont="1" applyFill="1" applyBorder="1" applyAlignment="1">
      <alignment vertical="center"/>
    </xf>
    <xf numFmtId="164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64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66" fontId="1" fillId="21" borderId="28" xfId="0" applyNumberFormat="1" applyFont="1" applyFill="1" applyBorder="1" applyAlignment="1">
      <alignment horizontal="left" vertical="center"/>
    </xf>
    <xf numFmtId="165" fontId="1" fillId="21" borderId="28" xfId="0" applyNumberFormat="1" applyFont="1" applyFill="1" applyBorder="1" applyAlignment="1">
      <alignment horizontal="left" vertical="center"/>
    </xf>
    <xf numFmtId="165" fontId="1" fillId="21" borderId="28" xfId="0" applyNumberFormat="1" applyFont="1" applyFill="1" applyBorder="1" applyAlignment="1">
      <alignment horizontal="center" vertical="center"/>
    </xf>
    <xf numFmtId="165" fontId="2" fillId="21" borderId="28" xfId="0" applyNumberFormat="1" applyFont="1" applyFill="1" applyBorder="1" applyAlignment="1">
      <alignment vertical="center"/>
    </xf>
    <xf numFmtId="167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64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66" fontId="1" fillId="9" borderId="19" xfId="0" applyNumberFormat="1" applyFont="1" applyFill="1" applyBorder="1" applyAlignment="1">
      <alignment horizontal="right" vertical="center" wrapText="1"/>
    </xf>
    <xf numFmtId="165" fontId="1" fillId="9" borderId="19" xfId="0" applyNumberFormat="1" applyFont="1" applyFill="1" applyBorder="1" applyAlignment="1">
      <alignment horizontal="right" vertical="center" wrapText="1"/>
    </xf>
    <xf numFmtId="165" fontId="1" fillId="9" borderId="19" xfId="0" applyNumberFormat="1" applyFont="1" applyFill="1" applyBorder="1" applyAlignment="1">
      <alignment vertical="center"/>
    </xf>
    <xf numFmtId="165" fontId="1" fillId="9" borderId="19" xfId="0" applyNumberFormat="1" applyFont="1" applyFill="1" applyBorder="1" applyAlignment="1">
      <alignment vertical="center"/>
    </xf>
    <xf numFmtId="167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64" fontId="1" fillId="2" borderId="15" xfId="0" applyNumberFormat="1" applyFont="1" applyFill="1" applyBorder="1" applyAlignment="1">
      <alignment horizontal="center"/>
    </xf>
    <xf numFmtId="166" fontId="1" fillId="2" borderId="16" xfId="0" applyNumberFormat="1" applyFont="1" applyFill="1" applyBorder="1" applyAlignment="1">
      <alignment horizontal="right"/>
    </xf>
    <xf numFmtId="165" fontId="1" fillId="2" borderId="16" xfId="0" applyNumberFormat="1" applyFont="1" applyFill="1" applyBorder="1" applyAlignment="1">
      <alignment horizontal="right"/>
    </xf>
    <xf numFmtId="165" fontId="1" fillId="2" borderId="16" xfId="0" applyNumberFormat="1" applyFont="1" applyFill="1" applyBorder="1" applyAlignment="1"/>
    <xf numFmtId="167" fontId="1" fillId="2" borderId="17" xfId="0" applyNumberFormat="1" applyFont="1" applyFill="1" applyBorder="1" applyAlignment="1"/>
    <xf numFmtId="164" fontId="1" fillId="2" borderId="19" xfId="0" applyNumberFormat="1" applyFont="1" applyFill="1" applyBorder="1" applyAlignment="1">
      <alignment horizontal="center"/>
    </xf>
    <xf numFmtId="166" fontId="1" fillId="2" borderId="20" xfId="0" applyNumberFormat="1" applyFont="1" applyFill="1" applyBorder="1" applyAlignment="1">
      <alignment horizontal="right"/>
    </xf>
    <xf numFmtId="165" fontId="1" fillId="2" borderId="20" xfId="0" applyNumberFormat="1" applyFont="1" applyFill="1" applyBorder="1" applyAlignment="1">
      <alignment horizontal="right"/>
    </xf>
    <xf numFmtId="167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64" fontId="2" fillId="0" borderId="19" xfId="0" applyNumberFormat="1" applyFont="1" applyBorder="1" applyAlignment="1">
      <alignment horizontal="center" vertical="center" wrapText="1"/>
    </xf>
    <xf numFmtId="166" fontId="2" fillId="0" borderId="19" xfId="0" applyNumberFormat="1" applyFont="1" applyBorder="1" applyAlignment="1">
      <alignment horizontal="right" vertical="center" wrapText="1"/>
    </xf>
    <xf numFmtId="165" fontId="2" fillId="0" borderId="19" xfId="0" applyNumberFormat="1" applyFont="1" applyBorder="1" applyAlignment="1">
      <alignment horizontal="right" vertical="center" wrapText="1"/>
    </xf>
    <xf numFmtId="165" fontId="1" fillId="2" borderId="19" xfId="0" applyNumberFormat="1" applyFont="1" applyFill="1" applyBorder="1" applyAlignment="1">
      <alignment vertical="center"/>
    </xf>
    <xf numFmtId="165" fontId="1" fillId="2" borderId="19" xfId="0" applyNumberFormat="1" applyFont="1" applyFill="1" applyBorder="1" applyAlignment="1">
      <alignment vertical="center"/>
    </xf>
    <xf numFmtId="164" fontId="1" fillId="2" borderId="30" xfId="0" applyNumberFormat="1" applyFont="1" applyFill="1" applyBorder="1" applyAlignment="1">
      <alignment vertical="center"/>
    </xf>
    <xf numFmtId="165" fontId="2" fillId="2" borderId="19" xfId="0" applyNumberFormat="1" applyFont="1" applyFill="1" applyBorder="1" applyAlignment="1">
      <alignment vertical="center"/>
    </xf>
    <xf numFmtId="165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67" fontId="1" fillId="15" borderId="17" xfId="0" applyNumberFormat="1" applyFont="1" applyFill="1" applyBorder="1" applyAlignment="1"/>
    <xf numFmtId="164" fontId="2" fillId="0" borderId="20" xfId="0" applyNumberFormat="1" applyFont="1" applyBorder="1" applyAlignment="1">
      <alignment horizontal="center"/>
    </xf>
    <xf numFmtId="167" fontId="1" fillId="15" borderId="21" xfId="0" applyNumberFormat="1" applyFont="1" applyFill="1" applyBorder="1" applyAlignment="1"/>
    <xf numFmtId="164" fontId="1" fillId="15" borderId="22" xfId="0" applyNumberFormat="1" applyFont="1" applyFill="1" applyBorder="1" applyAlignment="1"/>
    <xf numFmtId="164" fontId="2" fillId="0" borderId="23" xfId="0" applyNumberFormat="1" applyFont="1" applyBorder="1" applyAlignment="1">
      <alignment horizontal="center"/>
    </xf>
    <xf numFmtId="164" fontId="1" fillId="0" borderId="17" xfId="0" applyNumberFormat="1" applyFont="1" applyBorder="1" applyAlignment="1">
      <alignment vertical="center"/>
    </xf>
    <xf numFmtId="164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65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66" fontId="2" fillId="2" borderId="19" xfId="0" applyNumberFormat="1" applyFont="1" applyFill="1" applyBorder="1" applyAlignment="1">
      <alignment horizontal="right" vertical="center" wrapText="1"/>
    </xf>
    <xf numFmtId="166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64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66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66" fontId="1" fillId="2" borderId="19" xfId="0" applyNumberFormat="1" applyFont="1" applyFill="1" applyBorder="1" applyAlignment="1">
      <alignment horizontal="right" vertical="center" wrapText="1"/>
    </xf>
    <xf numFmtId="165" fontId="1" fillId="0" borderId="19" xfId="0" applyNumberFormat="1" applyFont="1" applyBorder="1" applyAlignment="1">
      <alignment horizontal="right" vertical="center" wrapText="1"/>
    </xf>
    <xf numFmtId="166" fontId="2" fillId="0" borderId="19" xfId="0" applyNumberFormat="1" applyFont="1" applyBorder="1" applyAlignment="1">
      <alignment horizontal="right" vertical="center" wrapText="1"/>
    </xf>
    <xf numFmtId="166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66" fontId="2" fillId="4" borderId="30" xfId="0" applyNumberFormat="1" applyFont="1" applyFill="1" applyBorder="1" applyAlignment="1">
      <alignment horizontal="right" vertical="center"/>
    </xf>
    <xf numFmtId="164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64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66" fontId="2" fillId="21" borderId="19" xfId="0" applyNumberFormat="1" applyFont="1" applyFill="1" applyBorder="1" applyAlignment="1">
      <alignment horizontal="right" vertical="center" wrapText="1"/>
    </xf>
    <xf numFmtId="165" fontId="2" fillId="21" borderId="19" xfId="0" applyNumberFormat="1" applyFont="1" applyFill="1" applyBorder="1" applyAlignment="1">
      <alignment horizontal="right" vertical="center" wrapText="1"/>
    </xf>
    <xf numFmtId="165" fontId="2" fillId="21" borderId="19" xfId="0" applyNumberFormat="1" applyFont="1" applyFill="1" applyBorder="1" applyAlignment="1">
      <alignment vertical="center" wrapText="1"/>
    </xf>
    <xf numFmtId="165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65" fontId="1" fillId="9" borderId="19" xfId="0" applyNumberFormat="1" applyFont="1" applyFill="1" applyBorder="1" applyAlignment="1">
      <alignment vertical="center" wrapText="1"/>
    </xf>
    <xf numFmtId="165" fontId="1" fillId="9" borderId="19" xfId="0" applyNumberFormat="1" applyFont="1" applyFill="1" applyBorder="1" applyAlignment="1">
      <alignment vertical="center" wrapText="1"/>
    </xf>
    <xf numFmtId="165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66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67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67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64" fontId="1" fillId="0" borderId="21" xfId="0" applyNumberFormat="1" applyFont="1" applyBorder="1" applyAlignment="1">
      <alignment vertical="center"/>
    </xf>
    <xf numFmtId="164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66" fontId="2" fillId="2" borderId="34" xfId="0" applyNumberFormat="1" applyFont="1" applyFill="1" applyBorder="1" applyAlignment="1">
      <alignment horizontal="right" vertical="center" wrapText="1"/>
    </xf>
    <xf numFmtId="166" fontId="2" fillId="2" borderId="32" xfId="0" applyNumberFormat="1" applyFont="1" applyFill="1" applyBorder="1" applyAlignment="1">
      <alignment horizontal="right" vertical="center"/>
    </xf>
    <xf numFmtId="165" fontId="2" fillId="2" borderId="34" xfId="0" applyNumberFormat="1" applyFont="1" applyFill="1" applyBorder="1" applyAlignment="1">
      <alignment horizontal="right" vertical="center" wrapText="1"/>
    </xf>
    <xf numFmtId="165" fontId="2" fillId="2" borderId="34" xfId="0" applyNumberFormat="1" applyFont="1" applyFill="1" applyBorder="1" applyAlignment="1">
      <alignment vertical="center"/>
    </xf>
    <xf numFmtId="165" fontId="2" fillId="0" borderId="34" xfId="0" applyNumberFormat="1" applyFont="1" applyBorder="1" applyAlignment="1">
      <alignment vertical="center"/>
    </xf>
    <xf numFmtId="164" fontId="1" fillId="7" borderId="35" xfId="0" applyNumberFormat="1" applyFont="1" applyFill="1" applyBorder="1" applyAlignment="1">
      <alignment vertical="center"/>
    </xf>
    <xf numFmtId="164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66" fontId="2" fillId="7" borderId="38" xfId="0" applyNumberFormat="1" applyFont="1" applyFill="1" applyBorder="1" applyAlignment="1">
      <alignment horizontal="left" vertical="center"/>
    </xf>
    <xf numFmtId="165" fontId="2" fillId="7" borderId="38" xfId="0" applyNumberFormat="1" applyFont="1" applyFill="1" applyBorder="1" applyAlignment="1">
      <alignment horizontal="left" vertical="center"/>
    </xf>
    <xf numFmtId="165" fontId="2" fillId="7" borderId="38" xfId="0" applyNumberFormat="1" applyFont="1" applyFill="1" applyBorder="1" applyAlignment="1">
      <alignment vertical="center"/>
    </xf>
    <xf numFmtId="164" fontId="1" fillId="24" borderId="29" xfId="0" applyNumberFormat="1" applyFont="1" applyFill="1" applyBorder="1" applyAlignment="1">
      <alignment vertical="center"/>
    </xf>
    <xf numFmtId="164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66" fontId="1" fillId="24" borderId="19" xfId="0" applyNumberFormat="1" applyFont="1" applyFill="1" applyBorder="1" applyAlignment="1">
      <alignment horizontal="center" vertical="center"/>
    </xf>
    <xf numFmtId="165" fontId="1" fillId="24" borderId="19" xfId="0" applyNumberFormat="1" applyFont="1" applyFill="1" applyBorder="1" applyAlignment="1">
      <alignment horizontal="center" vertical="center"/>
    </xf>
    <xf numFmtId="165" fontId="2" fillId="24" borderId="19" xfId="0" applyNumberFormat="1" applyFont="1" applyFill="1" applyBorder="1" applyAlignment="1">
      <alignment horizontal="right" vertical="center" wrapText="1"/>
    </xf>
    <xf numFmtId="164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64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66" fontId="1" fillId="22" borderId="19" xfId="0" applyNumberFormat="1" applyFont="1" applyFill="1" applyBorder="1" applyAlignment="1">
      <alignment horizontal="right" vertical="center" wrapText="1"/>
    </xf>
    <xf numFmtId="165" fontId="1" fillId="22" borderId="19" xfId="0" applyNumberFormat="1" applyFont="1" applyFill="1" applyBorder="1" applyAlignment="1">
      <alignment horizontal="right" vertical="center" wrapText="1"/>
    </xf>
    <xf numFmtId="165" fontId="1" fillId="22" borderId="19" xfId="0" applyNumberFormat="1" applyFont="1" applyFill="1" applyBorder="1" applyAlignment="1">
      <alignment vertical="center"/>
    </xf>
    <xf numFmtId="164" fontId="1" fillId="25" borderId="29" xfId="0" applyNumberFormat="1" applyFont="1" applyFill="1" applyBorder="1" applyAlignment="1">
      <alignment vertical="center"/>
    </xf>
    <xf numFmtId="164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66" fontId="2" fillId="25" borderId="19" xfId="0" applyNumberFormat="1" applyFont="1" applyFill="1" applyBorder="1" applyAlignment="1">
      <alignment horizontal="right" vertical="center" wrapText="1"/>
    </xf>
    <xf numFmtId="165" fontId="2" fillId="25" borderId="19" xfId="0" applyNumberFormat="1" applyFont="1" applyFill="1" applyBorder="1" applyAlignment="1">
      <alignment horizontal="right" vertical="center" wrapText="1"/>
    </xf>
    <xf numFmtId="165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66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66" fontId="1" fillId="25" borderId="19" xfId="0" applyNumberFormat="1" applyFont="1" applyFill="1" applyBorder="1" applyAlignment="1">
      <alignment horizontal="right" vertical="center" wrapText="1"/>
    </xf>
    <xf numFmtId="165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66" fontId="2" fillId="4" borderId="32" xfId="0" applyNumberFormat="1" applyFont="1" applyFill="1" applyBorder="1" applyAlignment="1">
      <alignment horizontal="right" vertical="center"/>
    </xf>
    <xf numFmtId="165" fontId="2" fillId="0" borderId="34" xfId="0" applyNumberFormat="1" applyFont="1" applyBorder="1" applyAlignment="1">
      <alignment horizontal="right" vertical="center" wrapText="1"/>
    </xf>
    <xf numFmtId="164" fontId="1" fillId="25" borderId="30" xfId="0" applyNumberFormat="1" applyFont="1" applyFill="1" applyBorder="1" applyAlignment="1">
      <alignment horizontal="left" vertical="center"/>
    </xf>
    <xf numFmtId="165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65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64" fontId="1" fillId="22" borderId="30" xfId="0" applyNumberFormat="1" applyFont="1" applyFill="1" applyBorder="1" applyAlignment="1">
      <alignment horizontal="left" vertical="center"/>
    </xf>
    <xf numFmtId="164" fontId="1" fillId="26" borderId="35" xfId="0" applyNumberFormat="1" applyFont="1" applyFill="1" applyBorder="1" applyAlignment="1">
      <alignment vertical="center"/>
    </xf>
    <xf numFmtId="164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66" fontId="1" fillId="26" borderId="38" xfId="0" applyNumberFormat="1" applyFont="1" applyFill="1" applyBorder="1" applyAlignment="1">
      <alignment horizontal="left" vertical="center"/>
    </xf>
    <xf numFmtId="165" fontId="1" fillId="26" borderId="38" xfId="0" applyNumberFormat="1" applyFont="1" applyFill="1" applyBorder="1" applyAlignment="1">
      <alignment horizontal="left" vertical="center"/>
    </xf>
    <xf numFmtId="165" fontId="1" fillId="26" borderId="38" xfId="0" applyNumberFormat="1" applyFont="1" applyFill="1" applyBorder="1" applyAlignment="1">
      <alignment vertical="center"/>
    </xf>
    <xf numFmtId="165" fontId="2" fillId="26" borderId="38" xfId="0" applyNumberFormat="1" applyFont="1" applyFill="1" applyBorder="1" applyAlignment="1">
      <alignment vertical="center"/>
    </xf>
    <xf numFmtId="164" fontId="1" fillId="27" borderId="29" xfId="0" applyNumberFormat="1" applyFont="1" applyFill="1" applyBorder="1" applyAlignment="1">
      <alignment vertical="center"/>
    </xf>
    <xf numFmtId="164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66" fontId="1" fillId="27" borderId="19" xfId="0" applyNumberFormat="1" applyFont="1" applyFill="1" applyBorder="1" applyAlignment="1">
      <alignment vertical="center"/>
    </xf>
    <xf numFmtId="165" fontId="1" fillId="27" borderId="19" xfId="0" applyNumberFormat="1" applyFont="1" applyFill="1" applyBorder="1" applyAlignment="1">
      <alignment vertical="center"/>
    </xf>
    <xf numFmtId="165" fontId="2" fillId="27" borderId="19" xfId="0" applyNumberFormat="1" applyFont="1" applyFill="1" applyBorder="1" applyAlignment="1">
      <alignment horizontal="right" vertical="center" wrapText="1"/>
    </xf>
    <xf numFmtId="164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66" fontId="1" fillId="28" borderId="19" xfId="0" applyNumberFormat="1" applyFont="1" applyFill="1" applyBorder="1" applyAlignment="1">
      <alignment horizontal="right" vertical="center" wrapText="1"/>
    </xf>
    <xf numFmtId="165" fontId="1" fillId="28" borderId="19" xfId="0" applyNumberFormat="1" applyFont="1" applyFill="1" applyBorder="1" applyAlignment="1">
      <alignment horizontal="right" vertical="center" wrapText="1"/>
    </xf>
    <xf numFmtId="165" fontId="1" fillId="28" borderId="19" xfId="0" applyNumberFormat="1" applyFont="1" applyFill="1" applyBorder="1" applyAlignment="1">
      <alignment vertical="center"/>
    </xf>
    <xf numFmtId="164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66" fontId="1" fillId="27" borderId="19" xfId="0" applyNumberFormat="1" applyFont="1" applyFill="1" applyBorder="1" applyAlignment="1">
      <alignment horizontal="right" vertical="center"/>
    </xf>
    <xf numFmtId="165" fontId="1" fillId="27" borderId="19" xfId="0" applyNumberFormat="1" applyFont="1" applyFill="1" applyBorder="1" applyAlignment="1">
      <alignment horizontal="right" vertical="center"/>
    </xf>
    <xf numFmtId="167" fontId="1" fillId="28" borderId="29" xfId="0" applyNumberFormat="1" applyFont="1" applyFill="1" applyBorder="1" applyAlignment="1">
      <alignment vertical="center"/>
    </xf>
    <xf numFmtId="167" fontId="1" fillId="28" borderId="30" xfId="0" applyNumberFormat="1" applyFont="1" applyFill="1" applyBorder="1" applyAlignment="1">
      <alignment vertical="center"/>
    </xf>
    <xf numFmtId="164" fontId="1" fillId="28" borderId="30" xfId="0" applyNumberFormat="1" applyFont="1" applyFill="1" applyBorder="1" applyAlignment="1">
      <alignment vertical="center"/>
    </xf>
    <xf numFmtId="166" fontId="2" fillId="2" borderId="31" xfId="0" applyNumberFormat="1" applyFont="1" applyFill="1" applyBorder="1" applyAlignment="1">
      <alignment horizontal="right" vertical="center"/>
    </xf>
    <xf numFmtId="167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67" fontId="1" fillId="28" borderId="40" xfId="0" applyNumberFormat="1" applyFont="1" applyFill="1" applyBorder="1" applyAlignment="1">
      <alignment vertical="center"/>
    </xf>
    <xf numFmtId="164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66" fontId="1" fillId="28" borderId="42" xfId="0" applyNumberFormat="1" applyFont="1" applyFill="1" applyBorder="1" applyAlignment="1">
      <alignment horizontal="right" vertical="center" wrapText="1"/>
    </xf>
    <xf numFmtId="165" fontId="1" fillId="28" borderId="42" xfId="0" applyNumberFormat="1" applyFont="1" applyFill="1" applyBorder="1" applyAlignment="1">
      <alignment horizontal="right" vertical="center" wrapText="1"/>
    </xf>
    <xf numFmtId="165" fontId="1" fillId="28" borderId="42" xfId="0" applyNumberFormat="1" applyFont="1" applyFill="1" applyBorder="1" applyAlignment="1">
      <alignment vertical="center"/>
    </xf>
    <xf numFmtId="166" fontId="2" fillId="0" borderId="15" xfId="0" applyNumberFormat="1" applyFont="1" applyBorder="1" applyAlignment="1">
      <alignment horizontal="right" vertical="center" wrapText="1"/>
    </xf>
    <xf numFmtId="165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66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66" fontId="2" fillId="2" borderId="19" xfId="0" applyNumberFormat="1" applyFont="1" applyFill="1" applyBorder="1" applyAlignment="1">
      <alignment horizontal="center" vertical="center"/>
    </xf>
    <xf numFmtId="165" fontId="2" fillId="2" borderId="19" xfId="0" applyNumberFormat="1" applyFont="1" applyFill="1" applyBorder="1" applyAlignment="1">
      <alignment horizontal="center" vertical="center"/>
    </xf>
    <xf numFmtId="165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66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66" fontId="2" fillId="2" borderId="34" xfId="0" applyNumberFormat="1" applyFont="1" applyFill="1" applyBorder="1" applyAlignment="1">
      <alignment horizontal="center" vertical="center"/>
    </xf>
    <xf numFmtId="165" fontId="2" fillId="2" borderId="34" xfId="0" applyNumberFormat="1" applyFont="1" applyFill="1" applyBorder="1" applyAlignment="1">
      <alignment horizontal="center" vertical="center"/>
    </xf>
    <xf numFmtId="165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66" fontId="1" fillId="29" borderId="38" xfId="0" applyNumberFormat="1" applyFont="1" applyFill="1" applyBorder="1" applyAlignment="1">
      <alignment vertical="center"/>
    </xf>
    <xf numFmtId="165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66" fontId="1" fillId="30" borderId="19" xfId="0" applyNumberFormat="1" applyFont="1" applyFill="1" applyBorder="1" applyAlignment="1">
      <alignment horizontal="left" vertical="center"/>
    </xf>
    <xf numFmtId="165" fontId="1" fillId="30" borderId="19" xfId="0" applyNumberFormat="1" applyFont="1" applyFill="1" applyBorder="1" applyAlignment="1">
      <alignment horizontal="left" vertical="center"/>
    </xf>
    <xf numFmtId="165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64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66" fontId="1" fillId="31" borderId="19" xfId="0" applyNumberFormat="1" applyFont="1" applyFill="1" applyBorder="1" applyAlignment="1">
      <alignment horizontal="center" vertical="center"/>
    </xf>
    <xf numFmtId="165" fontId="1" fillId="31" borderId="19" xfId="0" applyNumberFormat="1" applyFont="1" applyFill="1" applyBorder="1" applyAlignment="1">
      <alignment horizontal="right" vertical="center" wrapText="1"/>
    </xf>
    <xf numFmtId="165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64" fontId="1" fillId="2" borderId="17" xfId="0" applyNumberFormat="1" applyFont="1" applyFill="1" applyBorder="1" applyAlignment="1">
      <alignment vertical="center"/>
    </xf>
    <xf numFmtId="164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65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66" fontId="1" fillId="2" borderId="19" xfId="0" applyNumberFormat="1" applyFont="1" applyFill="1" applyBorder="1" applyAlignment="1">
      <alignment horizontal="center" vertical="center"/>
    </xf>
    <xf numFmtId="166" fontId="1" fillId="15" borderId="19" xfId="0" applyNumberFormat="1" applyFont="1" applyFill="1" applyBorder="1" applyAlignment="1">
      <alignment horizontal="right" wrapText="1"/>
    </xf>
    <xf numFmtId="166" fontId="1" fillId="4" borderId="19" xfId="0" applyNumberFormat="1" applyFont="1" applyFill="1" applyBorder="1" applyAlignment="1">
      <alignment horizontal="right" wrapText="1"/>
    </xf>
    <xf numFmtId="166" fontId="2" fillId="4" borderId="19" xfId="0" applyNumberFormat="1" applyFont="1" applyFill="1" applyBorder="1" applyAlignment="1">
      <alignment horizontal="right" wrapText="1"/>
    </xf>
    <xf numFmtId="164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66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66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64" fontId="2" fillId="0" borderId="17" xfId="0" applyNumberFormat="1" applyFont="1" applyBorder="1" applyAlignment="1">
      <alignment vertical="center"/>
    </xf>
    <xf numFmtId="164" fontId="2" fillId="0" borderId="18" xfId="0" applyNumberFormat="1" applyFont="1" applyBorder="1" applyAlignment="1">
      <alignment vertical="center"/>
    </xf>
    <xf numFmtId="164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64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66" fontId="1" fillId="31" borderId="42" xfId="0" applyNumberFormat="1" applyFont="1" applyFill="1" applyBorder="1" applyAlignment="1">
      <alignment horizontal="center" vertical="center"/>
    </xf>
    <xf numFmtId="165" fontId="1" fillId="31" borderId="42" xfId="0" applyNumberFormat="1" applyFont="1" applyFill="1" applyBorder="1" applyAlignment="1">
      <alignment horizontal="right" vertical="center" wrapText="1"/>
    </xf>
    <xf numFmtId="165" fontId="1" fillId="31" borderId="42" xfId="0" applyNumberFormat="1" applyFont="1" applyFill="1" applyBorder="1" applyAlignment="1">
      <alignment vertical="center"/>
    </xf>
    <xf numFmtId="166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66" fontId="15" fillId="2" borderId="19" xfId="0" applyNumberFormat="1" applyFont="1" applyFill="1" applyBorder="1" applyAlignment="1">
      <alignment horizontal="right" vertical="center" wrapText="1"/>
    </xf>
    <xf numFmtId="164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66" fontId="1" fillId="0" borderId="19" xfId="0" applyNumberFormat="1" applyFont="1" applyBorder="1" applyAlignment="1">
      <alignment horizontal="right" vertical="center" wrapText="1"/>
    </xf>
    <xf numFmtId="166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64" fontId="2" fillId="0" borderId="13" xfId="0" applyNumberFormat="1" applyFont="1" applyBorder="1" applyAlignment="1">
      <alignment vertical="center"/>
    </xf>
    <xf numFmtId="164" fontId="2" fillId="0" borderId="14" xfId="0" applyNumberFormat="1" applyFont="1" applyBorder="1" applyAlignment="1">
      <alignment vertical="center"/>
    </xf>
    <xf numFmtId="164" fontId="2" fillId="0" borderId="14" xfId="0" applyNumberFormat="1" applyFont="1" applyBorder="1" applyAlignment="1">
      <alignment horizontal="left" vertical="center"/>
    </xf>
    <xf numFmtId="164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65" fontId="2" fillId="0" borderId="15" xfId="0" applyNumberFormat="1" applyFont="1" applyBorder="1" applyAlignment="1">
      <alignment vertical="center"/>
    </xf>
    <xf numFmtId="164" fontId="2" fillId="0" borderId="21" xfId="0" applyNumberFormat="1" applyFont="1" applyBorder="1" applyAlignment="1">
      <alignment vertical="center"/>
    </xf>
    <xf numFmtId="164" fontId="2" fillId="0" borderId="22" xfId="0" applyNumberFormat="1" applyFont="1" applyBorder="1" applyAlignment="1">
      <alignment vertical="center"/>
    </xf>
    <xf numFmtId="164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66" fontId="2" fillId="0" borderId="34" xfId="0" applyNumberFormat="1" applyFont="1" applyBorder="1" applyAlignment="1">
      <alignment horizontal="right" vertical="center" wrapText="1"/>
    </xf>
    <xf numFmtId="166" fontId="2" fillId="4" borderId="34" xfId="0" applyNumberFormat="1" applyFont="1" applyFill="1" applyBorder="1" applyAlignment="1">
      <alignment horizontal="right" vertical="center" wrapText="1"/>
    </xf>
    <xf numFmtId="164" fontId="1" fillId="0" borderId="13" xfId="0" applyNumberFormat="1" applyFont="1" applyBorder="1" applyAlignment="1">
      <alignment vertical="center"/>
    </xf>
    <xf numFmtId="164" fontId="1" fillId="0" borderId="14" xfId="0" applyNumberFormat="1" applyFont="1" applyBorder="1" applyAlignment="1">
      <alignment vertical="center"/>
    </xf>
    <xf numFmtId="164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66" fontId="1" fillId="22" borderId="15" xfId="0" applyNumberFormat="1" applyFont="1" applyFill="1" applyBorder="1" applyAlignment="1">
      <alignment horizontal="right" vertical="center" wrapText="1"/>
    </xf>
    <xf numFmtId="165" fontId="1" fillId="22" borderId="15" xfId="0" applyNumberFormat="1" applyFont="1" applyFill="1" applyBorder="1" applyAlignment="1">
      <alignment horizontal="right" vertical="center" wrapText="1"/>
    </xf>
    <xf numFmtId="165" fontId="1" fillId="0" borderId="15" xfId="0" applyNumberFormat="1" applyFont="1" applyBorder="1" applyAlignment="1">
      <alignment vertical="center"/>
    </xf>
    <xf numFmtId="164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64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64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64" fontId="1" fillId="0" borderId="43" xfId="0" applyNumberFormat="1" applyFont="1" applyBorder="1" applyAlignment="1">
      <alignment vertical="center"/>
    </xf>
    <xf numFmtId="164" fontId="1" fillId="0" borderId="44" xfId="0" applyNumberFormat="1" applyFont="1" applyBorder="1" applyAlignment="1">
      <alignment vertical="center"/>
    </xf>
    <xf numFmtId="164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66" fontId="2" fillId="2" borderId="46" xfId="0" applyNumberFormat="1" applyFont="1" applyFill="1" applyBorder="1" applyAlignment="1">
      <alignment horizontal="right" vertical="center" wrapText="1"/>
    </xf>
    <xf numFmtId="166" fontId="2" fillId="4" borderId="46" xfId="0" applyNumberFormat="1" applyFont="1" applyFill="1" applyBorder="1" applyAlignment="1">
      <alignment horizontal="right" vertical="center" wrapText="1"/>
    </xf>
    <xf numFmtId="165" fontId="2" fillId="0" borderId="46" xfId="0" applyNumberFormat="1" applyFont="1" applyBorder="1" applyAlignment="1">
      <alignment horizontal="right" vertical="center" wrapText="1"/>
    </xf>
    <xf numFmtId="165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66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65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64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66" fontId="2" fillId="2" borderId="46" xfId="0" applyNumberFormat="1" applyFont="1" applyFill="1" applyBorder="1" applyAlignment="1">
      <alignment horizontal="center" vertical="center"/>
    </xf>
    <xf numFmtId="165" fontId="2" fillId="2" borderId="46" xfId="0" applyNumberFormat="1" applyFont="1" applyFill="1" applyBorder="1" applyAlignment="1">
      <alignment horizontal="center" vertical="center"/>
    </xf>
    <xf numFmtId="166" fontId="1" fillId="31" borderId="28" xfId="0" applyNumberFormat="1" applyFont="1" applyFill="1" applyBorder="1" applyAlignment="1">
      <alignment horizontal="center" vertical="center"/>
    </xf>
    <xf numFmtId="164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66" fontId="1" fillId="10" borderId="19" xfId="0" applyNumberFormat="1" applyFont="1" applyFill="1" applyBorder="1" applyAlignment="1">
      <alignment horizontal="left" vertical="center"/>
    </xf>
    <xf numFmtId="165" fontId="1" fillId="10" borderId="19" xfId="0" applyNumberFormat="1" applyFont="1" applyFill="1" applyBorder="1" applyAlignment="1">
      <alignment horizontal="left" vertical="center"/>
    </xf>
    <xf numFmtId="165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66" fontId="2" fillId="2" borderId="46" xfId="0" applyNumberFormat="1" applyFont="1" applyFill="1" applyBorder="1" applyAlignment="1">
      <alignment horizontal="center" vertical="center"/>
    </xf>
    <xf numFmtId="165" fontId="2" fillId="2" borderId="46" xfId="0" applyNumberFormat="1" applyFont="1" applyFill="1" applyBorder="1" applyAlignment="1">
      <alignment vertical="center"/>
    </xf>
    <xf numFmtId="0" fontId="16" fillId="32" borderId="50" xfId="0" applyFont="1" applyFill="1" applyBorder="1" applyAlignment="1"/>
    <xf numFmtId="0" fontId="16" fillId="32" borderId="28" xfId="0" applyFont="1" applyFill="1" applyBorder="1" applyAlignment="1"/>
    <xf numFmtId="165" fontId="16" fillId="32" borderId="28" xfId="0" applyNumberFormat="1" applyFont="1" applyFill="1" applyBorder="1" applyAlignment="1"/>
    <xf numFmtId="165" fontId="17" fillId="32" borderId="28" xfId="0" applyNumberFormat="1" applyFont="1" applyFill="1" applyBorder="1" applyAlignment="1">
      <alignment horizontal="right"/>
    </xf>
    <xf numFmtId="0" fontId="18" fillId="32" borderId="28" xfId="0" applyFont="1" applyFill="1" applyBorder="1"/>
    <xf numFmtId="0" fontId="16" fillId="15" borderId="17" xfId="0" applyFont="1" applyFill="1" applyBorder="1" applyAlignment="1"/>
    <xf numFmtId="0" fontId="16" fillId="15" borderId="18" xfId="0" applyFont="1" applyFill="1" applyBorder="1" applyAlignment="1"/>
    <xf numFmtId="0" fontId="17" fillId="15" borderId="18" xfId="0" applyFont="1" applyFill="1" applyBorder="1" applyAlignment="1"/>
    <xf numFmtId="0" fontId="20" fillId="15" borderId="18" xfId="0" applyFont="1" applyFill="1" applyBorder="1" applyAlignment="1"/>
    <xf numFmtId="0" fontId="20" fillId="0" borderId="19" xfId="0" applyFont="1" applyBorder="1" applyAlignment="1">
      <alignment horizontal="center"/>
    </xf>
    <xf numFmtId="3" fontId="16" fillId="0" borderId="19" xfId="0" applyNumberFormat="1" applyFont="1" applyBorder="1" applyAlignment="1"/>
    <xf numFmtId="0" fontId="16" fillId="0" borderId="19" xfId="0" applyFont="1" applyBorder="1" applyAlignment="1"/>
    <xf numFmtId="165" fontId="16" fillId="0" borderId="19" xfId="0" applyNumberFormat="1" applyFont="1" applyBorder="1" applyAlignment="1"/>
    <xf numFmtId="165" fontId="17" fillId="15" borderId="19" xfId="0" applyNumberFormat="1" applyFont="1" applyFill="1" applyBorder="1" applyAlignment="1">
      <alignment horizontal="right"/>
    </xf>
    <xf numFmtId="0" fontId="18" fillId="0" borderId="19" xfId="0" applyFont="1" applyBorder="1"/>
    <xf numFmtId="165" fontId="20" fillId="15" borderId="19" xfId="0" applyNumberFormat="1" applyFont="1" applyFill="1" applyBorder="1" applyAlignment="1">
      <alignment horizontal="right"/>
    </xf>
    <xf numFmtId="0" fontId="16" fillId="15" borderId="19" xfId="0" applyFont="1" applyFill="1" applyBorder="1" applyAlignment="1"/>
    <xf numFmtId="165" fontId="16" fillId="15" borderId="19" xfId="0" applyNumberFormat="1" applyFont="1" applyFill="1" applyBorder="1" applyAlignment="1"/>
    <xf numFmtId="165" fontId="16" fillId="15" borderId="19" xfId="0" applyNumberFormat="1" applyFont="1" applyFill="1" applyBorder="1"/>
    <xf numFmtId="3" fontId="16" fillId="15" borderId="19" xfId="0" applyNumberFormat="1" applyFont="1" applyFill="1" applyBorder="1" applyAlignment="1"/>
    <xf numFmtId="0" fontId="16" fillId="0" borderId="17" xfId="0" applyFont="1" applyBorder="1" applyAlignment="1"/>
    <xf numFmtId="0" fontId="16" fillId="0" borderId="18" xfId="0" applyFont="1" applyBorder="1" applyAlignment="1"/>
    <xf numFmtId="168" fontId="16" fillId="0" borderId="19" xfId="0" applyNumberFormat="1" applyFont="1" applyBorder="1" applyAlignment="1"/>
    <xf numFmtId="0" fontId="20" fillId="23" borderId="18" xfId="0" applyFont="1" applyFill="1" applyBorder="1" applyAlignment="1">
      <alignment horizontal="right"/>
    </xf>
    <xf numFmtId="164" fontId="16" fillId="15" borderId="19" xfId="0" applyNumberFormat="1" applyFont="1" applyFill="1" applyBorder="1" applyAlignment="1"/>
    <xf numFmtId="166" fontId="20" fillId="4" borderId="19" xfId="0" applyNumberFormat="1" applyFont="1" applyFill="1" applyBorder="1" applyAlignment="1">
      <alignment horizontal="right" wrapText="1"/>
    </xf>
    <xf numFmtId="168" fontId="16" fillId="15" borderId="19" xfId="0" applyNumberFormat="1" applyFont="1" applyFill="1" applyBorder="1" applyAlignment="1"/>
    <xf numFmtId="0" fontId="20" fillId="10" borderId="18" xfId="0" applyFont="1" applyFill="1" applyBorder="1" applyAlignment="1">
      <alignment horizontal="right"/>
    </xf>
    <xf numFmtId="164" fontId="20" fillId="15" borderId="19" xfId="0" applyNumberFormat="1" applyFont="1" applyFill="1" applyBorder="1" applyAlignment="1">
      <alignment horizontal="right"/>
    </xf>
    <xf numFmtId="166" fontId="20" fillId="15" borderId="19" xfId="0" applyNumberFormat="1" applyFont="1" applyFill="1" applyBorder="1" applyAlignment="1">
      <alignment horizontal="right"/>
    </xf>
    <xf numFmtId="165" fontId="20" fillId="0" borderId="19" xfId="0" applyNumberFormat="1" applyFont="1" applyBorder="1" applyAlignment="1">
      <alignment horizontal="right"/>
    </xf>
    <xf numFmtId="168" fontId="20" fillId="6" borderId="19" xfId="0" applyNumberFormat="1" applyFont="1" applyFill="1" applyBorder="1" applyAlignment="1">
      <alignment horizontal="right"/>
    </xf>
    <xf numFmtId="164" fontId="16" fillId="0" borderId="19" xfId="0" applyNumberFormat="1" applyFont="1" applyBorder="1" applyAlignment="1"/>
    <xf numFmtId="166" fontId="16" fillId="0" borderId="19" xfId="0" applyNumberFormat="1" applyFont="1" applyBorder="1" applyAlignment="1"/>
    <xf numFmtId="0" fontId="16" fillId="0" borderId="43" xfId="0" applyFont="1" applyBorder="1" applyAlignment="1"/>
    <xf numFmtId="0" fontId="22" fillId="0" borderId="44" xfId="0" applyFont="1" applyBorder="1" applyAlignment="1"/>
    <xf numFmtId="0" fontId="16" fillId="0" borderId="44" xfId="0" applyFont="1" applyBorder="1" applyAlignment="1"/>
    <xf numFmtId="0" fontId="20" fillId="0" borderId="46" xfId="0" applyFont="1" applyBorder="1" applyAlignment="1">
      <alignment horizontal="center"/>
    </xf>
    <xf numFmtId="164" fontId="16" fillId="0" borderId="46" xfId="0" applyNumberFormat="1" applyFont="1" applyBorder="1" applyAlignment="1"/>
    <xf numFmtId="166" fontId="20" fillId="4" borderId="46" xfId="0" applyNumberFormat="1" applyFont="1" applyFill="1" applyBorder="1" applyAlignment="1">
      <alignment horizontal="right" wrapText="1"/>
    </xf>
    <xf numFmtId="165" fontId="16" fillId="0" borderId="46" xfId="0" applyNumberFormat="1" applyFont="1" applyBorder="1" applyAlignment="1"/>
    <xf numFmtId="168" fontId="16" fillId="0" borderId="46" xfId="0" applyNumberFormat="1" applyFont="1" applyBorder="1" applyAlignment="1"/>
    <xf numFmtId="0" fontId="18" fillId="0" borderId="46" xfId="0" applyFont="1" applyBorder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vertical="center"/>
    </xf>
    <xf numFmtId="165" fontId="1" fillId="15" borderId="20" xfId="0" applyNumberFormat="1" applyFont="1" applyFill="1" applyBorder="1" applyAlignment="1"/>
    <xf numFmtId="165" fontId="1" fillId="15" borderId="20" xfId="0" applyNumberFormat="1" applyFont="1" applyFill="1" applyBorder="1" applyAlignment="1">
      <alignment horizontal="left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64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69" fontId="2" fillId="4" borderId="19" xfId="0" applyNumberFormat="1" applyFont="1" applyFill="1" applyBorder="1" applyAlignment="1">
      <alignment horizontal="right" vertical="center" wrapText="1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20" fillId="15" borderId="18" xfId="0" applyFont="1" applyFill="1" applyBorder="1" applyAlignment="1"/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65" fontId="1" fillId="5" borderId="5" xfId="0" applyNumberFormat="1" applyFont="1" applyFill="1" applyBorder="1" applyAlignment="1">
      <alignment horizontal="center" vertical="center" wrapText="1"/>
    </xf>
    <xf numFmtId="165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7" fillId="32" borderId="51" xfId="0" applyFont="1" applyFill="1" applyBorder="1" applyAlignment="1"/>
    <xf numFmtId="0" fontId="3" fillId="0" borderId="51" xfId="0" applyFont="1" applyBorder="1"/>
    <xf numFmtId="0" fontId="19" fillId="15" borderId="18" xfId="0" applyFont="1" applyFill="1" applyBorder="1" applyAlignment="1"/>
    <xf numFmtId="0" fontId="21" fillId="22" borderId="18" xfId="0" applyFont="1" applyFill="1" applyBorder="1" applyAlignment="1"/>
    <xf numFmtId="0" fontId="20" fillId="23" borderId="18" xfId="0" applyFont="1" applyFill="1" applyBorder="1" applyAlignment="1"/>
    <xf numFmtId="0" fontId="20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zoomScale="80" zoomScaleNormal="80" workbookViewId="0">
      <pane ySplit="6" topLeftCell="A7" activePane="bottomLeft" state="frozen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7.5703125" bestFit="1" customWidth="1"/>
    <col min="10" max="10" width="15.85546875" customWidth="1"/>
    <col min="11" max="11" width="10.140625" customWidth="1"/>
    <col min="12" max="12" width="21.14062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1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119546042.94</v>
      </c>
      <c r="M8" s="25">
        <f t="shared" ca="1" si="0"/>
        <v>67497199.439999998</v>
      </c>
      <c r="N8" s="25">
        <f t="shared" ca="1" si="0"/>
        <v>67582730.049999997</v>
      </c>
      <c r="O8" s="24">
        <f t="shared" ref="O8:O16" ca="1" si="1">IF(L8&gt;0,N8*100/L8,0)</f>
        <v>56.532803920510929</v>
      </c>
      <c r="P8" s="24">
        <f t="shared" ref="P8:P16" ca="1" si="2">IF(M8&gt;0,N8*100/M8,0)</f>
        <v>100.12671727228629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119546042.94</v>
      </c>
      <c r="M10" s="32">
        <f t="shared" ca="1" si="4"/>
        <v>67497199.439999998</v>
      </c>
      <c r="N10" s="32">
        <f t="shared" ca="1" si="4"/>
        <v>67582730.049999997</v>
      </c>
      <c r="O10" s="31">
        <f t="shared" ca="1" si="1"/>
        <v>56.532803920510929</v>
      </c>
      <c r="P10" s="31">
        <f t="shared" ca="1" si="2"/>
        <v>100.12671727228629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98423824</v>
      </c>
      <c r="M12" s="41">
        <f t="shared" ca="1" si="6"/>
        <v>46374980.5</v>
      </c>
      <c r="N12" s="41">
        <f t="shared" ca="1" si="6"/>
        <v>47260511.109999999</v>
      </c>
      <c r="O12" s="41">
        <f t="shared" ca="1" si="1"/>
        <v>48.017349041427202</v>
      </c>
      <c r="P12" s="41">
        <f t="shared" ca="1" si="2"/>
        <v>101.90950077057175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35134700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63289124</v>
      </c>
      <c r="M14" s="41">
        <f t="shared" si="8"/>
        <v>0</v>
      </c>
      <c r="N14" s="41">
        <f t="shared" ca="1" si="8"/>
        <v>14389450.939999998</v>
      </c>
      <c r="O14" s="41">
        <f t="shared" ca="1" si="1"/>
        <v>22.736056419425235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21122218.939999998</v>
      </c>
      <c r="M16" s="41">
        <f t="shared" ca="1" si="10"/>
        <v>21122218.939999998</v>
      </c>
      <c r="N16" s="41">
        <f t="shared" ca="1" si="10"/>
        <v>20322218.939999998</v>
      </c>
      <c r="O16" s="52">
        <f t="shared" ca="1" si="1"/>
        <v>96.212519137915919</v>
      </c>
      <c r="P16" s="52">
        <f t="shared" ca="1" si="2"/>
        <v>96.212519137915919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79382058.939999998</v>
      </c>
      <c r="M18" s="25">
        <f t="shared" ca="1" si="11"/>
        <v>67497199.439999998</v>
      </c>
      <c r="N18" s="25">
        <f t="shared" ca="1" si="11"/>
        <v>53193279.109999999</v>
      </c>
      <c r="O18" s="24">
        <f t="shared" ref="O18:O26" ca="1" si="12">IF(L18&gt;0,N18*100/L18,0)</f>
        <v>67.009195554130841</v>
      </c>
      <c r="P18" s="24">
        <f t="shared" ref="P18:P26" ca="1" si="13">IF(M18&gt;0,N18*100/M18,0)</f>
        <v>78.808127672444954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79382058.939999998</v>
      </c>
      <c r="M20" s="32">
        <f t="shared" ca="1" si="15"/>
        <v>67497199.439999998</v>
      </c>
      <c r="N20" s="32">
        <f t="shared" ca="1" si="15"/>
        <v>53193279.109999999</v>
      </c>
      <c r="O20" s="31">
        <f t="shared" ca="1" si="12"/>
        <v>67.009195554130841</v>
      </c>
      <c r="P20" s="31">
        <f t="shared" ca="1" si="13"/>
        <v>78.808127672444954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si="12"/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7">L45+L57+L70+L98+L122+L144+L224+L254+L275+L294+L314+L333</f>
        <v>58259840</v>
      </c>
      <c r="M22" s="44">
        <f t="shared" ca="1" si="17"/>
        <v>46374980.5</v>
      </c>
      <c r="N22" s="41">
        <f t="shared" ca="1" si="17"/>
        <v>32871060.170000006</v>
      </c>
      <c r="O22" s="41">
        <f t="shared" ca="1" si="12"/>
        <v>56.421473471262544</v>
      </c>
      <c r="P22" s="41">
        <f t="shared" ca="1" si="13"/>
        <v>70.881022084742455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8">L46+L58+L71+L99+L123+L145+L225+L255+L276+L295+L315+L334</f>
        <v>35134700</v>
      </c>
      <c r="M23" s="44">
        <f t="shared" si="18"/>
        <v>0</v>
      </c>
      <c r="N23" s="41">
        <f t="shared" si="18"/>
        <v>0</v>
      </c>
      <c r="O23" s="41">
        <f t="shared" ca="1" si="12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19">L47+L59+L72+L100+L124+L146+L226+L256+L277+L296+L316+L335</f>
        <v>23125140</v>
      </c>
      <c r="M24" s="44">
        <f t="shared" si="19"/>
        <v>0</v>
      </c>
      <c r="N24" s="41">
        <f t="shared" si="19"/>
        <v>0</v>
      </c>
      <c r="O24" s="41">
        <f t="shared" ca="1" si="12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0">L48+L60+L73+L101+L125+L147+L227+L257+L278+L297+L317+L336</f>
        <v>0</v>
      </c>
      <c r="M25" s="44">
        <f t="shared" si="20"/>
        <v>0</v>
      </c>
      <c r="N25" s="44">
        <f t="shared" si="20"/>
        <v>0</v>
      </c>
      <c r="O25" s="44">
        <f t="shared" si="12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1">L49+L61+L74+L102+L126+L148+L228+L258+L279+L298+L318+L337</f>
        <v>21122218.939999998</v>
      </c>
      <c r="M26" s="52">
        <f t="shared" ca="1" si="21"/>
        <v>21122218.939999998</v>
      </c>
      <c r="N26" s="52">
        <f t="shared" ca="1" si="21"/>
        <v>20322218.939999998</v>
      </c>
      <c r="O26" s="52">
        <f t="shared" ca="1" si="12"/>
        <v>96.212519137915919</v>
      </c>
      <c r="P26" s="52">
        <f t="shared" ca="1" si="13"/>
        <v>96.212519137915919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2">L29+L30</f>
        <v>40163984</v>
      </c>
      <c r="M28" s="25">
        <f t="shared" si="22"/>
        <v>0</v>
      </c>
      <c r="N28" s="25">
        <f t="shared" ca="1" si="22"/>
        <v>14389450.939999998</v>
      </c>
      <c r="O28" s="24">
        <f t="shared" ref="O28:O30" ca="1" si="23">IF(L28&gt;0,N28*100/L28,0)</f>
        <v>35.826751997510996</v>
      </c>
      <c r="P28" s="24">
        <f t="shared" ref="P28:P37" si="24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5">L31+L35</f>
        <v>0</v>
      </c>
      <c r="M29" s="32">
        <f t="shared" si="25"/>
        <v>0</v>
      </c>
      <c r="N29" s="32">
        <f t="shared" ca="1" si="25"/>
        <v>0</v>
      </c>
      <c r="O29" s="31">
        <f t="shared" ca="1" si="23"/>
        <v>0</v>
      </c>
      <c r="P29" s="31">
        <f t="shared" si="24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6">L32+L36</f>
        <v>40163984</v>
      </c>
      <c r="M30" s="32">
        <f t="shared" si="26"/>
        <v>0</v>
      </c>
      <c r="N30" s="32">
        <f t="shared" ca="1" si="26"/>
        <v>14389450.939999998</v>
      </c>
      <c r="O30" s="31">
        <f t="shared" ca="1" si="23"/>
        <v>35.826751997510996</v>
      </c>
      <c r="P30" s="31">
        <f t="shared" si="24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7">L351+L382+L403+L436+L456+L534+L552+L565+L581+L598</f>
        <v>0</v>
      </c>
      <c r="M31" s="41">
        <f t="shared" si="27"/>
        <v>0</v>
      </c>
      <c r="N31" s="41">
        <f t="shared" ca="1" si="27"/>
        <v>0</v>
      </c>
      <c r="O31" s="41">
        <f t="shared" ref="O31:O37" ca="1" si="28">IF(L31&gt;0,N31*100/L31,0)</f>
        <v>0</v>
      </c>
      <c r="P31" s="41">
        <f t="shared" si="24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29">L352+L383+L404+L437+L457+L535+L553+L566+L582+L599</f>
        <v>40163984</v>
      </c>
      <c r="M32" s="41">
        <f t="shared" si="29"/>
        <v>0</v>
      </c>
      <c r="N32" s="41">
        <f t="shared" ca="1" si="29"/>
        <v>14389450.939999998</v>
      </c>
      <c r="O32" s="41">
        <f t="shared" ca="1" si="28"/>
        <v>35.826751997510996</v>
      </c>
      <c r="P32" s="41">
        <f t="shared" si="24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8"/>
        <v>0</v>
      </c>
      <c r="P33" s="41">
        <f t="shared" si="24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1">L354+L385+L406+L439+L459+L537+L555+L568+L584+L601</f>
        <v>40163984</v>
      </c>
      <c r="M34" s="41">
        <f t="shared" si="31"/>
        <v>0</v>
      </c>
      <c r="N34" s="41">
        <f t="shared" ca="1" si="31"/>
        <v>14389450.939999998</v>
      </c>
      <c r="O34" s="41">
        <f t="shared" ca="1" si="28"/>
        <v>35.826751997510996</v>
      </c>
      <c r="P34" s="41">
        <f t="shared" si="24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8"/>
        <v>0</v>
      </c>
      <c r="P35" s="44">
        <f t="shared" si="24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8"/>
        <v>0</v>
      </c>
      <c r="P36" s="52">
        <f t="shared" si="24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2">L41+L53+L66+L94+L118+L140+L220+L250+L271+L290+L310+L329</f>
        <v>79382058.939999998</v>
      </c>
      <c r="M37" s="57">
        <f t="shared" ca="1" si="32"/>
        <v>67497199.439999998</v>
      </c>
      <c r="N37" s="57">
        <f t="shared" ca="1" si="32"/>
        <v>53193279.109999999</v>
      </c>
      <c r="O37" s="58">
        <f t="shared" ca="1" si="28"/>
        <v>67.009195554130841</v>
      </c>
      <c r="P37" s="58">
        <f t="shared" ca="1" si="24"/>
        <v>78.808127672444954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3">L42+L43</f>
        <v>28036729.699999999</v>
      </c>
      <c r="M41" s="81">
        <f t="shared" ca="1" si="33"/>
        <v>24949583.699999999</v>
      </c>
      <c r="N41" s="81">
        <f t="shared" ca="1" si="33"/>
        <v>21793618.359999999</v>
      </c>
      <c r="O41" s="80">
        <f t="shared" ref="O41:O43" ca="1" si="34">IF(L41&gt;0,N41*100/L41,0)</f>
        <v>77.732383887839816</v>
      </c>
      <c r="P41" s="80">
        <f t="shared" ref="P41:P43" ca="1" si="35">IF(M41&gt;0,N41*100/M41,0)</f>
        <v>87.350629261200865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6">L44+L48</f>
        <v>0</v>
      </c>
      <c r="M42" s="81">
        <f t="shared" si="36"/>
        <v>0</v>
      </c>
      <c r="N42" s="81">
        <f t="shared" si="36"/>
        <v>0</v>
      </c>
      <c r="O42" s="80">
        <f t="shared" si="34"/>
        <v>0</v>
      </c>
      <c r="P42" s="80">
        <f t="shared" si="35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7">L45+L49</f>
        <v>28036729.699999999</v>
      </c>
      <c r="M43" s="81">
        <f t="shared" ca="1" si="37"/>
        <v>24949583.699999999</v>
      </c>
      <c r="N43" s="81">
        <f t="shared" ca="1" si="37"/>
        <v>21793618.359999999</v>
      </c>
      <c r="O43" s="80">
        <f t="shared" ca="1" si="34"/>
        <v>77.732383887839816</v>
      </c>
      <c r="P43" s="80">
        <f t="shared" ca="1" si="35"/>
        <v>87.350629261200865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90"/>
      <c r="N44" s="89"/>
      <c r="O44" s="89"/>
      <c r="P44" s="89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12766200</v>
      </c>
      <c r="M45" s="52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9679054</v>
      </c>
      <c r="N45" s="52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7323088.6600000001</v>
      </c>
      <c r="O45" s="41">
        <f ca="1">IF(L45&gt;0,N45*100/L45,0)</f>
        <v>57.36310460434585</v>
      </c>
      <c r="P45" s="41">
        <f ca="1">IF(M45&gt;0,N45*100/M45,0)</f>
        <v>75.659136316421012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12766200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15270529.699999999</v>
      </c>
      <c r="M49" s="52">
        <f ca="1">กำแพงเพชร!M49+เชียงราย!M49+เชียงใหม่!M49+ตาก!M49+นครสวรรค์!M49+น่าน!M49+พะเยา!M49+พิจิตร!M49+พิษณุโลก!M49+เพชรบูรณ์!M49+แพร่!M49+แม่ฮ่องสอน!M49+ลำปาง!M49+ลำพูน!M49+สุโขทัย!M49+อุตรดิตถ์!M49+อุทัยธานี!M49</f>
        <v>15270529.699999999</v>
      </c>
      <c r="N49" s="52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14470529.699999999</v>
      </c>
      <c r="O49" s="52">
        <f ca="1">IF(L49&gt;0,N49*100/L49,0)</f>
        <v>94.761150950775473</v>
      </c>
      <c r="P49" s="52">
        <f ca="1">IF(M49&gt;0,N49*100/M49,0)</f>
        <v>94.761150950775473</v>
      </c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8">L54+L55</f>
        <v>8935700</v>
      </c>
      <c r="M53" s="123">
        <f t="shared" ca="1" si="38"/>
        <v>7167476.5</v>
      </c>
      <c r="N53" s="123">
        <f t="shared" ca="1" si="38"/>
        <v>5779737.7799999993</v>
      </c>
      <c r="O53" s="122">
        <f t="shared" ref="O53:O55" ca="1" si="39">IF(L53&gt;0,N53*100/L53,0)</f>
        <v>64.681421489083107</v>
      </c>
      <c r="P53" s="122">
        <f t="shared" ref="P53:P55" ca="1" si="40">IF(M53&gt;0,N53*100/M53,0)</f>
        <v>80.638391768706867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1">L56+L60</f>
        <v>0</v>
      </c>
      <c r="M54" s="123">
        <f t="shared" si="41"/>
        <v>0</v>
      </c>
      <c r="N54" s="123">
        <f t="shared" si="41"/>
        <v>0</v>
      </c>
      <c r="O54" s="122">
        <f t="shared" si="39"/>
        <v>0</v>
      </c>
      <c r="P54" s="122">
        <f t="shared" si="40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2">L57+L61</f>
        <v>8935700</v>
      </c>
      <c r="M55" s="123">
        <f t="shared" ca="1" si="42"/>
        <v>7167476.5</v>
      </c>
      <c r="N55" s="123">
        <f t="shared" ca="1" si="42"/>
        <v>5779737.7799999993</v>
      </c>
      <c r="O55" s="122">
        <f t="shared" ca="1" si="39"/>
        <v>64.681421489083107</v>
      </c>
      <c r="P55" s="122">
        <f t="shared" ca="1" si="40"/>
        <v>80.638391768706867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89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90"/>
      <c r="N56" s="89"/>
      <c r="O56" s="89"/>
      <c r="P56" s="89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8935700</v>
      </c>
      <c r="M57" s="52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7167476.5</v>
      </c>
      <c r="N57" s="52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5779737.7799999993</v>
      </c>
      <c r="O57" s="41">
        <f ca="1">IF(L57&gt;0,N57*100/L57,0)</f>
        <v>64.681421489083107</v>
      </c>
      <c r="P57" s="41">
        <f ca="1">IF(M57&gt;0,N57*100/M57,0)</f>
        <v>80.638391768706867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8935700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52"/>
      <c r="N61" s="52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4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13</v>
      </c>
      <c r="K64" s="145">
        <f t="shared" ref="K64:K65" ca="1" si="43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4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646</v>
      </c>
      <c r="K65" s="145">
        <f t="shared" ca="1" si="43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10776374.24</v>
      </c>
      <c r="M66" s="154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9773714.2400000002</v>
      </c>
      <c r="N66" s="154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7416978.3999999994</v>
      </c>
      <c r="O66" s="153">
        <f t="shared" ref="O66:O68" ca="1" si="44">IF(L66&gt;0,N66*100/L66,0)</f>
        <v>68.82628827485857</v>
      </c>
      <c r="P66" s="153">
        <f t="shared" ref="P66:P68" ca="1" si="45">IF(M66&gt;0,N66*100/M66,0)</f>
        <v>75.8869987178999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90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90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8">
        <f t="shared" si="44"/>
        <v>0</v>
      </c>
      <c r="P67" s="158">
        <f t="shared" si="45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10776374.24</v>
      </c>
      <c r="M68" s="90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9773714.2400000002</v>
      </c>
      <c r="N68" s="90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7416978.3999999994</v>
      </c>
      <c r="O68" s="158">
        <f t="shared" ca="1" si="44"/>
        <v>68.82628827485857</v>
      </c>
      <c r="P68" s="158">
        <f t="shared" ca="1" si="45"/>
        <v>75.8869987178999</v>
      </c>
    </row>
    <row r="69" spans="1:16" ht="21.75" customHeight="1">
      <c r="A69" s="159"/>
      <c r="B69" s="160"/>
      <c r="C69" s="160" t="s">
        <v>16</v>
      </c>
      <c r="D69" s="36" t="s">
        <v>20</v>
      </c>
      <c r="E69" s="161"/>
      <c r="F69" s="161"/>
      <c r="G69" s="162" t="s">
        <v>38</v>
      </c>
      <c r="H69" s="163" t="s">
        <v>12</v>
      </c>
      <c r="I69" s="164" t="s">
        <v>39</v>
      </c>
      <c r="J69" s="164"/>
      <c r="K69" s="165"/>
      <c r="L69" s="166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6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6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7166900</v>
      </c>
      <c r="M70" s="169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6164240</v>
      </c>
      <c r="N70" s="170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3807504.16</v>
      </c>
      <c r="O70" s="170">
        <f ca="1">IF(L70&gt;0,N70*100/L70,0)</f>
        <v>53.126235331872913</v>
      </c>
      <c r="P70" s="170">
        <f ca="1">IF(M70&gt;0,N70*100/M70,0)</f>
        <v>61.767617094727008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5920200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3609474.24</v>
      </c>
      <c r="M74" s="52">
        <f ca="1"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3609474.24</v>
      </c>
      <c r="N74" s="52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3609474.24</v>
      </c>
      <c r="O74" s="52">
        <f ca="1">IF(L74&gt;0,N74*100/L74,0)</f>
        <v>100</v>
      </c>
      <c r="P74" s="52">
        <f ca="1">IF(M74&gt;0,N74*100/M74,0)</f>
        <v>100</v>
      </c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10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2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13</v>
      </c>
      <c r="K80" s="203">
        <f t="shared" ref="K80:K88" ca="1" si="46">IF(I80&gt;0,J80*100/I80,0)</f>
        <v>100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2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646</v>
      </c>
      <c r="K81" s="203">
        <f t="shared" ca="1" si="46"/>
        <v>100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05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4</v>
      </c>
      <c r="K82" s="165">
        <f t="shared" ca="1" si="46"/>
        <v>100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05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155</v>
      </c>
      <c r="K83" s="165">
        <f t="shared" ca="1" si="46"/>
        <v>100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90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3</v>
      </c>
      <c r="K84" s="165">
        <f t="shared" ca="1" si="46"/>
        <v>100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90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150</v>
      </c>
      <c r="K85" s="165">
        <f t="shared" ca="1" si="46"/>
        <v>100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05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6</v>
      </c>
      <c r="K86" s="165">
        <f t="shared" ca="1" si="46"/>
        <v>100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05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341</v>
      </c>
      <c r="K87" s="165">
        <f t="shared" ca="1" si="46"/>
        <v>100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155</v>
      </c>
      <c r="J88" s="205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60</v>
      </c>
      <c r="K88" s="165">
        <f t="shared" ca="1" si="46"/>
        <v>38.70967741935484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4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38</v>
      </c>
      <c r="K92" s="145">
        <f t="shared" ref="K92:K93" ca="1" si="47">IF(I92&gt;0,J92*100/I92,0)</f>
        <v>77.551020408163268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4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13</v>
      </c>
      <c r="K93" s="145">
        <f t="shared" ca="1" si="47"/>
        <v>100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2455575</v>
      </c>
      <c r="M94" s="154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2255125</v>
      </c>
      <c r="N94" s="154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1641924.5</v>
      </c>
      <c r="O94" s="153">
        <f t="shared" ref="O94:O96" ca="1" si="48">IF(L94&gt;0,N94*100/L94,0)</f>
        <v>66.865174144548632</v>
      </c>
      <c r="P94" s="153">
        <f t="shared" ref="P94:P96" ca="1" si="49">IF(M94&gt;0,N94*100/M94,0)</f>
        <v>72.808580455628842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90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90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8">
        <f t="shared" si="48"/>
        <v>0</v>
      </c>
      <c r="P95" s="158">
        <f t="shared" si="49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2455575</v>
      </c>
      <c r="M96" s="90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2255125</v>
      </c>
      <c r="N96" s="90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1641924.5</v>
      </c>
      <c r="O96" s="158">
        <f t="shared" ca="1" si="48"/>
        <v>66.865174144548632</v>
      </c>
      <c r="P96" s="158">
        <f t="shared" ca="1" si="49"/>
        <v>72.808580455628842</v>
      </c>
    </row>
    <row r="97" spans="1:16" ht="21.75" customHeight="1">
      <c r="A97" s="159"/>
      <c r="B97" s="160"/>
      <c r="C97" s="160" t="s">
        <v>16</v>
      </c>
      <c r="D97" s="36" t="s">
        <v>20</v>
      </c>
      <c r="E97" s="161"/>
      <c r="F97" s="161"/>
      <c r="G97" s="162" t="s">
        <v>38</v>
      </c>
      <c r="H97" s="163" t="s">
        <v>12</v>
      </c>
      <c r="I97" s="164" t="s">
        <v>39</v>
      </c>
      <c r="J97" s="164"/>
      <c r="K97" s="165"/>
      <c r="L97" s="166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6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6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1257180</v>
      </c>
      <c r="M98" s="169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1056730</v>
      </c>
      <c r="N98" s="170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443529.5</v>
      </c>
      <c r="O98" s="170">
        <f ca="1">IF(L98&gt;0,N98*100/L98,0)</f>
        <v>35.279713326651709</v>
      </c>
      <c r="P98" s="170">
        <f ca="1">IF(M98&gt;0,N98*100/M98,0)</f>
        <v>41.971884965885323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1257180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1198395</v>
      </c>
      <c r="M102" s="52">
        <f ca="1"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1198395</v>
      </c>
      <c r="N102" s="52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1198395</v>
      </c>
      <c r="O102" s="52">
        <f ca="1">IF(L102&gt;0,N102*100/L102,0)</f>
        <v>100</v>
      </c>
      <c r="P102" s="52">
        <f ca="1">IF(M102&gt;0,N102*100/M102,0)</f>
        <v>100</v>
      </c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10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10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05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10</v>
      </c>
      <c r="K108" s="225">
        <f t="shared" ref="K108:K113" ca="1" si="50">IF(I108&gt;0,J108*100/I108,0)</f>
        <v>100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05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38</v>
      </c>
      <c r="K109" s="225">
        <f t="shared" ca="1" si="50"/>
        <v>77.551020408163268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05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25">
        <f t="shared" ca="1" si="50"/>
        <v>100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05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38</v>
      </c>
      <c r="K111" s="225">
        <f t="shared" ca="1" si="50"/>
        <v>77.551020408163268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05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42</v>
      </c>
      <c r="K112" s="225">
        <f t="shared" ca="1" si="50"/>
        <v>85.714285714285708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05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13</v>
      </c>
      <c r="K113" s="225">
        <f t="shared" ca="1" si="50"/>
        <v>100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4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200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824400</v>
      </c>
      <c r="M118" s="154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824400</v>
      </c>
      <c r="N118" s="154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565118.6</v>
      </c>
      <c r="O118" s="153">
        <f t="shared" ref="O118:O120" ca="1" si="51">IF(L118&gt;0,N118*100/L118,0)</f>
        <v>68.54907811741873</v>
      </c>
      <c r="P118" s="153">
        <f t="shared" ref="P118:P120" ca="1" si="52">IF(M118&gt;0,N118*100/M118,0)</f>
        <v>68.54907811741873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90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90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8">
        <f t="shared" si="51"/>
        <v>0</v>
      </c>
      <c r="P119" s="158">
        <f t="shared" si="52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824400</v>
      </c>
      <c r="M120" s="90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824400</v>
      </c>
      <c r="N120" s="90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565118.6</v>
      </c>
      <c r="O120" s="158">
        <f t="shared" ca="1" si="51"/>
        <v>68.54907811741873</v>
      </c>
      <c r="P120" s="158">
        <f t="shared" ca="1" si="52"/>
        <v>68.54907811741873</v>
      </c>
    </row>
    <row r="121" spans="1:16" ht="21.75" customHeight="1">
      <c r="A121" s="159"/>
      <c r="B121" s="160"/>
      <c r="C121" s="160" t="s">
        <v>16</v>
      </c>
      <c r="D121" s="36" t="s">
        <v>20</v>
      </c>
      <c r="E121" s="161"/>
      <c r="F121" s="161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6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6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824400</v>
      </c>
      <c r="M122" s="169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824400</v>
      </c>
      <c r="N122" s="170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565118.6</v>
      </c>
      <c r="O122" s="170">
        <f ca="1">IF(L122&gt;0,N122*100/L122,0)</f>
        <v>68.54907811741873</v>
      </c>
      <c r="P122" s="170">
        <f ca="1">IF(M122&gt;0,N122*100/M122,0)</f>
        <v>68.54907811741873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824400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52"/>
      <c r="N126" s="52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68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10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10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9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05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200</v>
      </c>
      <c r="K132" s="225">
        <f t="shared" ref="K132:K133" ca="1" si="53">IF(I132&gt;0,J132*100/I132,0)</f>
        <v>100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05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210</v>
      </c>
      <c r="K133" s="225">
        <f t="shared" ca="1" si="53"/>
        <v>105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8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5884000</v>
      </c>
      <c r="M140" s="154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4730730</v>
      </c>
      <c r="N140" s="154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3405686.9499999997</v>
      </c>
      <c r="O140" s="153">
        <f t="shared" ref="O140:O142" ca="1" si="54">IF(L140&gt;0,N140*100/L140,0)</f>
        <v>57.880471617946974</v>
      </c>
      <c r="P140" s="153">
        <f t="shared" ref="P140:P142" ca="1" si="55">IF(M140&gt;0,N140*100/M140,0)</f>
        <v>71.990727646684547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90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90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8">
        <f t="shared" si="54"/>
        <v>0</v>
      </c>
      <c r="P141" s="158">
        <f t="shared" si="55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5884000</v>
      </c>
      <c r="M142" s="90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4730730</v>
      </c>
      <c r="N142" s="90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3405686.9499999997</v>
      </c>
      <c r="O142" s="158">
        <f t="shared" ca="1" si="54"/>
        <v>57.880471617946974</v>
      </c>
      <c r="P142" s="158">
        <f t="shared" ca="1" si="55"/>
        <v>71.990727646684547</v>
      </c>
    </row>
    <row r="143" spans="1:16" ht="21.75" customHeight="1">
      <c r="A143" s="159"/>
      <c r="B143" s="160"/>
      <c r="C143" s="160" t="s">
        <v>16</v>
      </c>
      <c r="D143" s="36" t="s">
        <v>20</v>
      </c>
      <c r="E143" s="161"/>
      <c r="F143" s="161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6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6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5646000</v>
      </c>
      <c r="M144" s="169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4492730</v>
      </c>
      <c r="N144" s="170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3167686.9499999997</v>
      </c>
      <c r="O144" s="170">
        <f ca="1">IF(L144&gt;0,N144*100/L144,0)</f>
        <v>56.104976089266735</v>
      </c>
      <c r="P144" s="170">
        <f ca="1">IF(M144&gt;0,N144*100/M144,0)</f>
        <v>70.506951230098409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3413200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52">
        <f ca="1"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238000</v>
      </c>
      <c r="N148" s="52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52">
        <f ca="1">IF(L148&gt;0,N148*100/L148,0)</f>
        <v>100</v>
      </c>
      <c r="P148" s="52">
        <f ca="1">IF(M148&gt;0,N148*100/M148,0)</f>
        <v>100</v>
      </c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6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33</v>
      </c>
      <c r="K149" s="277">
        <f ca="1">IF(I149&gt;0,J149*100/I149,0)</f>
        <v>48.529411764705884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17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14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16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90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33</v>
      </c>
      <c r="K158" s="165">
        <f ca="1">IF(I158&gt;0,J158*100/I158,0)</f>
        <v>48.529411764705884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1261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1259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2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85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48</v>
      </c>
      <c r="K164" s="286">
        <f ca="1">IF(I164&gt;0,J164*100/I164,0)</f>
        <v>92.307692307692307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15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13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13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90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48</v>
      </c>
      <c r="K173" s="165">
        <f ca="1">IF(I173&gt;0,J173*100/I173,0)</f>
        <v>92.307692307692307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1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2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85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3</v>
      </c>
      <c r="K176" s="286">
        <f ca="1">IF(I176&gt;0,J176*100/I176,0)</f>
        <v>75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2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1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1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05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2</v>
      </c>
      <c r="K185" s="225">
        <f t="shared" ref="K185:K186" ca="1" si="56">IF(I185&gt;0,J185*100/I185,0)</f>
        <v>50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05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3</v>
      </c>
      <c r="K186" s="225">
        <f t="shared" ca="1" si="56"/>
        <v>75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1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85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3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14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10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9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90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644000</v>
      </c>
      <c r="K199" s="165">
        <f t="shared" ref="K199:K201" ca="1" si="57">IF(I199&gt;0,J199*100/I199,0)</f>
        <v>52.614379084967318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90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0</v>
      </c>
      <c r="K200" s="165">
        <f t="shared" ca="1" si="57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90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65">
        <f t="shared" ca="1" si="57"/>
        <v>100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85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05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380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89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05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0</v>
      </c>
      <c r="K215" s="225">
        <f t="shared" ref="K215:K216" ca="1" si="58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05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0</v>
      </c>
      <c r="K216" s="225">
        <f t="shared" ca="1" si="58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8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4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332510</v>
      </c>
      <c r="N220" s="154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306406</v>
      </c>
      <c r="O220" s="153">
        <f t="shared" ref="O220:O222" ca="1" si="59">IF(L220&gt;0,N220*100/L220,0)</f>
        <v>92.149409040329616</v>
      </c>
      <c r="P220" s="153">
        <f t="shared" ref="P220:P222" ca="1" si="60">IF(M220&gt;0,N220*100/M220,0)</f>
        <v>92.149409040329616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90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90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8">
        <f t="shared" si="59"/>
        <v>0</v>
      </c>
      <c r="P221" s="158">
        <f t="shared" si="60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90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332510</v>
      </c>
      <c r="N222" s="90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306406</v>
      </c>
      <c r="O222" s="158">
        <f t="shared" ca="1" si="59"/>
        <v>92.149409040329616</v>
      </c>
      <c r="P222" s="158">
        <f t="shared" ca="1" si="60"/>
        <v>92.149409040329616</v>
      </c>
    </row>
    <row r="223" spans="1:16" ht="21.75" customHeight="1">
      <c r="A223" s="159"/>
      <c r="B223" s="160"/>
      <c r="C223" s="160" t="s">
        <v>16</v>
      </c>
      <c r="D223" s="36" t="s">
        <v>20</v>
      </c>
      <c r="E223" s="161"/>
      <c r="F223" s="161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6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6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69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332510</v>
      </c>
      <c r="N224" s="170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306406</v>
      </c>
      <c r="O224" s="170">
        <f ca="1">IF(L224&gt;0,N224*100/L224,0)</f>
        <v>92.149409040329616</v>
      </c>
      <c r="P224" s="170">
        <f ca="1">IF(M224&gt;0,N224*100/M224,0)</f>
        <v>92.149409040329616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52"/>
      <c r="N228" s="52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8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11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12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13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90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20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5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8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IFERROR(__xludf.DUMMYFUNCTION("IMPORTRANGE(""https://docs.google.com/spreadsheets/d/1SX6NBoVAgQJ6U1MVXOaj8PK2l7WJ3RER9xtqwdhxkhw/edit?usp=sharing"",""กาญจนบุรี!J159"")"),"")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89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17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180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4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827500</v>
      </c>
      <c r="N250" s="154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621540.76</v>
      </c>
      <c r="O250" s="153">
        <f t="shared" ref="O250:O252" ca="1" si="61">IF(L250&gt;0,N250*100/L250,0)</f>
        <v>55.199001776198934</v>
      </c>
      <c r="P250" s="153">
        <f t="shared" ref="P250:P252" ca="1" si="62">IF(M250&gt;0,N250*100/M250,0)</f>
        <v>75.110665861027186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90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90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8">
        <f t="shared" si="61"/>
        <v>0</v>
      </c>
      <c r="P251" s="158">
        <f t="shared" si="62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90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827500</v>
      </c>
      <c r="N252" s="90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621540.76</v>
      </c>
      <c r="O252" s="158">
        <f t="shared" ca="1" si="61"/>
        <v>55.199001776198934</v>
      </c>
      <c r="P252" s="158">
        <f t="shared" ca="1" si="62"/>
        <v>75.110665861027186</v>
      </c>
    </row>
    <row r="253" spans="1:16" ht="21.75" customHeight="1">
      <c r="A253" s="159"/>
      <c r="B253" s="160"/>
      <c r="C253" s="160" t="s">
        <v>16</v>
      </c>
      <c r="D253" s="36" t="s">
        <v>20</v>
      </c>
      <c r="E253" s="161"/>
      <c r="F253" s="161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6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6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69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827500</v>
      </c>
      <c r="N254" s="170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621540.76</v>
      </c>
      <c r="O254" s="170">
        <f ca="1">IF(L254&gt;0,N254*100/L254,0)</f>
        <v>55.199001776198934</v>
      </c>
      <c r="P254" s="170">
        <f ca="1">IF(M254&gt;0,N254*100/M254,0)</f>
        <v>75.110665861027186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52"/>
      <c r="N258" s="52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8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8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7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90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8</v>
      </c>
      <c r="K264" s="165">
        <f t="shared" ref="K264:K267" ca="1" si="63">IF(I264&gt;0,J264*100/I264,0)</f>
        <v>100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90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180</v>
      </c>
      <c r="K265" s="165">
        <f t="shared" ca="1" si="63"/>
        <v>100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90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45</v>
      </c>
      <c r="K266" s="165">
        <f t="shared" ca="1" si="63"/>
        <v>25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90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7</v>
      </c>
      <c r="K267" s="165">
        <f t="shared" ca="1" si="63"/>
        <v>87.5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17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255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2476100</v>
      </c>
      <c r="M271" s="154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1837250</v>
      </c>
      <c r="N271" s="154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1303308.48</v>
      </c>
      <c r="O271" s="153">
        <f t="shared" ref="O271:O273" ca="1" si="64">IF(L271&gt;0,N271*100/L271,0)</f>
        <v>52.635534913775693</v>
      </c>
      <c r="P271" s="153">
        <f t="shared" ref="P271:P273" ca="1" si="65">IF(M271&gt;0,N271*100/M271,0)</f>
        <v>70.938004082188058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90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90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8">
        <f t="shared" si="64"/>
        <v>0</v>
      </c>
      <c r="P272" s="158">
        <f t="shared" si="6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2476100</v>
      </c>
      <c r="M273" s="90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1837250</v>
      </c>
      <c r="N273" s="90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1303308.48</v>
      </c>
      <c r="O273" s="158">
        <f t="shared" ca="1" si="64"/>
        <v>52.635534913775693</v>
      </c>
      <c r="P273" s="158">
        <f t="shared" ca="1" si="65"/>
        <v>70.938004082188058</v>
      </c>
    </row>
    <row r="274" spans="1:16" ht="21.75" customHeight="1">
      <c r="A274" s="159"/>
      <c r="B274" s="160"/>
      <c r="C274" s="160" t="s">
        <v>16</v>
      </c>
      <c r="D274" s="36" t="s">
        <v>20</v>
      </c>
      <c r="E274" s="161"/>
      <c r="F274" s="161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6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6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2476100</v>
      </c>
      <c r="M275" s="169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1837250</v>
      </c>
      <c r="N275" s="170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1303308.48</v>
      </c>
      <c r="O275" s="170">
        <f ca="1">IF(L275&gt;0,N275*100/L275,0)</f>
        <v>52.635534913775693</v>
      </c>
      <c r="P275" s="170">
        <f ca="1">IF(M275&gt;0,N275*100/M275,0)</f>
        <v>70.938004082188058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1420100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2"/>
      <c r="N279" s="52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15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15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90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255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17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40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4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120760</v>
      </c>
      <c r="N290" s="154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50045</v>
      </c>
      <c r="O290" s="153">
        <f t="shared" ref="O290:O292" ca="1" si="66">IF(L290&gt;0,N290*100/L290,0)</f>
        <v>41.441702550513412</v>
      </c>
      <c r="P290" s="153">
        <f t="shared" ref="P290:P292" ca="1" si="67">IF(M290&gt;0,N290*100/M290,0)</f>
        <v>41.441702550513412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90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90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8">
        <f t="shared" si="66"/>
        <v>0</v>
      </c>
      <c r="P291" s="158">
        <f t="shared" si="67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90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120760</v>
      </c>
      <c r="N292" s="90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50045</v>
      </c>
      <c r="O292" s="158">
        <f t="shared" ca="1" si="66"/>
        <v>41.441702550513412</v>
      </c>
      <c r="P292" s="158">
        <f t="shared" ca="1" si="67"/>
        <v>41.441702550513412</v>
      </c>
    </row>
    <row r="293" spans="1:16" ht="21.75" customHeight="1">
      <c r="A293" s="159"/>
      <c r="B293" s="160"/>
      <c r="C293" s="160" t="s">
        <v>16</v>
      </c>
      <c r="D293" s="36" t="s">
        <v>20</v>
      </c>
      <c r="E293" s="161"/>
      <c r="F293" s="161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6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6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69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120760</v>
      </c>
      <c r="N294" s="170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50045</v>
      </c>
      <c r="O294" s="170">
        <f ca="1">IF(L294&gt;0,N294*100/L294,0)</f>
        <v>41.441702550513412</v>
      </c>
      <c r="P294" s="170">
        <f ca="1">IF(M294&gt;0,N294*100/M294,0)</f>
        <v>41.441702550513412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2"/>
      <c r="N298" s="52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05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40</v>
      </c>
      <c r="K304" s="225">
        <f ca="1">IF(I304&gt;0,J304*100/I304,0)</f>
        <v>100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05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34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4</v>
      </c>
      <c r="K309" s="335">
        <f ca="1">IF(I309&gt;0,J309*100/I309,0)</f>
        <v>50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772800</v>
      </c>
      <c r="M310" s="154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767200</v>
      </c>
      <c r="N310" s="154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438712.58999999997</v>
      </c>
      <c r="O310" s="153">
        <f t="shared" ref="O310:O312" ca="1" si="68">IF(L310&gt;0,N310*100/L310,0)</f>
        <v>56.769227484472047</v>
      </c>
      <c r="P310" s="153">
        <f t="shared" ref="P310:P312" ca="1" si="69">IF(M310&gt;0,N310*100/M310,0)</f>
        <v>57.183601407716374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90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90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8">
        <f t="shared" si="68"/>
        <v>0</v>
      </c>
      <c r="P311" s="158">
        <f t="shared" si="69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772800</v>
      </c>
      <c r="M312" s="90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767200</v>
      </c>
      <c r="N312" s="90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438712.58999999997</v>
      </c>
      <c r="O312" s="158">
        <f t="shared" ca="1" si="68"/>
        <v>56.769227484472047</v>
      </c>
      <c r="P312" s="158">
        <f t="shared" ca="1" si="69"/>
        <v>57.183601407716374</v>
      </c>
    </row>
    <row r="313" spans="1:16" ht="21.75" customHeight="1">
      <c r="A313" s="159"/>
      <c r="B313" s="160"/>
      <c r="C313" s="160" t="s">
        <v>16</v>
      </c>
      <c r="D313" s="36" t="s">
        <v>20</v>
      </c>
      <c r="E313" s="161"/>
      <c r="F313" s="161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6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6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772800</v>
      </c>
      <c r="M314" s="169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767200</v>
      </c>
      <c r="N314" s="170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438712.58999999997</v>
      </c>
      <c r="O314" s="170">
        <f ca="1">IF(L314&gt;0,N314*100/L314,0)</f>
        <v>56.769227484472047</v>
      </c>
      <c r="P314" s="170">
        <f ca="1">IF(M314&gt;0,N314*100/M314,0)</f>
        <v>57.183601407716374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772800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52"/>
      <c r="N318" s="52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3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3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05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4</v>
      </c>
      <c r="K324" s="225">
        <f ca="1">IF(I324&gt;0,J324*100/I324,0)</f>
        <v>50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7949</v>
      </c>
      <c r="J328" s="340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2740</v>
      </c>
      <c r="K328" s="318">
        <f ca="1">IF(I328&gt;0,J328*100/I328,0)</f>
        <v>34.469744621965027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17641110</v>
      </c>
      <c r="M329" s="154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13910950</v>
      </c>
      <c r="N329" s="154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9870201.6899999995</v>
      </c>
      <c r="O329" s="153">
        <f t="shared" ref="O329:O331" ca="1" si="70">IF(L329&gt;0,N329*100/L329,0)</f>
        <v>55.950003656232518</v>
      </c>
      <c r="P329" s="153">
        <f t="shared" ref="P329:P331" ca="1" si="71">IF(M329&gt;0,N329*100/M329,0)</f>
        <v>70.952750818599739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90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90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8">
        <f t="shared" si="70"/>
        <v>0</v>
      </c>
      <c r="P330" s="158">
        <f t="shared" si="71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17641110</v>
      </c>
      <c r="M331" s="90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13910950</v>
      </c>
      <c r="N331" s="90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9870201.6899999995</v>
      </c>
      <c r="O331" s="158">
        <f t="shared" ca="1" si="70"/>
        <v>55.950003656232518</v>
      </c>
      <c r="P331" s="158">
        <f t="shared" ca="1" si="71"/>
        <v>70.952750818599739</v>
      </c>
    </row>
    <row r="332" spans="1:16" ht="21.75" customHeight="1">
      <c r="A332" s="159"/>
      <c r="B332" s="160"/>
      <c r="C332" s="160" t="s">
        <v>16</v>
      </c>
      <c r="D332" s="36" t="s">
        <v>20</v>
      </c>
      <c r="E332" s="161"/>
      <c r="F332" s="161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6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6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16835290</v>
      </c>
      <c r="M333" s="169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13105130</v>
      </c>
      <c r="N333" s="170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9064381.6900000013</v>
      </c>
      <c r="O333" s="170">
        <f ca="1">IF(L333&gt;0,N333*100/L333,0)</f>
        <v>53.841553605551205</v>
      </c>
      <c r="P333" s="170">
        <f ca="1">IF(M333&gt;0,N333*100/M333,0)</f>
        <v>69.166667480597297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8201990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805820</v>
      </c>
      <c r="M337" s="52">
        <f ca="1">L337</f>
        <v>805820</v>
      </c>
      <c r="N337" s="52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52">
        <f ca="1">IF(L337&gt;0,N337*100/L337,0)</f>
        <v>100</v>
      </c>
      <c r="P337" s="52">
        <f ca="1">IF(M337&gt;0,N337*100/M337,0)</f>
        <v>100</v>
      </c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89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2983</v>
      </c>
      <c r="K339" s="343">
        <f t="shared" ref="K339:K346" ca="1" si="72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42110</v>
      </c>
      <c r="J340" s="189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22740.949999999986</v>
      </c>
      <c r="K340" s="343">
        <f t="shared" ca="1" si="72"/>
        <v>54.003680835905925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7949</v>
      </c>
      <c r="J341" s="189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4144</v>
      </c>
      <c r="K341" s="343">
        <f t="shared" ca="1" si="72"/>
        <v>52.132343691030322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89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37440.519999999982</v>
      </c>
      <c r="K342" s="343">
        <f t="shared" ca="1" si="72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7949</v>
      </c>
      <c r="J343" s="189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84</v>
      </c>
      <c r="K343" s="343">
        <f t="shared" ca="1" si="72"/>
        <v>1.0567366964398037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89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778.22</v>
      </c>
      <c r="K344" s="343">
        <f t="shared" ca="1" si="72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7949</v>
      </c>
      <c r="J345" s="189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2740</v>
      </c>
      <c r="K345" s="343">
        <f t="shared" ca="1" si="72"/>
        <v>34.469744621965027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89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24112.669999999962</v>
      </c>
      <c r="K346" s="352">
        <f t="shared" ca="1" si="72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40163984</v>
      </c>
      <c r="M347" s="359"/>
      <c r="N347" s="359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14389450.939999998</v>
      </c>
      <c r="O347" s="359">
        <f ca="1">+IF(L347&gt;0,N347*100/L347,0)</f>
        <v>35.826751997510996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72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1138</v>
      </c>
      <c r="K349" s="373">
        <f t="shared" ref="K349:K350" ca="1" si="73">IF(I349&gt;0,J349*100/I349,0)</f>
        <v>61.513513513513516</v>
      </c>
      <c r="L349" s="374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74"/>
      <c r="N349" s="374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2676075.6399999987</v>
      </c>
      <c r="O349" s="374">
        <f ca="1">+IF(L349&gt;0,N349*100/L349,0)</f>
        <v>50.445355049105522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72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790</v>
      </c>
      <c r="K350" s="373">
        <f t="shared" ca="1" si="73"/>
        <v>100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6"/>
      <c r="N351" s="166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7">
        <f t="shared" ref="O351:O354" ca="1" si="74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67"/>
      <c r="N352" s="166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2676075.6399999987</v>
      </c>
      <c r="O352" s="167">
        <f t="shared" ca="1" si="74"/>
        <v>50.445355049105522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70"/>
      <c r="N353" s="170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70">
        <f t="shared" ca="1" si="74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70"/>
      <c r="N354" s="169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2676075.6399999987</v>
      </c>
      <c r="O354" s="170">
        <f t="shared" ca="1" si="74"/>
        <v>50.445355049105522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787688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560838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890221.74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437327.9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13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13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5">
        <f t="shared" ref="K367:K373" ca="1" si="75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89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790</v>
      </c>
      <c r="K368" s="165">
        <f t="shared" ca="1" si="75"/>
        <v>100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05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5">
        <f t="shared" ca="1" si="75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05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710</v>
      </c>
      <c r="K370" s="165">
        <f t="shared" ca="1" si="75"/>
        <v>89.87341772151899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90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5">
        <f t="shared" ca="1" si="75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90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750</v>
      </c>
      <c r="K372" s="165">
        <f t="shared" ca="1" si="75"/>
        <v>94.936708860759495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05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5">
        <f t="shared" ca="1" si="75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89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89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1138</v>
      </c>
      <c r="K375" s="165">
        <f t="shared" ref="K375:K377" ca="1" si="76">IF(I375&gt;0,J375*100/I375,0)</f>
        <v>61.513513513513516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90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545</v>
      </c>
      <c r="K376" s="165">
        <f t="shared" ca="1" si="76"/>
        <v>70.963541666666671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05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593</v>
      </c>
      <c r="K377" s="165">
        <f t="shared" ca="1" si="76"/>
        <v>54.80591497227357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1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72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500</v>
      </c>
      <c r="K380" s="373">
        <f t="shared" ref="K380:K381" ca="1" si="77">IF(I380&gt;0,J380*100/I380,0)</f>
        <v>3.7037037037037037</v>
      </c>
      <c r="L380" s="374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74"/>
      <c r="N380" s="374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3343905.6399999997</v>
      </c>
      <c r="O380" s="374">
        <f ca="1">+IF(L380&gt;0,N380*100/L380,0)</f>
        <v>24.221897676979125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72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1320</v>
      </c>
      <c r="K381" s="373">
        <f t="shared" ca="1" si="77"/>
        <v>97.777777777777771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6"/>
      <c r="N382" s="166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7">
        <f t="shared" ref="O382:O385" ca="1" si="78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7"/>
      <c r="N383" s="167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3343905.6399999997</v>
      </c>
      <c r="O383" s="167">
        <f t="shared" ca="1" si="78"/>
        <v>24.221897676979125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70"/>
      <c r="N384" s="170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70">
        <f t="shared" ca="1" si="78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70"/>
      <c r="N385" s="169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3343905.6399999997</v>
      </c>
      <c r="O385" s="170">
        <f t="shared" ca="1" si="78"/>
        <v>24.221897676979125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2034087.2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312500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758989.64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238328.8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17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15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16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9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1320</v>
      </c>
      <c r="K396" s="165">
        <f t="shared" ref="K396:K398" ca="1" si="79">IF(I396&gt;0,J396*100/I396,0)</f>
        <v>97.777777777777771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9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500</v>
      </c>
      <c r="K397" s="165">
        <f t="shared" ca="1" si="79"/>
        <v>3.7037037037037037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9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50</v>
      </c>
      <c r="K398" s="165">
        <f t="shared" ca="1" si="79"/>
        <v>3.7037037037037037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72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2667</v>
      </c>
      <c r="K401" s="373">
        <f t="shared" ref="K401:K402" ca="1" si="80">IF(I401&gt;0,J401*100/I401,0)</f>
        <v>92.894461859979103</v>
      </c>
      <c r="L401" s="374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74"/>
      <c r="N401" s="374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2123940.4</v>
      </c>
      <c r="O401" s="374">
        <f ca="1">+IF(L401&gt;0,N401*100/L401,0)</f>
        <v>65.827591336796303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72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804</v>
      </c>
      <c r="K402" s="373">
        <f t="shared" ca="1" si="80"/>
        <v>84.012539184952985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6"/>
      <c r="N403" s="170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70">
        <f t="shared" ref="O403:O406" ca="1" si="81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7"/>
      <c r="N404" s="170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2123940.4</v>
      </c>
      <c r="O404" s="170">
        <f t="shared" ca="1" si="81"/>
        <v>65.827591336796303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70"/>
      <c r="N405" s="170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70">
        <f t="shared" ca="1" si="81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70"/>
      <c r="N406" s="170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2123940.4</v>
      </c>
      <c r="O406" s="170">
        <f t="shared" ca="1" si="81"/>
        <v>65.827591336796303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1667302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254019.95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202618.45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17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15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14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2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804</v>
      </c>
      <c r="K416" s="203">
        <f t="shared" ref="K416:K432" ca="1" si="82">IF(I416&gt;0,J416*100/I416,0)</f>
        <v>84.012539184952985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93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180</v>
      </c>
      <c r="K417" s="203">
        <f t="shared" ca="1" si="82"/>
        <v>90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94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540</v>
      </c>
      <c r="K418" s="203">
        <f t="shared" ca="1" si="82"/>
        <v>90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395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180</v>
      </c>
      <c r="K419" s="165">
        <f t="shared" ca="1" si="82"/>
        <v>90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395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200</v>
      </c>
      <c r="K420" s="289">
        <f t="shared" ca="1" si="82"/>
        <v>100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93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475</v>
      </c>
      <c r="K421" s="203">
        <f t="shared" ca="1" si="82"/>
        <v>82.752613240418114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94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1632</v>
      </c>
      <c r="K422" s="203">
        <f t="shared" ca="1" si="82"/>
        <v>94.773519163763069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395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574</v>
      </c>
      <c r="K423" s="165">
        <f t="shared" ca="1" si="82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395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525</v>
      </c>
      <c r="K424" s="165">
        <f t="shared" ca="1" si="82"/>
        <v>91.463414634146346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395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475</v>
      </c>
      <c r="K425" s="165">
        <f t="shared" ca="1" si="82"/>
        <v>82.752613240418114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93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149</v>
      </c>
      <c r="K426" s="203">
        <f t="shared" ca="1" si="82"/>
        <v>81.420765027322403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94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495</v>
      </c>
      <c r="K427" s="203">
        <f t="shared" ca="1" si="82"/>
        <v>90.163934426229503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395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159</v>
      </c>
      <c r="K428" s="165">
        <f t="shared" ca="1" si="82"/>
        <v>86.885245901639351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395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165</v>
      </c>
      <c r="K429" s="165">
        <f t="shared" ca="1" si="82"/>
        <v>90.163934426229503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93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380</v>
      </c>
      <c r="K430" s="203">
        <f t="shared" ca="1" si="82"/>
        <v>49.095607235142118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395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85</v>
      </c>
      <c r="K431" s="165">
        <f t="shared" ca="1" si="82"/>
        <v>42.5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395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295</v>
      </c>
      <c r="K432" s="165">
        <f t="shared" ca="1" si="82"/>
        <v>51.393728222996515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11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489</v>
      </c>
      <c r="K435" s="412">
        <f ca="1">IF(I435&gt;0,J435*100/I435,0)</f>
        <v>100</v>
      </c>
      <c r="L435" s="413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2087200</v>
      </c>
      <c r="M435" s="413"/>
      <c r="N435" s="413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1271061.29</v>
      </c>
      <c r="O435" s="413">
        <f t="shared" ref="O435:O439" ca="1" si="83">+IF(L435&gt;0,N435*100/L435,0)</f>
        <v>60.897915389037948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6"/>
      <c r="N436" s="170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70">
        <f t="shared" ca="1" si="83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2087200</v>
      </c>
      <c r="M437" s="167"/>
      <c r="N437" s="170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1271061.29</v>
      </c>
      <c r="O437" s="170">
        <f t="shared" ca="1" si="83"/>
        <v>60.897915389037948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70"/>
      <c r="N438" s="170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70">
        <f t="shared" ca="1" si="83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2087200</v>
      </c>
      <c r="M439" s="170"/>
      <c r="N439" s="170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1271061.29</v>
      </c>
      <c r="O439" s="170">
        <f t="shared" ca="1" si="83"/>
        <v>60.897915389037948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976487.9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294573.39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17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16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17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2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489</v>
      </c>
      <c r="K449" s="165">
        <f t="shared" ref="K449:K452" ca="1" si="84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90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360</v>
      </c>
      <c r="K450" s="165">
        <f t="shared" ca="1" si="84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89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129</v>
      </c>
      <c r="K451" s="165">
        <f t="shared" ca="1" si="84"/>
        <v>100</v>
      </c>
      <c r="L451" s="183"/>
      <c r="M451" s="183"/>
      <c r="N451" s="183"/>
      <c r="O451" s="183"/>
      <c r="P451" s="183"/>
    </row>
    <row r="452" spans="1:16" ht="21.75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416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5">
        <f t="shared" ca="1" si="84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1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799598</v>
      </c>
      <c r="J455" s="372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250666.38</v>
      </c>
      <c r="K455" s="373">
        <f ca="1">IF(I455&gt;0,J455*100/I455,0)</f>
        <v>31.349050397824907</v>
      </c>
      <c r="L455" s="374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7887358</v>
      </c>
      <c r="M455" s="374"/>
      <c r="N455" s="374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2141469.52</v>
      </c>
      <c r="O455" s="374">
        <f t="shared" ref="O455:O459" ca="1" si="85">+IF(L455&gt;0,N455*100/L455,0)</f>
        <v>27.150657038770142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6"/>
      <c r="N456" s="170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70">
        <f t="shared" ca="1" si="85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7887358</v>
      </c>
      <c r="M457" s="167"/>
      <c r="N457" s="170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2141469.52</v>
      </c>
      <c r="O457" s="170">
        <f t="shared" ca="1" si="85"/>
        <v>27.150657038770142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70"/>
      <c r="N458" s="170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70">
        <f t="shared" ca="1" si="85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7887358</v>
      </c>
      <c r="M459" s="170"/>
      <c r="N459" s="170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2141469.52</v>
      </c>
      <c r="O459" s="170">
        <f t="shared" ca="1" si="85"/>
        <v>27.150657038770142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667191.32999999996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1474278.19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799598</v>
      </c>
      <c r="J464" s="268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250666.38</v>
      </c>
      <c r="K464" s="269">
        <f t="shared" ref="K464:K515" ca="1" si="86">IF(I464&gt;0,J464*100/I464,0)</f>
        <v>31.349050397824907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799598</v>
      </c>
      <c r="J465" s="422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799652.22</v>
      </c>
      <c r="K465" s="203">
        <f t="shared" ca="1" si="86"/>
        <v>100.00678090740597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95173</v>
      </c>
      <c r="J466" s="422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95173</v>
      </c>
      <c r="K466" s="203">
        <f t="shared" ca="1" si="86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90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621324.86</v>
      </c>
      <c r="K467" s="165">
        <f t="shared" ca="1" si="86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90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78539</v>
      </c>
      <c r="K468" s="165">
        <f t="shared" ca="1" si="86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90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161048.07</v>
      </c>
      <c r="K469" s="165">
        <f t="shared" ca="1" si="86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90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14724</v>
      </c>
      <c r="K470" s="165">
        <f t="shared" ca="1" si="86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90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17279.29</v>
      </c>
      <c r="K471" s="165">
        <f t="shared" ca="1" si="86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90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1910</v>
      </c>
      <c r="K472" s="165">
        <f t="shared" ca="1" si="86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799598</v>
      </c>
      <c r="J473" s="422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799642.6399999999</v>
      </c>
      <c r="K473" s="203">
        <f t="shared" ca="1" si="86"/>
        <v>100.00558280535968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95173</v>
      </c>
      <c r="J474" s="422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95174</v>
      </c>
      <c r="K474" s="203">
        <f t="shared" ca="1" si="86"/>
        <v>100.00105071816587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90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661246.99000000011</v>
      </c>
      <c r="K475" s="165">
        <f t="shared" ca="1" si="86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90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81914</v>
      </c>
      <c r="K476" s="165">
        <f t="shared" ca="1" si="86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90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120875.84</v>
      </c>
      <c r="K477" s="165">
        <f t="shared" ca="1" si="86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90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11297</v>
      </c>
      <c r="K478" s="165">
        <f t="shared" ca="1" si="86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90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17519.810000000001</v>
      </c>
      <c r="K479" s="165">
        <f t="shared" ca="1" si="86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90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1963</v>
      </c>
      <c r="K480" s="165">
        <f t="shared" ca="1" si="86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799598</v>
      </c>
      <c r="J481" s="422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250666.38</v>
      </c>
      <c r="K481" s="203">
        <f t="shared" ca="1" si="86"/>
        <v>31.349050397824907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95173</v>
      </c>
      <c r="J482" s="422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37025</v>
      </c>
      <c r="K482" s="203">
        <f t="shared" ca="1" si="86"/>
        <v>38.902840091202336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90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223238</v>
      </c>
      <c r="K483" s="165">
        <f t="shared" ca="1" si="86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90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34673</v>
      </c>
      <c r="K484" s="165">
        <f t="shared" ca="1" si="86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90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22920.720000000001</v>
      </c>
      <c r="K485" s="165">
        <f t="shared" ca="1" si="86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90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1872</v>
      </c>
      <c r="K486" s="165">
        <f t="shared" ca="1" si="86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22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4507.66</v>
      </c>
      <c r="K487" s="165">
        <f t="shared" ca="1" si="86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22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480</v>
      </c>
      <c r="K488" s="165">
        <f t="shared" ca="1" si="86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90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4339.17</v>
      </c>
      <c r="K489" s="165">
        <f t="shared" ca="1" si="86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90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460</v>
      </c>
      <c r="K490" s="165">
        <f t="shared" ca="1" si="86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90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168.49</v>
      </c>
      <c r="K491" s="165">
        <f t="shared" ca="1" si="86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90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20</v>
      </c>
      <c r="K492" s="165">
        <f t="shared" ca="1" si="86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90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0</v>
      </c>
      <c r="K493" s="165">
        <f t="shared" ca="1" si="86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38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0</v>
      </c>
      <c r="K494" s="289">
        <f t="shared" ca="1" si="86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38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65">
        <f t="shared" ca="1" si="86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38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89">
        <f t="shared" ca="1" si="86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45848</v>
      </c>
      <c r="J497" s="445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8894.9</v>
      </c>
      <c r="K497" s="446">
        <f t="shared" ca="1" si="86"/>
        <v>19.400846274646657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45848</v>
      </c>
      <c r="J498" s="422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8894.9</v>
      </c>
      <c r="K498" s="203">
        <f t="shared" ca="1" si="86"/>
        <v>19.400846274646657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3736</v>
      </c>
      <c r="J499" s="422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857</v>
      </c>
      <c r="K499" s="203">
        <f t="shared" ca="1" si="86"/>
        <v>22.9389721627409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4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8149.8</v>
      </c>
      <c r="K500" s="165">
        <f t="shared" ca="1" si="86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4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785</v>
      </c>
      <c r="K501" s="165">
        <f t="shared" ca="1" si="86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90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5313.8</v>
      </c>
      <c r="K502" s="165">
        <f t="shared" ca="1" si="86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9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475</v>
      </c>
      <c r="K503" s="165">
        <f t="shared" ca="1" si="86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90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2810</v>
      </c>
      <c r="K504" s="165">
        <f t="shared" ca="1" si="86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9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309</v>
      </c>
      <c r="K505" s="165">
        <f t="shared" ca="1" si="86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90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26</v>
      </c>
      <c r="K506" s="165">
        <f t="shared" ca="1" si="86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9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1</v>
      </c>
      <c r="K507" s="165">
        <f t="shared" ca="1" si="86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4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429.1</v>
      </c>
      <c r="K508" s="165">
        <f t="shared" ca="1" si="86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4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46</v>
      </c>
      <c r="K509" s="165">
        <f t="shared" ca="1" si="86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9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411.1</v>
      </c>
      <c r="K510" s="165">
        <f t="shared" ca="1" si="86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9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38</v>
      </c>
      <c r="K511" s="165">
        <f t="shared" ca="1" si="86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9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18</v>
      </c>
      <c r="K512" s="165">
        <f t="shared" ca="1" si="86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9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8</v>
      </c>
      <c r="K513" s="165">
        <f t="shared" ca="1" si="86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9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316</v>
      </c>
      <c r="K514" s="165">
        <f t="shared" ca="1" si="86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9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26</v>
      </c>
      <c r="K515" s="165">
        <f t="shared" ca="1" si="86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8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85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85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89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89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89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89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89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5097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89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362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5097</v>
      </c>
      <c r="J525" s="285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1131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362</v>
      </c>
      <c r="J526" s="285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95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9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268.75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9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30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9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724.25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9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65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9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138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68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11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12">
        <f ca="1">IF(I533&gt;0,J533*100/I533,0)</f>
        <v>100</v>
      </c>
      <c r="L533" s="413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413"/>
      <c r="N533" s="413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406899.23999999987</v>
      </c>
      <c r="O533" s="413">
        <f t="shared" ref="O533:O537" ca="1" si="87">+IF(L533&gt;0,N533*100/L533,0)</f>
        <v>68.306066812153745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6"/>
      <c r="N534" s="170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70">
        <f t="shared" ca="1" si="87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67"/>
      <c r="N535" s="170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406899.23999999987</v>
      </c>
      <c r="O535" s="170">
        <f t="shared" ca="1" si="87"/>
        <v>68.306066812153745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70"/>
      <c r="N536" s="170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70">
        <f t="shared" ca="1" si="87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70"/>
      <c r="N537" s="170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406899.23999999987</v>
      </c>
      <c r="O537" s="170">
        <f t="shared" ca="1" si="87"/>
        <v>68.306066812153745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326374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80525.240000000005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90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65">
        <f t="shared" ref="K547:K548" ca="1" si="88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5">
        <f t="shared" ca="1" si="88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3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11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16646</v>
      </c>
      <c r="K551" s="412">
        <f ca="1">IF(I551&gt;0,J551*100/I551,0)</f>
        <v>66.584000000000003</v>
      </c>
      <c r="L551" s="413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13"/>
      <c r="N551" s="413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696815.91</v>
      </c>
      <c r="O551" s="413">
        <f t="shared" ref="O551:O555" ca="1" si="89">+IF(L551&gt;0,N551*100/L551,0)</f>
        <v>45.543523529411765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6"/>
      <c r="N552" s="170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70">
        <f t="shared" ca="1" si="89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7"/>
      <c r="N553" s="170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696815.91</v>
      </c>
      <c r="O553" s="170">
        <f t="shared" ca="1" si="89"/>
        <v>45.543523529411765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70"/>
      <c r="N554" s="170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70">
        <f t="shared" ca="1" si="89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70"/>
      <c r="N555" s="170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696815.91</v>
      </c>
      <c r="O555" s="170">
        <f t="shared" ca="1" si="89"/>
        <v>45.543523529411765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265102.76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431713.15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4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16646</v>
      </c>
      <c r="K560" s="225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326.44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05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1719</v>
      </c>
      <c r="K561" s="225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72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34633</v>
      </c>
      <c r="K564" s="373">
        <f ca="1">IF(I564&gt;0,J564*100/I564,0)</f>
        <v>106.39938556067588</v>
      </c>
      <c r="L564" s="374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74"/>
      <c r="N564" s="374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1101701.7699999996</v>
      </c>
      <c r="O564" s="374">
        <f t="shared" ref="O564:O568" ca="1" si="90">+IF(L564&gt;0,N564*100/L564,0)</f>
        <v>46.248017345602292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6"/>
      <c r="N565" s="170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70">
        <f t="shared" ca="1" si="90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7"/>
      <c r="N566" s="170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1101701.7699999996</v>
      </c>
      <c r="O566" s="170">
        <f t="shared" ca="1" si="90"/>
        <v>46.248017345602292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70"/>
      <c r="N567" s="170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70">
        <f t="shared" ca="1" si="90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70"/>
      <c r="N568" s="170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1101701.7699999996</v>
      </c>
      <c r="O568" s="170">
        <f t="shared" ca="1" si="90"/>
        <v>46.248017345602292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803690.17999999993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298011.58999999997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22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34633</v>
      </c>
      <c r="K573" s="203">
        <f ca="1">IF(I573&gt;0,J573*100/I573,0)</f>
        <v>106.39938556067588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0</v>
      </c>
      <c r="J575" s="199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73</v>
      </c>
      <c r="K575" s="165">
        <f t="shared" ref="K575:K579" ca="1" si="91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9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3900</v>
      </c>
      <c r="K576" s="165">
        <f t="shared" ca="1" si="91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90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30137</v>
      </c>
      <c r="K577" s="165">
        <f t="shared" ca="1" si="91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9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51</v>
      </c>
      <c r="K578" s="165">
        <f t="shared" ca="1" si="91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9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545</v>
      </c>
      <c r="K579" s="165">
        <f t="shared" ca="1" si="91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1696</v>
      </c>
      <c r="J580" s="372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85</v>
      </c>
      <c r="K580" s="373">
        <f ca="1">IF(I580&gt;0,J580*100/I580,0)</f>
        <v>5.0117924528301883</v>
      </c>
      <c r="L580" s="374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3209796</v>
      </c>
      <c r="M580" s="374"/>
      <c r="N580" s="374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594365.53</v>
      </c>
      <c r="O580" s="374">
        <f t="shared" ref="O580:O584" ca="1" si="92">+IF(L580&gt;0,N580*100/L580,0)</f>
        <v>18.517236920975662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6"/>
      <c r="N581" s="170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70">
        <f t="shared" ca="1" si="92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3209796</v>
      </c>
      <c r="M582" s="167"/>
      <c r="N582" s="170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594365.53</v>
      </c>
      <c r="O582" s="170">
        <f t="shared" ca="1" si="92"/>
        <v>18.517236920975662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70"/>
      <c r="N583" s="170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70">
        <f t="shared" ca="1" si="92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3209796</v>
      </c>
      <c r="M584" s="170"/>
      <c r="N584" s="170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594365.53</v>
      </c>
      <c r="O584" s="170">
        <f t="shared" ca="1" si="92"/>
        <v>18.517236920975662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293644.28000000003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300721.25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1696</v>
      </c>
      <c r="J589" s="189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522</v>
      </c>
      <c r="K589" s="165">
        <f t="shared" ref="K589:K596" ca="1" si="93">IF(I589&gt;0,J589*100/I589,0)</f>
        <v>30.778301886792452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89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372.55999999999995</v>
      </c>
      <c r="K590" s="481">
        <f t="shared" ca="1" si="93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1696</v>
      </c>
      <c r="J591" s="189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260</v>
      </c>
      <c r="K591" s="165">
        <f t="shared" ca="1" si="93"/>
        <v>15.330188679245284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89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171.59000000000003</v>
      </c>
      <c r="K592" s="343">
        <f t="shared" ca="1" si="93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1696</v>
      </c>
      <c r="J593" s="189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6</v>
      </c>
      <c r="K593" s="165">
        <f t="shared" ca="1" si="93"/>
        <v>0.35377358490566035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89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4.3499999999999996</v>
      </c>
      <c r="K594" s="343">
        <f t="shared" ca="1" si="93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1696</v>
      </c>
      <c r="J595" s="189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85</v>
      </c>
      <c r="K595" s="165">
        <f t="shared" ca="1" si="93"/>
        <v>5.0117924528301883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42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54.849999999999994</v>
      </c>
      <c r="K596" s="488">
        <f t="shared" ca="1" si="93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1470</v>
      </c>
      <c r="J597" s="489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12">
        <f ca="1">IF(I597&gt;0,J597*100/I597,0)</f>
        <v>0</v>
      </c>
      <c r="L597" s="413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135050</v>
      </c>
      <c r="M597" s="413"/>
      <c r="N597" s="413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33216</v>
      </c>
      <c r="O597" s="413">
        <f t="shared" ref="O597:O601" ca="1" si="94">+IF(L597&gt;0,N597*100/L597,0)</f>
        <v>24.595335061088484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6"/>
      <c r="N598" s="170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70">
        <f t="shared" ca="1" si="94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135050</v>
      </c>
      <c r="M599" s="167"/>
      <c r="N599" s="170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33216</v>
      </c>
      <c r="O599" s="170">
        <f t="shared" ca="1" si="94"/>
        <v>24.595335061088484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70"/>
      <c r="N600" s="170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70">
        <f t="shared" ca="1" si="94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135050</v>
      </c>
      <c r="M601" s="170"/>
      <c r="N601" s="170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33216</v>
      </c>
      <c r="O601" s="170">
        <f t="shared" ca="1" si="94"/>
        <v>24.595335061088484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32016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17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1470</v>
      </c>
      <c r="J611" s="164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5">
        <f t="shared" ref="K611:K619" ca="1" si="95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9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1482.75</v>
      </c>
      <c r="K612" s="165">
        <f t="shared" ca="1" si="95"/>
        <v>100.86734693877551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9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1275.75</v>
      </c>
      <c r="K613" s="165">
        <f t="shared" ca="1" si="95"/>
        <v>86.785714285714292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9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399.75</v>
      </c>
      <c r="K614" s="165">
        <f t="shared" ca="1" si="95"/>
        <v>27.193877551020407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9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399.75</v>
      </c>
      <c r="K615" s="165">
        <f t="shared" ca="1" si="95"/>
        <v>27.193877551020407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9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0</v>
      </c>
      <c r="K616" s="165">
        <f t="shared" ca="1" si="95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89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5">
        <f t="shared" ca="1" si="95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90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5">
        <f t="shared" ca="1" si="95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90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5">
        <f t="shared" ca="1" si="95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04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5">
        <f t="shared" ref="K620:K626" ca="1" si="96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04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5">
        <f t="shared" ca="1" si="96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90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5">
        <f t="shared" ca="1" si="96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90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5">
        <f t="shared" ca="1" si="96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89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0</v>
      </c>
      <c r="K624" s="165">
        <f t="shared" ca="1" si="96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90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5">
        <f t="shared" ca="1" si="96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90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5">
        <f t="shared" ca="1" si="96"/>
        <v>2.5018764073054789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96312397.550000012</v>
      </c>
      <c r="J628" s="342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50604819.439999998</v>
      </c>
      <c r="K628" s="343">
        <f t="shared" ref="K628:K635" ca="1" si="97">IF(I628&gt;0,J628*100/I628,0)</f>
        <v>52.542373284528409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4838</v>
      </c>
      <c r="J629" s="342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2812</v>
      </c>
      <c r="K629" s="343">
        <f t="shared" ca="1" si="97"/>
        <v>58.123191401405542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111876079.07000001</v>
      </c>
      <c r="J630" s="342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10119751.290000001</v>
      </c>
      <c r="K630" s="343">
        <f t="shared" ca="1" si="97"/>
        <v>9.0455004985186775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42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1812</v>
      </c>
      <c r="K631" s="343">
        <f t="shared" ca="1" si="97"/>
        <v>41.294439380127621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76453605.469999984</v>
      </c>
      <c r="J632" s="342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19733441.270000003</v>
      </c>
      <c r="K632" s="343">
        <f t="shared" ca="1" si="97"/>
        <v>25.811001520056902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6326</v>
      </c>
      <c r="J633" s="342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2831</v>
      </c>
      <c r="K633" s="343">
        <f t="shared" ca="1" si="97"/>
        <v>44.751817894404049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85535000</v>
      </c>
      <c r="J634" s="342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38764000</v>
      </c>
      <c r="K634" s="343">
        <f t="shared" ca="1" si="97"/>
        <v>45.319459870228563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2565</v>
      </c>
      <c r="J635" s="506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1109</v>
      </c>
      <c r="K635" s="488">
        <f t="shared" ca="1" si="97"/>
        <v>43.235867446393762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270145</v>
      </c>
      <c r="M636" s="512"/>
      <c r="N636" s="511">
        <f ca="1">SUM(N637:N638)</f>
        <v>0</v>
      </c>
      <c r="O636" s="511">
        <f t="shared" ref="O636:O640" ca="1" si="98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98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270145</v>
      </c>
      <c r="M638" s="522"/>
      <c r="N638" s="523">
        <f ca="1">SUM(N639:N640)</f>
        <v>0</v>
      </c>
      <c r="O638" s="523">
        <f t="shared" ca="1" si="98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98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270145</v>
      </c>
      <c r="M640" s="522"/>
      <c r="N640" s="523">
        <f ca="1">SUM(N641:N644)</f>
        <v>0</v>
      </c>
      <c r="O640" s="523">
        <f t="shared" ca="1" si="98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กำแพงเพชร!J646+เชียงราย!J646+เชียงใหม่!J646+ตาก!J646+นครสวรรค์!J646+น่าน!J646+พะเยา!J646+พิจิตร!J646+พิษณุโลก!J646+เพชรบูรณ์!J646+แพร่!J646+แม่ฮ่องสอน!J646+ลำปาง!J646+ลำพูน!J646+สุโขทัย!J646+อุตรดิตถ์!J646+อุทัยธานี!J646</f>
        <v>1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กำแพงเพชร!J647+เชียงราย!J647+เชียงใหม่!J647+ตาก!J647+นครสวรรค์!J647+น่าน!J647+พะเยา!J647+พิจิตร!J647+พิษณุโลก!J647+เพชรบูรณ์!J647+แพร่!J647+แม่ฮ่องสอน!J647+ลำปาง!J647+ลำพูน!J647+สุโขทัย!J647+อุตรดิตถ์!J647+อุทัยธานี!J647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กำแพงเพชร!I648+เชียงราย!I648+เชียงใหม่!I648+ตาก!I648+นครสวรรค์!I648+น่าน!I648+พะเยา!I648+พิจิตร!I648+พิษณุโลก!I648+เพชรบูรณ์!I648+แพร่!I648+แม่ฮ่องสอน!I648+ลำปาง!I648+ลำพูน!I648+สุโขทัย!I648+อุตรดิตถ์!I648+อุทัยธานี!I648</f>
        <v>123</v>
      </c>
      <c r="J648" s="537">
        <f ca="1">กำแพงเพชร!J648+เชียงราย!J648+เชียงใหม่!J648+ตาก!J648+นครสวรรค์!J648+น่าน!J648+พะเยา!J648+พิจิตร!J648+พิษณุโลก!J648+เพชรบูรณ์!J648+แพร่!J648+แม่ฮ่องสอน!J648+ลำปาง!J648+ลำพูน!J648+สุโขทัย!J648+อุตรดิตถ์!J648+อุทัยธานี!J648</f>
        <v>0</v>
      </c>
      <c r="K648" s="538">
        <f t="shared" ref="K648:K651" ca="1" si="99">IF(I648&gt;0,J648*100/I648,0)</f>
        <v>0</v>
      </c>
      <c r="L648" s="523">
        <f ca="1">กำแพงเพชร!L648+เชียงราย!L648+เชียงใหม่!L648+ตาก!L648+นครสวรรค์!L648+น่าน!L648+พะเยา!L648+พิจิตร!L648+พิษณุโลก!L648+เพชรบูรณ์!L648+แพร่!L648+แม่ฮ่องสอน!L648+ลำปาง!L648+ลำพูน!L648+สุโขทัย!L648+อุตรดิตถ์!L648+อุทัยธานี!L648</f>
        <v>9840</v>
      </c>
      <c r="M648" s="522"/>
      <c r="N648" s="539">
        <f ca="1">กำแพงเพชร!N648+เชียงราย!N648+เชียงใหม่!N648+ตาก!N648+นครสวรรค์!N648+น่าน!N648+พะเยา!N648+พิจิตร!N648+พิษณุโลก!N648+เพชรบูรณ์!N648+แพร่!N648+แม่ฮ่องสอน!N648+ลำปาง!N648+ลำพูน!N648+สุโขทัย!N648+อุตรดิตถ์!N648+อุทัยธานี!N648</f>
        <v>0</v>
      </c>
      <c r="O648" s="538">
        <f t="shared" ref="O648:O651" ca="1" si="100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กำแพงเพชร!I649+เชียงราย!I649+เชียงใหม่!I649+ตาก!I649+นครสวรรค์!I649+น่าน!I649+พะเยา!I649+พิจิตร!I649+พิษณุโลก!I649+เพชรบูรณ์!I649+แพร่!I649+แม่ฮ่องสอน!I649+ลำปาง!I649+ลำพูน!I649+สุโขทัย!I649+อุตรดิตถ์!I649+อุทัยธานี!I649</f>
        <v>57</v>
      </c>
      <c r="J649" s="537">
        <f ca="1">กำแพงเพชร!J649+เชียงราย!J649+เชียงใหม่!J649+ตาก!J649+นครสวรรค์!J649+น่าน!J649+พะเยา!J649+พิจิตร!J649+พิษณุโลก!J649+เพชรบูรณ์!J649+แพร่!J649+แม่ฮ่องสอน!J649+ลำปาง!J649+ลำพูน!J649+สุโขทัย!J649+อุตรดิตถ์!J649+อุทัยธานี!J649</f>
        <v>0</v>
      </c>
      <c r="K649" s="538">
        <f t="shared" ca="1" si="99"/>
        <v>0</v>
      </c>
      <c r="L649" s="523">
        <f ca="1">กำแพงเพชร!L649+เชียงราย!L649+เชียงใหม่!L649+ตาก!L649+นครสวรรค์!L649+น่าน!L649+พะเยา!L649+พิจิตร!L649+พิษณุโลก!L649+เพชรบูรณ์!L649+แพร่!L649+แม่ฮ่องสอน!L649+ลำปาง!L649+ลำพูน!L649+สุโขทัย!L649+อุตรดิตถ์!L649+อุทัยธานี!L649</f>
        <v>6840</v>
      </c>
      <c r="M649" s="522"/>
      <c r="N649" s="539">
        <f ca="1">กำแพงเพชร!N649+เชียงราย!N649+เชียงใหม่!N649+ตาก!N649+นครสวรรค์!N649+น่าน!N649+พะเยา!N649+พิจิตร!N649+พิษณุโลก!N649+เพชรบูรณ์!N649+แพร่!N649+แม่ฮ่องสอน!N649+ลำปาง!N649+ลำพูน!N649+สุโขทัย!N649+อุตรดิตถ์!N649+อุทัยธานี!N649</f>
        <v>0</v>
      </c>
      <c r="O649" s="538">
        <f t="shared" ca="1" si="100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กำแพงเพชร!I650+เชียงราย!I650+เชียงใหม่!I650+ตาก!I650+นครสวรรค์!I650+น่าน!I650+พะเยา!I650+พิจิตร!I650+พิษณุโลก!I650+เพชรบูรณ์!I650+แพร่!I650+แม่ฮ่องสอน!I650+ลำปาง!I650+ลำพูน!I650+สุโขทัย!I650+อุตรดิตถ์!I650+อุทัยธานี!I650</f>
        <v>1974</v>
      </c>
      <c r="J650" s="537">
        <f ca="1">กำแพงเพชร!J650+เชียงราย!J650+เชียงใหม่!J650+ตาก!J650+นครสวรรค์!J650+น่าน!J650+พะเยา!J650+พิจิตร!J650+พิษณุโลก!J650+เพชรบูรณ์!J650+แพร่!J650+แม่ฮ่องสอน!J650+ลำปาง!J650+ลำพูน!J650+สุโขทัย!J650+อุตรดิตถ์!J650+อุทัยธานี!J650</f>
        <v>28.38</v>
      </c>
      <c r="K650" s="538">
        <f t="shared" ca="1" si="99"/>
        <v>1.4376899696048633</v>
      </c>
      <c r="L650" s="523">
        <f ca="1">กำแพงเพชร!L650+เชียงราย!L650+เชียงใหม่!L650+ตาก!L650+นครสวรรค์!L650+น่าน!L650+พะเยา!L650+พิจิตร!L650+พิษณุโลก!L650+เพชรบูรณ์!L650+แพร่!L650+แม่ฮ่องสอน!L650+ลำปาง!L650+ลำพูน!L650+สุโขทัย!L650+อุตรดิตถ์!L650+อุทัยธานี!L650</f>
        <v>9870</v>
      </c>
      <c r="M650" s="522"/>
      <c r="N650" s="539">
        <f ca="1">กำแพงเพชร!N650+เชียงราย!N650+เชียงใหม่!N650+ตาก!N650+นครสวรรค์!N650+น่าน!N650+พะเยา!N650+พิจิตร!N650+พิษณุโลก!N650+เพชรบูรณ์!N650+แพร่!N650+แม่ฮ่องสอน!N650+ลำปาง!N650+ลำพูน!N650+สุโขทัย!N650+อุตรดิตถ์!N650+อุทัยธานี!N650</f>
        <v>0</v>
      </c>
      <c r="O650" s="538">
        <f t="shared" ca="1" si="100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กำแพงเพชร!I651+เชียงราย!I651+เชียงใหม่!I651+ตาก!I651+นครสวรรค์!I651+น่าน!I651+พะเยา!I651+พิจิตร!I651+พิษณุโลก!I651+เพชรบูรณ์!I651+แพร่!I651+แม่ฮ่องสอน!I651+ลำปาง!I651+ลำพูน!I651+สุโขทัย!I651+อุตรดิตถ์!I651+อุทัยธานี!I651</f>
        <v>1795</v>
      </c>
      <c r="J651" s="537">
        <f ca="1">J657+J660</f>
        <v>0</v>
      </c>
      <c r="K651" s="538">
        <f t="shared" ca="1" si="99"/>
        <v>0</v>
      </c>
      <c r="L651" s="523">
        <f ca="1">กำแพงเพชร!L651+เชียงราย!L651+เชียงใหม่!L651+ตาก!L651+นครสวรรค์!L651+น่าน!L651+พะเยา!L651+พิจิตร!L651+พิษณุโลก!L651+เพชรบูรณ์!L651+แพร่!L651+แม่ฮ่องสอน!L651+ลำปาง!L651+ลำพูน!L651+สุโขทัย!L651+อุตรดิตถ์!L651+อุทัยธานี!L651</f>
        <v>44875</v>
      </c>
      <c r="M651" s="522"/>
      <c r="N651" s="539">
        <f ca="1">กำแพงเพชร!N651+เชียงราย!N651+เชียงใหม่!N651+ตาก!N651+นครสวรรค์!N651+น่าน!N651+พะเยา!N651+พิจิตร!N651+พิษณุโลก!N651+เพชรบูรณ์!N651+แพร่!N651+แม่ฮ่องสอน!N651+ลำปาง!N651+ลำพูน!N651+สุโขทัย!N651+อุตรดิตถ์!N651+อุทัยธานี!N651</f>
        <v>0</v>
      </c>
      <c r="O651" s="538">
        <f t="shared" ca="1" si="100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กำแพงเพชร!J652+เชียงราย!J652+เชียงใหม่!J652+ตาก!J652+นครสวรรค์!J652+น่าน!J652+พะเยา!J652+พิจิตร!J652+พิษณุโลก!J652+เพชรบูรณ์!J652+แพร่!J652+แม่ฮ่องสอน!J652+ลำปาง!J652+ลำพูน!J652+สุโขทัย!J652+อุตรดิตถ์!J652+อุทัยธานี!J652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กำแพงเพชร!J653+เชียงราย!J653+เชียงใหม่!J653+ตาก!J653+นครสวรรค์!J653+น่าน!J653+พะเยา!J653+พิจิตร!J653+พิษณุโลก!J653+เพชรบูรณ์!J653+แพร่!J653+แม่ฮ่องสอน!J653+ลำปาง!J653+ลำพูน!J653+สุโขทัย!J653+อุตรดิตถ์!J653+อุทัยธานี!J653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กำแพงเพชร!J655+เชียงราย!J655+เชียงใหม่!J655+ตาก!J655+นครสวรรค์!J655+น่าน!J655+พะเยา!J655+พิจิตร!J655+พิษณุโลก!J655+เพชรบูรณ์!J655+แพร่!J655+แม่ฮ่องสอน!J655+ลำปาง!J655+ลำพูน!J655+สุโขทัย!J655+อุตรดิตถ์!J655+อุทัยธานี!J655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กำแพงเพชร!J656+เชียงราย!J656+เชียงใหม่!J656+ตาก!J656+นครสวรรค์!J656+น่าน!J656+พะเยา!J656+พิจิตร!J656+พิษณุโลก!J656+เพชรบูรณ์!J656+แพร่!J656+แม่ฮ่องสอน!J656+ลำปาง!J656+ลำพูน!J656+สุโขทัย!J656+อุตรดิตถ์!J656+อุทัยธานี!J656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กำแพงเพชร!J657+เชียงราย!J657+เชียงใหม่!J657+ตาก!J657+นครสวรรค์!J657+น่าน!J657+พะเยา!J657+พิจิตร!J657+พิษณุโลก!J657+เพชรบูรณ์!J657+แพร่!J657+แม่ฮ่องสอน!J657+ลำปาง!J657+ลำพูน!J657+สุโขทัย!J657+อุตรดิตถ์!J657+อุทัยธานี!J657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กำแพงเพชร!J658+เชียงราย!J658+เชียงใหม่!J658+ตาก!J658+นครสวรรค์!J658+น่าน!J658+พะเยา!J658+พิจิตร!J658+พิษณุโลก!J658+เพชรบูรณ์!J658+แพร่!J658+แม่ฮ่องสอน!J658+ลำปาง!J658+ลำพูน!J658+สุโขทัย!J658+อุตรดิตถ์!J658+อุทัยธานี!J658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กำแพงเพชร!J659+เชียงราย!J659+เชียงใหม่!J659+ตาก!J659+นครสวรรค์!J659+น่าน!J659+พะเยา!J659+พิจิตร!J659+พิษณุโลก!J659+เพชรบูรณ์!J659+แพร่!J659+แม่ฮ่องสอน!J659+ลำปาง!J659+ลำพูน!J659+สุโขทัย!J659+อุตรดิตถ์!J659+อุทัยธานี!J659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กำแพงเพชร!J660+เชียงราย!J660+เชียงใหม่!J660+ตาก!J660+นครสวรรค์!J660+น่าน!J660+พะเยา!J660+พิจิตร!J660+พิษณุโลก!J660+เพชรบูรณ์!J660+แพร่!J660+แม่ฮ่องสอน!J660+ลำปาง!J660+ลำพูน!J660+สุโขทัย!J660+อุตรดิตถ์!J660+อุทัยธานี!J660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กำแพงเพชร!J661+เชียงราย!J661+เชียงใหม่!J661+ตาก!J661+นครสวรรค์!J661+น่าน!J661+พะเยา!J661+พิจิตร!J661+พิษณุโลก!J661+เพชรบูรณ์!J661+แพร่!J661+แม่ฮ่องสอน!J661+ลำปาง!J661+ลำพูน!J661+สุโขทัย!J661+อุตรดิตถ์!J661+อุทัยธานี!J661</f>
        <v>28</v>
      </c>
      <c r="K661" s="538"/>
      <c r="L661" s="523">
        <f ca="1">กำแพงเพชร!L661+เชียงราย!L661+เชียงใหม่!L661+ตาก!L661+นครสวรรค์!L661+น่าน!L661+พะเยา!L661+พิจิตร!L661+พิษณุโลก!L661+เพชรบูรณ์!L661+แพร่!L661+แม่ฮ่องสอน!L661+ลำปาง!L661+ลำพูน!L661+สุโขทัย!L661+อุตรดิตถ์!L661+อุทัยธานี!L661</f>
        <v>167080</v>
      </c>
      <c r="M661" s="522"/>
      <c r="N661" s="539">
        <f ca="1">กำแพงเพชร!N661+เชียงราย!N661+เชียงใหม่!N661+ตาก!N661+นครสวรรค์!N661+น่าน!N661+พะเยา!N661+พิจิตร!N661+พิษณุโลก!N661+เพชรบูรณ์!N661+แพร่!N661+แม่ฮ่องสอน!N661+ลำปาง!N661+ลำพูน!N661+สุโขทัย!N661+อุตรดิตถ์!N661+อุทัยธานี!N661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กำแพงเพชร!J662+เชียงราย!J662+เชียงใหม่!J662+ตาก!J662+นครสวรรค์!J662+น่าน!J662+พะเยา!J662+พิจิตร!J662+พิษณุโลก!J662+เพชรบูรณ์!J662+แพร่!J662+แม่ฮ่องสอน!J662+ลำปาง!J662+ลำพูน!J662+สุโขทัย!J662+อุตรดิตถ์!J662+อุทัยธานี!J662</f>
        <v>29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กำแพงเพชร!I663+เชียงราย!I663+เชียงใหม่!I663+ตาก!I663+นครสวรรค์!I663+น่าน!I663+พะเยา!I663+พิจิตร!I663+พิษณุโลก!I663+เพชรบูรณ์!I663+แพร่!I663+แม่ฮ่องสอน!I663+ลำปาง!I663+ลำพูน!I663+สุโขทัย!I663+อุตรดิตถ์!I663+อุทัยธานี!I663</f>
        <v>4177</v>
      </c>
      <c r="J663" s="537">
        <f ca="1">กำแพงเพชร!J663+เชียงราย!J663+เชียงใหม่!J663+ตาก!J663+นครสวรรค์!J663+น่าน!J663+พะเยา!J663+พิจิตร!J663+พิษณุโลก!J663+เพชรบูรณ์!J663+แพร่!J663+แม่ฮ่องสอน!J663+ลำปาง!J663+ลำพูน!J663+สุโขทัย!J663+อุตรดิตถ์!J663+อุทัยธานี!J663</f>
        <v>485.51</v>
      </c>
      <c r="K663" s="538">
        <f ca="1">IF(I663&gt;0,J663*100/I663,0)</f>
        <v>11.623413933445056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กำแพงเพชร!I665+เชียงราย!I665+เชียงใหม่!I665+ตาก!I665+นครสวรรค์!I665+น่าน!I665+พะเยา!I665+พิจิตร!I665+พิษณุโลก!I665+เพชรบูรณ์!I665+แพร่!I665+แม่ฮ่องสอน!I665+ลำปาง!I665+ลำพูน!I665+สุโขทัย!I665+อุตรดิตถ์!I665+อุทัยธานี!I665</f>
        <v>74</v>
      </c>
      <c r="J665" s="537">
        <f ca="1">กำแพงเพชร!J665+เชียงราย!J665+เชียงใหม่!J665+ตาก!J665+นครสวรรค์!J665+น่าน!J665+พะเยา!J665+พิจิตร!J665+พิษณุโลก!J665+เพชรบูรณ์!J665+แพร่!J665+แม่ฮ่องสอน!J665+ลำปาง!J665+ลำพูน!J665+สุโขทัย!J665+อุตรดิตถ์!J665+อุทัยธานี!J665</f>
        <v>0</v>
      </c>
      <c r="K665" s="538">
        <f ca="1">IF(I665&gt;0,J665*100/I665,0)</f>
        <v>0</v>
      </c>
      <c r="L665" s="523">
        <f ca="1">กำแพงเพชร!L665+เชียงราย!L665+เชียงใหม่!L665+ตาก!L665+นครสวรรค์!L665+น่าน!L665+พะเยา!L665+พิจิตร!L665+พิษณุโลก!L665+เพชรบูรณ์!L665+แพร่!L665+แม่ฮ่องสอน!L665+ลำปาง!L665+ลำพูน!L665+สุโขทัย!L665+อุตรดิตถ์!L665+อุทัยธานี!L665</f>
        <v>8880</v>
      </c>
      <c r="M665" s="522"/>
      <c r="N665" s="539">
        <f ca="1">กำแพงเพชร!N665+เชียงราย!N665+เชียงใหม่!N665+ตาก!N665+นครสวรรค์!N665+น่าน!N665+พะเยา!N665+พิจิตร!N665+พิษณุโลก!N665+เพชรบูรณ์!N665+แพร่!N665+แม่ฮ่องสอน!N665+ลำปาง!N665+ลำพูน!N665+สุโขทัย!N665+อุตรดิตถ์!N665+อุทัยธานี!N665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กำแพงเพชร!J666+เชียงราย!J666+เชียงใหม่!J666+ตาก!J666+นครสวรรค์!J666+น่าน!J666+พะเยา!J666+พิจิตร!J666+พิษณุโลก!J666+เพชรบูรณ์!J666+แพร่!J666+แม่ฮ่องสอน!J666+ลำปาง!J666+ลำพูน!J666+สุโขทัย!J666+อุตรดิตถ์!J666+อุทัยธานี!J666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กำแพงเพชร!J667+เชียงราย!J667+เชียงใหม่!J667+ตาก!J667+นครสวรรค์!J667+น่าน!J667+พะเยา!J667+พิจิตร!J667+พิษณุโลก!J667+เพชรบูรณ์!J667+แพร่!J667+แม่ฮ่องสอน!J667+ลำปาง!J667+ลำพูน!J667+สุโขทัย!J667+อุตรดิตถ์!J667+อุทัยธานี!J667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กำแพงเพชร!I668+เชียงราย!I668+เชียงใหม่!I668+ตาก!I668+นครสวรรค์!I668+น่าน!I668+พะเยา!I668+พิจิตร!I668+พิษณุโลก!I668+เพชรบูรณ์!I668+แพร่!I668+แม่ฮ่องสอน!I668+ลำปาง!I668+ลำพูน!I668+สุโขทัย!I668+อุตรดิตถ์!I668+อุทัยธานี!I668</f>
        <v>13</v>
      </c>
      <c r="J668" s="537">
        <f ca="1">กำแพงเพชร!J668+เชียงราย!J668+เชียงใหม่!J668+ตาก!J668+นครสวรรค์!J668+น่าน!J668+พะเยา!J668+พิจิตร!J668+พิษณุโลก!J668+เพชรบูรณ์!J668+แพร่!J668+แม่ฮ่องสอน!J668+ลำปาง!J668+ลำพูน!J668+สุโขทัย!J668+อุตรดิตถ์!J668+อุทัยธานี!J668</f>
        <v>0</v>
      </c>
      <c r="K668" s="538">
        <f ca="1">IF(I668&gt;0,J668*100/I668,0)</f>
        <v>0</v>
      </c>
      <c r="L668" s="523">
        <f ca="1">กำแพงเพชร!L668+เชียงราย!L668+เชียงใหม่!L668+ตาก!L668+นครสวรรค์!L668+น่าน!L668+พะเยา!L668+พิจิตร!L668+พิษณุโลก!L668+เพชรบูรณ์!L668+แพร่!L668+แม่ฮ่องสอน!L668+ลำปาง!L668+ลำพูน!L668+สุโขทัย!L668+อุตรดิตถ์!L668+อุทัยธานี!L668</f>
        <v>12520</v>
      </c>
      <c r="M668" s="522"/>
      <c r="N668" s="539">
        <f ca="1">กำแพงเพชร!N668+เชียงราย!N668+เชียงใหม่!N668+ตาก!N668+นครสวรรค์!N668+น่าน!N668+พะเยา!N668+พิจิตร!N668+พิษณุโลก!N668+เพชรบูรณ์!N668+แพร่!N668+แม่ฮ่องสอน!N668+ลำปาง!N668+ลำพูน!N668+สุโขทัย!N668+อุตรดิตถ์!N668+อุทัยธานี!N668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กำแพงเพชร!J669+เชียงราย!J669+เชียงใหม่!J669+ตาก!J669+นครสวรรค์!J669+น่าน!J669+พะเยา!J669+พิจิตร!J669+พิษณุโลก!J669+เพชรบูรณ์!J669+แพร่!J669+แม่ฮ่องสอน!J669+ลำปาง!J669+ลำพูน!J669+สุโขทัย!J669+อุตรดิตถ์!J669+อุทัยธานี!J669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กำแพงเพชร!J670+เชียงราย!J670+เชียงใหม่!J670+ตาก!J670+นครสวรรค์!J670+น่าน!J670+พะเยา!J670+พิจิตร!J670+พิษณุโลก!J670+เพชรบูรณ์!J670+แพร่!J670+แม่ฮ่องสอน!J670+ลำปาง!J670+ลำพูน!J670+สุโขทัย!J670+อุตรดิตถ์!J670+อุทัยธานี!J670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กำแพงเพชร!I671+เชียงราย!I671+เชียงใหม่!I671+ตาก!I671+นครสวรรค์!I671+น่าน!I671+พะเยา!I671+พิจิตร!I671+พิษณุโลก!I671+เพชรบูรณ์!I671+แพร่!I671+แม่ฮ่องสอน!I671+ลำปาง!I671+ลำพูน!I671+สุโขทัย!I671+อุตรดิตถ์!I671+อุทัยธานี!I671</f>
        <v>128</v>
      </c>
      <c r="J671" s="537">
        <f ca="1">J674+J677</f>
        <v>0</v>
      </c>
      <c r="K671" s="538">
        <f ca="1">IF(I671&gt;0,J671*100/I671,0)</f>
        <v>0</v>
      </c>
      <c r="L671" s="523">
        <f ca="1">กำแพงเพชร!L671+เชียงราย!L671+เชียงใหม่!L671+ตาก!L671+นครสวรรค์!L671+น่าน!L671+พะเยา!L671+พิจิตร!L671+พิษณุโลก!L671+เพชรบูรณ์!L671+แพร่!L671+แม่ฮ่องสอน!L671+ลำปาง!L671+ลำพูน!L671+สุโขทัย!L671+อุตรดิตถ์!L671+อุทัยธานี!L671</f>
        <v>10240</v>
      </c>
      <c r="M671" s="522"/>
      <c r="N671" s="539">
        <f ca="1">กำแพงเพชร!N671+เชียงราย!N671+เชียงใหม่!N671+ตาก!N671+นครสวรรค์!N671+น่าน!N671+พะเยา!N671+พิจิตร!N671+พิษณุโลก!N671+เพชรบูรณ์!N671+แพร่!N671+แม่ฮ่องสอน!N671+ลำปาง!N671+ลำพูน!N671+สุโขทัย!N671+อุตรดิตถ์!N671+อุทัยธานี!N671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กำแพงเพชร!J672+เชียงราย!J672+เชียงใหม่!J672+ตาก!J672+นครสวรรค์!J672+น่าน!J672+พะเยา!J672+พิจิตร!J672+พิษณุโลก!J672+เพชรบูรณ์!J672+แพร่!J672+แม่ฮ่องสอน!J672+ลำปาง!J672+ลำพูน!J672+สุโขทัย!J672+อุตรดิตถ์!J672+อุทัยธานี!J672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กำแพงเพชร!J673+เชียงราย!J673+เชียงใหม่!J673+ตาก!J673+นครสวรรค์!J673+น่าน!J673+พะเยา!J673+พิจิตร!J673+พิษณุโลก!J673+เพชรบูรณ์!J673+แพร่!J673+แม่ฮ่องสอน!J673+ลำปาง!J673+ลำพูน!J673+สุโขทัย!J673+อุตรดิตถ์!J673+อุทัยธานี!J673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กำแพงเพชร!J674+เชียงราย!J674+เชียงใหม่!J674+ตาก!J674+นครสวรรค์!J674+น่าน!J674+พะเยา!J674+พิจิตร!J674+พิษณุโลก!J674+เพชรบูรณ์!J674+แพร่!J674+แม่ฮ่องสอน!J674+ลำปาง!J674+ลำพูน!J674+สุโขทัย!J674+อุตรดิตถ์!J674+อุทัยธานี!J674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กำแพงเพชร!J675+เชียงราย!J675+เชียงใหม่!J675+ตาก!J675+นครสวรรค์!J675+น่าน!J675+พะเยา!J675+พิจิตร!J675+พิษณุโลก!J675+เพชรบูรณ์!J675+แพร่!J675+แม่ฮ่องสอน!J675+ลำปาง!J675+ลำพูน!J675+สุโขทัย!J675+อุตรดิตถ์!J675+อุทัยธานี!J675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กำแพงเพชร!J676+เชียงราย!J676+เชียงใหม่!J676+ตาก!J676+นครสวรรค์!J676+น่าน!J676+พะเยา!J676+พิจิตร!J676+พิษณุโลก!J676+เพชรบูรณ์!J676+แพร่!J676+แม่ฮ่องสอน!J676+ลำปาง!J676+ลำพูน!J676+สุโขทัย!J676+อุตรดิตถ์!J676+อุทัยธานี!J676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กำแพงเพชร!J677+เชียงราย!J677+เชียงใหม่!J677+ตาก!J677+นครสวรรค์!J677+น่าน!J677+พะเยา!J677+พิจิตร!J677+พิษณุโลก!J677+เพชรบูรณ์!J677+แพร่!J677+แม่ฮ่องสอน!J677+ลำปาง!J677+ลำพูน!J677+สุโขทัย!J677+อุตรดิตถ์!J677+อุทัยธานี!J677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61"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276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6983269</v>
      </c>
      <c r="M8" s="25">
        <f t="shared" ca="1" si="0"/>
        <v>3489827</v>
      </c>
      <c r="N8" s="25">
        <f t="shared" ca="1" si="0"/>
        <v>3167405.21</v>
      </c>
      <c r="O8" s="24">
        <f t="shared" ref="O8:O16" ca="1" si="1">IF(L8&gt;0,N8*100/L8,0)</f>
        <v>45.357055699844871</v>
      </c>
      <c r="P8" s="24">
        <f t="shared" ref="P8:P16" ca="1" si="2">IF(M8&gt;0,N8*100/M8,0)</f>
        <v>90.76109532077092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6983269</v>
      </c>
      <c r="M10" s="32">
        <f t="shared" ca="1" si="4"/>
        <v>3489827</v>
      </c>
      <c r="N10" s="32">
        <f t="shared" ca="1" si="4"/>
        <v>3167405.21</v>
      </c>
      <c r="O10" s="31">
        <f t="shared" ca="1" si="1"/>
        <v>45.357055699844871</v>
      </c>
      <c r="P10" s="31">
        <f t="shared" ca="1" si="2"/>
        <v>90.76109532077092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6908269</v>
      </c>
      <c r="M12" s="41">
        <f t="shared" ca="1" si="6"/>
        <v>3414827</v>
      </c>
      <c r="N12" s="41">
        <f t="shared" ca="1" si="6"/>
        <v>3092405.21</v>
      </c>
      <c r="O12" s="41">
        <f t="shared" ca="1" si="1"/>
        <v>44.763821588302363</v>
      </c>
      <c r="P12" s="41">
        <f t="shared" ca="1" si="2"/>
        <v>90.558180839029333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2200100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4708169</v>
      </c>
      <c r="M14" s="41">
        <f t="shared" si="8"/>
        <v>0</v>
      </c>
      <c r="N14" s="41">
        <f t="shared" ca="1" si="8"/>
        <v>724771.69</v>
      </c>
      <c r="O14" s="41">
        <f t="shared" ca="1" si="1"/>
        <v>15.393918315166681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75000</v>
      </c>
      <c r="M16" s="41">
        <f t="shared" ca="1" si="10"/>
        <v>75000</v>
      </c>
      <c r="N16" s="41">
        <f t="shared" ca="1" si="10"/>
        <v>75000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4241230</v>
      </c>
      <c r="M18" s="25">
        <f t="shared" ca="1" si="11"/>
        <v>3489827</v>
      </c>
      <c r="N18" s="25">
        <f t="shared" ca="1" si="11"/>
        <v>2442633.52</v>
      </c>
      <c r="O18" s="24">
        <f t="shared" ref="O18:O20" ca="1" si="12">IF(L18&gt;0,N18*100/L18,0)</f>
        <v>57.59257385239659</v>
      </c>
      <c r="P18" s="24">
        <f t="shared" ref="P18:P26" ca="1" si="13">IF(M18&gt;0,N18*100/M18,0)</f>
        <v>69.992968705898605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4241230</v>
      </c>
      <c r="M20" s="32">
        <f t="shared" ca="1" si="15"/>
        <v>3489827</v>
      </c>
      <c r="N20" s="32">
        <f t="shared" ca="1" si="15"/>
        <v>2442633.52</v>
      </c>
      <c r="O20" s="31">
        <f t="shared" ca="1" si="12"/>
        <v>57.59257385239659</v>
      </c>
      <c r="P20" s="31">
        <f t="shared" ca="1" si="13"/>
        <v>69.992968705898605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4166230</v>
      </c>
      <c r="M22" s="44">
        <f t="shared" ca="1" si="18"/>
        <v>3414827</v>
      </c>
      <c r="N22" s="41">
        <f t="shared" ca="1" si="18"/>
        <v>2367633.52</v>
      </c>
      <c r="O22" s="41">
        <f t="shared" ca="1" si="17"/>
        <v>56.829160175986445</v>
      </c>
      <c r="P22" s="41">
        <f t="shared" ca="1" si="13"/>
        <v>69.333922919081985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2200100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1966130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75000</v>
      </c>
      <c r="M26" s="52">
        <f t="shared" ca="1" si="22"/>
        <v>75000</v>
      </c>
      <c r="N26" s="52">
        <f t="shared" ca="1" si="22"/>
        <v>75000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2742039</v>
      </c>
      <c r="M28" s="25">
        <f t="shared" si="23"/>
        <v>0</v>
      </c>
      <c r="N28" s="25">
        <f t="shared" ca="1" si="23"/>
        <v>724771.69</v>
      </c>
      <c r="O28" s="24">
        <f t="shared" ref="O28:O30" ca="1" si="24">IF(L28&gt;0,N28*100/L28,0)</f>
        <v>26.431851990434854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2742039</v>
      </c>
      <c r="M30" s="32">
        <f t="shared" si="27"/>
        <v>0</v>
      </c>
      <c r="N30" s="32">
        <f t="shared" ca="1" si="27"/>
        <v>724771.69</v>
      </c>
      <c r="O30" s="31">
        <f t="shared" ca="1" si="24"/>
        <v>26.431851990434854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2742039</v>
      </c>
      <c r="M32" s="41">
        <f t="shared" si="30"/>
        <v>0</v>
      </c>
      <c r="N32" s="41">
        <f t="shared" ca="1" si="30"/>
        <v>724771.69</v>
      </c>
      <c r="O32" s="41">
        <f t="shared" ca="1" si="29"/>
        <v>26.431851990434854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2742039</v>
      </c>
      <c r="M34" s="41">
        <f t="shared" si="32"/>
        <v>0</v>
      </c>
      <c r="N34" s="41">
        <f t="shared" ca="1" si="32"/>
        <v>724771.69</v>
      </c>
      <c r="O34" s="41">
        <f t="shared" ca="1" si="29"/>
        <v>26.431851990434854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4241230</v>
      </c>
      <c r="M37" s="57">
        <f t="shared" ca="1" si="33"/>
        <v>3489827</v>
      </c>
      <c r="N37" s="57">
        <f t="shared" ca="1" si="33"/>
        <v>2442633.52</v>
      </c>
      <c r="O37" s="58">
        <f t="shared" ca="1" si="29"/>
        <v>57.59257385239659</v>
      </c>
      <c r="P37" s="58">
        <f t="shared" ca="1" si="25"/>
        <v>69.992968705898605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1038100</v>
      </c>
      <c r="M41" s="81">
        <f t="shared" ca="1" si="34"/>
        <v>778600</v>
      </c>
      <c r="N41" s="81">
        <f t="shared" ca="1" si="34"/>
        <v>679998.82</v>
      </c>
      <c r="O41" s="80">
        <f t="shared" ref="O41:O43" ca="1" si="35">IF(L41&gt;0,N41*100/L41,0)</f>
        <v>65.50417300838069</v>
      </c>
      <c r="P41" s="80">
        <f t="shared" ref="P41:P43" ca="1" si="36">IF(M41&gt;0,N41*100/M41,0)</f>
        <v>87.336092987413309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1038100</v>
      </c>
      <c r="M43" s="81">
        <f t="shared" ca="1" si="38"/>
        <v>778600</v>
      </c>
      <c r="N43" s="81">
        <f t="shared" ca="1" si="38"/>
        <v>679998.82</v>
      </c>
      <c r="O43" s="80">
        <f t="shared" ca="1" si="35"/>
        <v>65.50417300838069</v>
      </c>
      <c r="P43" s="80">
        <f t="shared" ca="1" si="36"/>
        <v>87.336092987413309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1038100</v>
      </c>
      <c r="M45" s="52">
        <f ca="1">IFERROR(__xludf.DUMMYFUNCTION("IMPORTRANGE(""https://docs.google.com/spreadsheets/d/1Yj_ptqi66GCucihVvJfMjLAmec39IyEx_6qawtMGysU/edit?usp=sharing"",""สบก!Q28"")"),778600)</f>
        <v>778600</v>
      </c>
      <c r="N45" s="52">
        <f ca="1">IFERROR(__xludf.DUMMYFUNCTION("IMPORTRANGE(""https://docs.google.com/spreadsheets/d/1Yj_ptqi66GCucihVvJfMjLAmec39IyEx_6qawtMGysU/edit?usp=sharing"",""สบก!R28"")"),679998.82)</f>
        <v>679998.82</v>
      </c>
      <c r="O45" s="41">
        <f ca="1">IF(L45&gt;0,N45*100/L45,0)</f>
        <v>65.50417300838069</v>
      </c>
      <c r="P45" s="41">
        <f ca="1">IF(M45&gt;0,N45*100/M45,0)</f>
        <v>87.336092987413309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IFERROR(__xludf.DUMMYFUNCTION("IMPORTRANGE(""https://docs.google.com/spreadsheets/d/1Yj_ptqi66GCucihVvJfMjLAmec39IyEx_6qawtMGysU/edit?usp=sharing"",""สบก!M28"")"),1038100)</f>
        <v>1038100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IFERROR(__xludf.DUMMYFUNCTION("IMPORTRANGE(""https://docs.google.com/spreadsheets/d/1Yj_ptqi66GCucihVvJfMjLAmec39IyEx_6qawtMGysU/edit?usp=sharing"",""สบก!N28"")"),0)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IFERROR(__xludf.DUMMYFUNCTION("IMPORTRANGE(""https://docs.google.com/spreadsheets/d/1Yj_ptqi66GCucihVvJfMjLAmec39IyEx_6qawtMGysU/edit?usp=sharing"",""สบก!O28"")"),0)</f>
        <v>0</v>
      </c>
      <c r="M49" s="52"/>
      <c r="N49" s="52">
        <f ca="1">IFERROR(__xludf.DUMMYFUNCTION("IMPORTRANGE(""https://docs.google.com/spreadsheets/d/1Yj_ptqi66GCucihVvJfMjLAmec39IyEx_6qawtMGysU/edit?usp=sharing"",""สบก!S28"")"),0)</f>
        <v>0</v>
      </c>
      <c r="O49" s="52">
        <f ca="1">IF(L49&gt;0,N49*100/L49,0)</f>
        <v>0</v>
      </c>
      <c r="P49" s="52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400000</v>
      </c>
      <c r="M53" s="123">
        <f t="shared" ca="1" si="39"/>
        <v>328802</v>
      </c>
      <c r="N53" s="123">
        <f t="shared" ca="1" si="39"/>
        <v>310303.3</v>
      </c>
      <c r="O53" s="122">
        <f t="shared" ref="O53:O55" ca="1" si="40">IF(L53&gt;0,N53*100/L53,0)</f>
        <v>77.575824999999995</v>
      </c>
      <c r="P53" s="122">
        <f t="shared" ref="P53:P55" ca="1" si="41">IF(M53&gt;0,N53*100/M53,0)</f>
        <v>94.37390891782897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400000</v>
      </c>
      <c r="M55" s="123">
        <f t="shared" ca="1" si="43"/>
        <v>328802</v>
      </c>
      <c r="N55" s="123">
        <f t="shared" ca="1" si="43"/>
        <v>310303.3</v>
      </c>
      <c r="O55" s="122">
        <f t="shared" ca="1" si="40"/>
        <v>77.575824999999995</v>
      </c>
      <c r="P55" s="122">
        <f t="shared" ca="1" si="41"/>
        <v>94.37390891782897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400000</v>
      </c>
      <c r="M57" s="52">
        <f ca="1">IFERROR(__xludf.DUMMYFUNCTION("IMPORTRANGE(""https://docs.google.com/spreadsheets/d/1Yj_ptqi66GCucihVvJfMjLAmec39IyEx_6qawtMGysU/edit?usp=sharing"",""สบก!Z28"")"),328802)</f>
        <v>328802</v>
      </c>
      <c r="N57" s="52">
        <f ca="1">IFERROR(__xludf.DUMMYFUNCTION("IMPORTRANGE(""https://docs.google.com/spreadsheets/d/1Yj_ptqi66GCucihVvJfMjLAmec39IyEx_6qawtMGysU/edit?usp=sharing"",""สบก!AA28"")"),310303.3)</f>
        <v>310303.3</v>
      </c>
      <c r="O57" s="41">
        <f ca="1">IF(L57&gt;0,N57*100/L57,0)</f>
        <v>77.575824999999995</v>
      </c>
      <c r="P57" s="41">
        <f ca="1">IF(M57&gt;0,N57*100/M57,0)</f>
        <v>94.37390891782897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IFERROR(__xludf.DUMMYFUNCTION("IMPORTRANGE(""https://docs.google.com/spreadsheets/d/1Yj_ptqi66GCucihVvJfMjLAmec39IyEx_6qawtMGysU/edit?usp=sharing"",""สบก!V28"")"),400000)</f>
        <v>400000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IFERROR(__xludf.DUMMYFUNCTION("IMPORTRANGE(""https://docs.google.com/spreadsheets/d/1Yj_ptqi66GCucihVvJfMjLAmec39IyEx_6qawtMGysU/edit?usp=sharing"",""สบก!W28"")"),0)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IFERROR(__xludf.DUMMYFUNCTION("IMPORTRANGE(""https://docs.google.com/spreadsheets/d/1Yj_ptqi66GCucihVvJfMjLAmec39IyEx_6qawtMGysU/edit?usp=sharing"",""สบก!X28"")"),0)</f>
        <v>0</v>
      </c>
      <c r="M61" s="52"/>
      <c r="N61" s="52">
        <f ca="1">IFERROR(__xludf.DUMMYFUNCTION("IMPORTRANGE(""https://docs.google.com/spreadsheets/d/1Yj_ptqi66GCucihVvJfMjLAmec39IyEx_6qawtMGysU/edit?usp=sharing"",""สบก!AB28"")"),0)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IFERROR(__xludf.DUMMYFUNCTION("IMPORTRANGE(""https://docs.google.com/spreadsheets/d/11923uPwbBZFjjGgGUA6NLw09EwE0CqkOc4q9oUmW1yo/edit?usp=sharing"",""พิษณุโลก!I9"")"),3)</f>
        <v>3</v>
      </c>
      <c r="J64" s="144">
        <f ca="1">IFERROR(__xludf.DUMMYFUNCTION("IMPORTRANGE(""https://docs.google.com/spreadsheets/d/11923uPwbBZFjjGgGUA6NLw09EwE0CqkOc4q9oUmW1yo/edit?usp=sharing"",""พิษณุโลก!J9"")"),3)</f>
        <v>3</v>
      </c>
      <c r="K64" s="145">
        <f t="shared" ref="K64:K65" ca="1" si="44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IFERROR(__xludf.DUMMYFUNCTION("IMPORTRANGE(""https://docs.google.com/spreadsheets/d/11923uPwbBZFjjGgGUA6NLw09EwE0CqkOc4q9oUmW1yo/edit?usp=sharing"",""พิษณุโลก!I10"")"),188)</f>
        <v>188</v>
      </c>
      <c r="J65" s="144">
        <f ca="1">IFERROR(__xludf.DUMMYFUNCTION("IMPORTRANGE(""https://docs.google.com/spreadsheets/d/11923uPwbBZFjjGgGUA6NLw09EwE0CqkOc4q9oUmW1yo/edit?usp=sharing"",""พิษณุโลก!J10"")"),188)</f>
        <v>188</v>
      </c>
      <c r="K65" s="145">
        <f t="shared" ca="1" si="44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1706600</v>
      </c>
      <c r="M66" s="154">
        <f t="shared" ca="1" si="45"/>
        <v>1523980</v>
      </c>
      <c r="N66" s="154">
        <f t="shared" ca="1" si="45"/>
        <v>790405.4</v>
      </c>
      <c r="O66" s="153">
        <f t="shared" ref="O66:O68" ca="1" si="46">IF(L66&gt;0,N66*100/L66,0)</f>
        <v>46.314625571311382</v>
      </c>
      <c r="P66" s="153">
        <f t="shared" ref="P66:P68" ca="1" si="47">IF(M66&gt;0,N66*100/M66,0)</f>
        <v>51.864552028241839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1706600</v>
      </c>
      <c r="M68" s="90">
        <f t="shared" ca="1" si="49"/>
        <v>1523980</v>
      </c>
      <c r="N68" s="90">
        <f t="shared" ca="1" si="49"/>
        <v>790405.4</v>
      </c>
      <c r="O68" s="158">
        <f t="shared" ca="1" si="46"/>
        <v>46.314625571311382</v>
      </c>
      <c r="P68" s="158">
        <f t="shared" ca="1" si="47"/>
        <v>51.864552028241839</v>
      </c>
    </row>
    <row r="69" spans="1:16" ht="21.75" customHeight="1">
      <c r="A69" s="159"/>
      <c r="B69" s="160"/>
      <c r="C69" s="160" t="s">
        <v>16</v>
      </c>
      <c r="D69" s="570" t="s">
        <v>20</v>
      </c>
      <c r="E69" s="565"/>
      <c r="F69" s="565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1646600</v>
      </c>
      <c r="M70" s="169">
        <f ca="1">IFERROR(__xludf.DUMMYFUNCTION("IMPORTRANGE(""https://docs.google.com/spreadsheets/d/1Yj_ptqi66GCucihVvJfMjLAmec39IyEx_6qawtMGysU/edit?usp=sharing"",""สบก!AI28"")"),1463980)</f>
        <v>1463980</v>
      </c>
      <c r="N70" s="170">
        <f ca="1">IFERROR(__xludf.DUMMYFUNCTION("IMPORTRANGE(""https://docs.google.com/spreadsheets/d/1Yj_ptqi66GCucihVvJfMjLAmec39IyEx_6qawtMGysU/edit?usp=sharing"",""สบก!AJ28"")"),730405.4)</f>
        <v>730405.4</v>
      </c>
      <c r="O70" s="170">
        <f ca="1">IF(L70&gt;0,N70*100/L70,0)</f>
        <v>44.358399125470669</v>
      </c>
      <c r="P70" s="170">
        <f ca="1">IF(M70&gt;0,N70*100/M70,0)</f>
        <v>49.891760816404599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IFERROR(__xludf.DUMMYFUNCTION("IMPORTRANGE(""https://docs.google.com/spreadsheets/d/1Yj_ptqi66GCucihVvJfMjLAmec39IyEx_6qawtMGysU/edit?usp=sharing"",""สบก!AE28"")"),192000)</f>
        <v>192000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IFERROR(__xludf.DUMMYFUNCTION("IMPORTRANGE(""https://docs.google.com/spreadsheets/d/1Yj_ptqi66GCucihVvJfMjLAmec39IyEx_6qawtMGysU/edit?usp=sharing"",""สบก!AF28"")"),1454600)</f>
        <v>1454600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IFERROR(__xludf.DUMMYFUNCTION("IMPORTRANGE(""https://docs.google.com/spreadsheets/d/1Yj_ptqi66GCucihVvJfMjLAmec39IyEx_6qawtMGysU/edit?usp=sharing"",""สบก!AG28"")"),60000)</f>
        <v>60000</v>
      </c>
      <c r="M74" s="52">
        <f ca="1">L74</f>
        <v>60000</v>
      </c>
      <c r="N74" s="52">
        <f ca="1">IFERROR(__xludf.DUMMYFUNCTION("IMPORTRANGE(""https://docs.google.com/spreadsheets/d/1Yj_ptqi66GCucihVvJfMjLAmec39IyEx_6qawtMGysU/edit?usp=sharing"",""สบก!AK28"")"),60000)</f>
        <v>60000</v>
      </c>
      <c r="O74" s="52">
        <f ca="1">IF(L74&gt;0,N74*100/L74,0)</f>
        <v>100</v>
      </c>
      <c r="P74" s="52">
        <f ca="1">IF(M74&gt;0,N74*100/M74,0)</f>
        <v>100</v>
      </c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IFERROR(__xludf.DUMMYFUNCTION("IMPORTRANGE(""https://docs.google.com/spreadsheets/d/11923uPwbBZFjjGgGUA6NLw09EwE0CqkOc4q9oUmW1yo/edit?usp=sharing"",""พิษณุโลก!J16"")"),0)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IFERROR(__xludf.DUMMYFUNCTION("IMPORTRANGE(""https://docs.google.com/spreadsheets/d/11923uPwbBZFjjGgGUA6NLw09EwE0CqkOc4q9oUmW1yo/edit?usp=sharing"",""พิษณุโลก!J17"")"),1)</f>
        <v>1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IFERROR(__xludf.DUMMYFUNCTION("IMPORTRANGE(""https://docs.google.com/spreadsheets/d/11923uPwbBZFjjGgGUA6NLw09EwE0CqkOc4q9oUmW1yo/edit?usp=sharing"",""พิษณุโลก!J18"")"),1)</f>
        <v>1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IFERROR(__xludf.DUMMYFUNCTION("IMPORTRANGE(""https://docs.google.com/spreadsheets/d/11923uPwbBZFjjGgGUA6NLw09EwE0CqkOc4q9oUmW1yo/edit?usp=sharing"",""พิษณุโลก!J19"")"),1)</f>
        <v>1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IFERROR(__xludf.DUMMYFUNCTION("IMPORTRANGE(""https://docs.google.com/spreadsheets/d/11923uPwbBZFjjGgGUA6NLw09EwE0CqkOc4q9oUmW1yo/edit?usp=sharing"",""พิษณุโลก!I20"")"),3)</f>
        <v>3</v>
      </c>
      <c r="J80" s="202">
        <f ca="1">IFERROR(__xludf.DUMMYFUNCTION("IMPORTRANGE(""https://docs.google.com/spreadsheets/d/11923uPwbBZFjjGgGUA6NLw09EwE0CqkOc4q9oUmW1yo/edit?usp=sharing"",""พิษณุโลก!J20"")"),3)</f>
        <v>3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IFERROR(__xludf.DUMMYFUNCTION("IMPORTRANGE(""https://docs.google.com/spreadsheets/d/11923uPwbBZFjjGgGUA6NLw09EwE0CqkOc4q9oUmW1yo/edit?usp=sharing"",""พิษณุโลก!I21"")"),188)</f>
        <v>188</v>
      </c>
      <c r="J81" s="202">
        <f ca="1">IFERROR(__xludf.DUMMYFUNCTION("IMPORTRANGE(""https://docs.google.com/spreadsheets/d/11923uPwbBZFjjGgGUA6NLw09EwE0CqkOc4q9oUmW1yo/edit?usp=sharing"",""พิษณุโลก!J21"")"),188)</f>
        <v>188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IFERROR(__xludf.DUMMYFUNCTION("IMPORTRANGE(""https://docs.google.com/spreadsheets/d/11923uPwbBZFjjGgGUA6NLw09EwE0CqkOc4q9oUmW1yo/edit?usp=sharing"",""พิษณุโลก!I22"")"),0)</f>
        <v>0</v>
      </c>
      <c r="J82" s="205">
        <f ca="1">IFERROR(__xludf.DUMMYFUNCTION("IMPORTRANGE(""https://docs.google.com/spreadsheets/d/11923uPwbBZFjjGgGUA6NLw09EwE0CqkOc4q9oUmW1yo/edit?usp=sharing"",""พิษณุโลก!J22"")"),0)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IFERROR(__xludf.DUMMYFUNCTION("IMPORTRANGE(""https://docs.google.com/spreadsheets/d/11923uPwbBZFjjGgGUA6NLw09EwE0CqkOc4q9oUmW1yo/edit?usp=sharing"",""พิษณุโลก!I23"")"),0)</f>
        <v>0</v>
      </c>
      <c r="J83" s="205">
        <f ca="1">IFERROR(__xludf.DUMMYFUNCTION("IMPORTRANGE(""https://docs.google.com/spreadsheets/d/11923uPwbBZFjjGgGUA6NLw09EwE0CqkOc4q9oUmW1yo/edit?usp=sharing"",""พิษณุโลก!J23"")"),0)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IFERROR(__xludf.DUMMYFUNCTION("IMPORTRANGE(""https://docs.google.com/spreadsheets/d/11923uPwbBZFjjGgGUA6NLw09EwE0CqkOc4q9oUmW1yo/edit?usp=sharing"",""พิษณุโลก!I24"")"),0)</f>
        <v>0</v>
      </c>
      <c r="J84" s="190">
        <f ca="1">IFERROR(__xludf.DUMMYFUNCTION("IMPORTRANGE(""https://docs.google.com/spreadsheets/d/11923uPwbBZFjjGgGUA6NLw09EwE0CqkOc4q9oUmW1yo/edit?usp=sharing"",""พิษณุโลก!J24"")"),0)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IFERROR(__xludf.DUMMYFUNCTION("IMPORTRANGE(""https://docs.google.com/spreadsheets/d/11923uPwbBZFjjGgGUA6NLw09EwE0CqkOc4q9oUmW1yo/edit?usp=sharing"",""พิษณุโลก!I25"")"),0)</f>
        <v>0</v>
      </c>
      <c r="J85" s="190">
        <f ca="1">IFERROR(__xludf.DUMMYFUNCTION("IMPORTRANGE(""https://docs.google.com/spreadsheets/d/11923uPwbBZFjjGgGUA6NLw09EwE0CqkOc4q9oUmW1yo/edit?usp=sharing"",""พิษณุโลก!J25"")"),0)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IFERROR(__xludf.DUMMYFUNCTION("IMPORTRANGE(""https://docs.google.com/spreadsheets/d/11923uPwbBZFjjGgGUA6NLw09EwE0CqkOc4q9oUmW1yo/edit?usp=sharing"",""พิษณุโลก!I26"")"),3)</f>
        <v>3</v>
      </c>
      <c r="J86" s="205">
        <f ca="1">IFERROR(__xludf.DUMMYFUNCTION("IMPORTRANGE(""https://docs.google.com/spreadsheets/d/11923uPwbBZFjjGgGUA6NLw09EwE0CqkOc4q9oUmW1yo/edit?usp=sharing"",""พิษณุโลก!J26"")"),3)</f>
        <v>3</v>
      </c>
      <c r="K86" s="165">
        <f t="shared" ca="1" si="50"/>
        <v>100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IFERROR(__xludf.DUMMYFUNCTION("IMPORTRANGE(""https://docs.google.com/spreadsheets/d/11923uPwbBZFjjGgGUA6NLw09EwE0CqkOc4q9oUmW1yo/edit?usp=sharing"",""พิษณุโลก!I27"")"),188)</f>
        <v>188</v>
      </c>
      <c r="J87" s="205">
        <f ca="1">IFERROR(__xludf.DUMMYFUNCTION("IMPORTRANGE(""https://docs.google.com/spreadsheets/d/11923uPwbBZFjjGgGUA6NLw09EwE0CqkOc4q9oUmW1yo/edit?usp=sharing"",""พิษณุโลก!J27"")"),188)</f>
        <v>188</v>
      </c>
      <c r="K87" s="165">
        <f t="shared" ca="1" si="50"/>
        <v>100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IFERROR(__xludf.DUMMYFUNCTION("IMPORTRANGE(""https://docs.google.com/spreadsheets/d/11923uPwbBZFjjGgGUA6NLw09EwE0CqkOc4q9oUmW1yo/edit?usp=sharing"",""พิษณุโลก!I28"")"),0)</f>
        <v>0</v>
      </c>
      <c r="J88" s="205">
        <f ca="1">IFERROR(__xludf.DUMMYFUNCTION("IMPORTRANGE(""https://docs.google.com/spreadsheets/d/11923uPwbBZFjjGgGUA6NLw09EwE0CqkOc4q9oUmW1yo/edit?usp=sharing"",""พิษณุโลก!J28"")"),0)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IFERROR(__xludf.DUMMYFUNCTION("IMPORTRANGE(""https://docs.google.com/spreadsheets/d/11923uPwbBZFjjGgGUA6NLw09EwE0CqkOc4q9oUmW1yo/edit?usp=sharing"",""พิษณุโลก!J29"")"),0)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IFERROR(__xludf.DUMMYFUNCTION("IMPORTRANGE(""https://docs.google.com/spreadsheets/d/11923uPwbBZFjjGgGUA6NLw09EwE0CqkOc4q9oUmW1yo/edit?usp=sharing"",""พิษณุโลก!J30"")"),0)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IFERROR(__xludf.DUMMYFUNCTION("IMPORTRANGE(""https://docs.google.com/spreadsheets/d/11923uPwbBZFjjGgGUA6NLw09EwE0CqkOc4q9oUmW1yo/edit?usp=sharing"",""พิษณุโลก!I32"")"),0)</f>
        <v>0</v>
      </c>
      <c r="J92" s="144">
        <f ca="1">IFERROR(__xludf.DUMMYFUNCTION("IMPORTRANGE(""https://docs.google.com/spreadsheets/d/11923uPwbBZFjjGgGUA6NLw09EwE0CqkOc4q9oUmW1yo/edit?usp=sharing"",""พิษณุโลก!J32"")"),0)</f>
        <v>0</v>
      </c>
      <c r="K92" s="145">
        <f t="shared" ref="K92:K93" ca="1" si="51">IF(I92&gt;0,J92*100/I92,0)</f>
        <v>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IFERROR(__xludf.DUMMYFUNCTION("IMPORTRANGE(""https://docs.google.com/spreadsheets/d/11923uPwbBZFjjGgGUA6NLw09EwE0CqkOc4q9oUmW1yo/edit?usp=sharing"",""พิษณุโลก!I33"")"),0)</f>
        <v>0</v>
      </c>
      <c r="J93" s="144">
        <f ca="1">IFERROR(__xludf.DUMMYFUNCTION("IMPORTRANGE(""https://docs.google.com/spreadsheets/d/11923uPwbBZFjjGgGUA6NLw09EwE0CqkOc4q9oUmW1yo/edit?usp=sharing"",""พิษณุโลก!J33"")"),0)</f>
        <v>0</v>
      </c>
      <c r="K93" s="145">
        <f t="shared" ca="1" si="51"/>
        <v>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0</v>
      </c>
      <c r="M96" s="90">
        <f t="shared" ca="1" si="56"/>
        <v>0</v>
      </c>
      <c r="N96" s="90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59"/>
      <c r="B97" s="160"/>
      <c r="C97" s="160" t="s">
        <v>16</v>
      </c>
      <c r="D97" s="570" t="s">
        <v>20</v>
      </c>
      <c r="E97" s="565"/>
      <c r="F97" s="565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IFERROR(__xludf.DUMMYFUNCTION("IMPORTRANGE(""https://docs.google.com/spreadsheets/d/1Yj_ptqi66GCucihVvJfMjLAmec39IyEx_6qawtMGysU/edit?usp=sharing"",""สบก!AR28"")"),0)</f>
        <v>0</v>
      </c>
      <c r="N98" s="170">
        <f ca="1">IFERROR(__xludf.DUMMYFUNCTION("IMPORTRANGE(""https://docs.google.com/spreadsheets/d/1Yj_ptqi66GCucihVvJfMjLAmec39IyEx_6qawtMGysU/edit?usp=sharing"",""สบก!AS28"")"),0)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IFERROR(__xludf.DUMMYFUNCTION("IMPORTRANGE(""https://docs.google.com/spreadsheets/d/1Yj_ptqi66GCucihVvJfMjLAmec39IyEx_6qawtMGysU/edit?usp=sharing"",""สบก!AN28"")"),0)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IFERROR(__xludf.DUMMYFUNCTION("IMPORTRANGE(""https://docs.google.com/spreadsheets/d/1Yj_ptqi66GCucihVvJfMjLAmec39IyEx_6qawtMGysU/edit?usp=sharing"",""สบก!AO28"")"),0)</f>
        <v>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IFERROR(__xludf.DUMMYFUNCTION("IMPORTRANGE(""https://docs.google.com/spreadsheets/d/1Yj_ptqi66GCucihVvJfMjLAmec39IyEx_6qawtMGysU/edit?usp=sharing"",""สบก!AP28"")"),0)</f>
        <v>0</v>
      </c>
      <c r="M102" s="52"/>
      <c r="N102" s="52">
        <f ca="1">IFERROR(__xludf.DUMMYFUNCTION("IMPORTRANGE(""https://docs.google.com/spreadsheets/d/1Yj_ptqi66GCucihVvJfMjLAmec39IyEx_6qawtMGysU/edit?usp=sharing"",""สบก!AT28"")"),0)</f>
        <v>0</v>
      </c>
      <c r="O102" s="52">
        <f ca="1">IF(L102&gt;0,N102*100/L102,0)</f>
        <v>0</v>
      </c>
      <c r="P102" s="52"/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IFERROR(__xludf.DUMMYFUNCTION("IMPORTRANGE(""https://docs.google.com/spreadsheets/d/11923uPwbBZFjjGgGUA6NLw09EwE0CqkOc4q9oUmW1yo/edit?usp=sharing"",""พิษณุโลก!J39"")"),0)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IFERROR(__xludf.DUMMYFUNCTION("IMPORTRANGE(""https://docs.google.com/spreadsheets/d/11923uPwbBZFjjGgGUA6NLw09EwE0CqkOc4q9oUmW1yo/edit?usp=sharing"",""พิษณุโลก!J40"")"),0)</f>
        <v>0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IFERROR(__xludf.DUMMYFUNCTION("IMPORTRANGE(""https://docs.google.com/spreadsheets/d/11923uPwbBZFjjGgGUA6NLw09EwE0CqkOc4q9oUmW1yo/edit?usp=sharing"",""พิษณุโลก!J41"")"),0)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IFERROR(__xludf.DUMMYFUNCTION("IMPORTRANGE(""https://docs.google.com/spreadsheets/d/11923uPwbBZFjjGgGUA6NLw09EwE0CqkOc4q9oUmW1yo/edit?usp=sharing"",""พิษณุโลก!J42"")"),0)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IFERROR(__xludf.DUMMYFUNCTION("IMPORTRANGE(""https://docs.google.com/spreadsheets/d/11923uPwbBZFjjGgGUA6NLw09EwE0CqkOc4q9oUmW1yo/edit?usp=sharing"",""พิษณุโลก!I43"")"),0)</f>
        <v>0</v>
      </c>
      <c r="J108" s="205">
        <f ca="1">IFERROR(__xludf.DUMMYFUNCTION("IMPORTRANGE(""https://docs.google.com/spreadsheets/d/11923uPwbBZFjjGgGUA6NLw09EwE0CqkOc4q9oUmW1yo/edit?usp=sharing"",""พิษณุโลก!J43"")"),0)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IFERROR(__xludf.DUMMYFUNCTION("IMPORTRANGE(""https://docs.google.com/spreadsheets/d/11923uPwbBZFjjGgGUA6NLw09EwE0CqkOc4q9oUmW1yo/edit?usp=sharing"",""พิษณุโลก!I44"")"),0)</f>
        <v>0</v>
      </c>
      <c r="J109" s="205">
        <f ca="1">IFERROR(__xludf.DUMMYFUNCTION("IMPORTRANGE(""https://docs.google.com/spreadsheets/d/11923uPwbBZFjjGgGUA6NLw09EwE0CqkOc4q9oUmW1yo/edit?usp=sharing"",""พิษณุโลก!J44"")"),0)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IFERROR(__xludf.DUMMYFUNCTION("IMPORTRANGE(""https://docs.google.com/spreadsheets/d/11923uPwbBZFjjGgGUA6NLw09EwE0CqkOc4q9oUmW1yo/edit?usp=sharing"",""พิษณุโลก!I45"")"),0)</f>
        <v>0</v>
      </c>
      <c r="J110" s="205">
        <f ca="1">IFERROR(__xludf.DUMMYFUNCTION("IMPORTRANGE(""https://docs.google.com/spreadsheets/d/11923uPwbBZFjjGgGUA6NLw09EwE0CqkOc4q9oUmW1yo/edit?usp=sharing"",""พิษณุโลก!J45"")"),0)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IFERROR(__xludf.DUMMYFUNCTION("IMPORTRANGE(""https://docs.google.com/spreadsheets/d/11923uPwbBZFjjGgGUA6NLw09EwE0CqkOc4q9oUmW1yo/edit?usp=sharing"",""พิษณุโลก!I46"")"),0)</f>
        <v>0</v>
      </c>
      <c r="J111" s="205">
        <f ca="1">IFERROR(__xludf.DUMMYFUNCTION("IMPORTRANGE(""https://docs.google.com/spreadsheets/d/11923uPwbBZFjjGgGUA6NLw09EwE0CqkOc4q9oUmW1yo/edit?usp=sharing"",""พิษณุโลก!J46"")"),0)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IFERROR(__xludf.DUMMYFUNCTION("IMPORTRANGE(""https://docs.google.com/spreadsheets/d/11923uPwbBZFjjGgGUA6NLw09EwE0CqkOc4q9oUmW1yo/edit?usp=sharing"",""พิษณุโลก!I47"")"),0)</f>
        <v>0</v>
      </c>
      <c r="J112" s="205">
        <f ca="1">IFERROR(__xludf.DUMMYFUNCTION("IMPORTRANGE(""https://docs.google.com/spreadsheets/d/11923uPwbBZFjjGgGUA6NLw09EwE0CqkOc4q9oUmW1yo/edit?usp=sharing"",""พิษณุโลก!J47"")"),0)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IFERROR(__xludf.DUMMYFUNCTION("IMPORTRANGE(""https://docs.google.com/spreadsheets/d/11923uPwbBZFjjGgGUA6NLw09EwE0CqkOc4q9oUmW1yo/edit?usp=sharing"",""พิษณุโลก!I48"")"),0)</f>
        <v>0</v>
      </c>
      <c r="J113" s="205">
        <f ca="1">IFERROR(__xludf.DUMMYFUNCTION("IMPORTRANGE(""https://docs.google.com/spreadsheets/d/11923uPwbBZFjjGgGUA6NLw09EwE0CqkOc4q9oUmW1yo/edit?usp=sharing"",""พิษณุโลก!J48"")"),0)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IFERROR(__xludf.DUMMYFUNCTION("IMPORTRANGE(""https://docs.google.com/spreadsheets/d/11923uPwbBZFjjGgGUA6NLw09EwE0CqkOc4q9oUmW1yo/edit?usp=sharing"",""พิษณุโลก!J49"")"),0)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IFERROR(__xludf.DUMMYFUNCTION("IMPORTRANGE(""https://docs.google.com/spreadsheets/d/11923uPwbBZFjjGgGUA6NLw09EwE0CqkOc4q9oUmW1yo/edit?usp=sharing"",""พิษณุโลก!J50"")"),0)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IFERROR(__xludf.DUMMYFUNCTION("IMPORTRANGE(""https://docs.google.com/spreadsheets/d/11923uPwbBZFjjGgGUA6NLw09EwE0CqkOc4q9oUmW1yo/edit?usp=sharing"",""พิษณุโลก!I52"")"),0)</f>
        <v>0</v>
      </c>
      <c r="J117" s="144">
        <f ca="1">IFERROR(__xludf.DUMMYFUNCTION("IMPORTRANGE(""https://docs.google.com/spreadsheets/d/11923uPwbBZFjjGgGUA6NLw09EwE0CqkOc4q9oUmW1yo/edit?usp=sharing"",""พิษณุโลก!J52"")"),0)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0</v>
      </c>
      <c r="M120" s="90">
        <f t="shared" ca="1" si="62"/>
        <v>0</v>
      </c>
      <c r="N120" s="90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59"/>
      <c r="B121" s="160"/>
      <c r="C121" s="160" t="s">
        <v>16</v>
      </c>
      <c r="D121" s="570" t="s">
        <v>20</v>
      </c>
      <c r="E121" s="565"/>
      <c r="F121" s="565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IFERROR(__xludf.DUMMYFUNCTION("IMPORTRANGE(""https://docs.google.com/spreadsheets/d/1Yj_ptqi66GCucihVvJfMjLAmec39IyEx_6qawtMGysU/edit?usp=sharing"",""สบก!BA28"")"),0)</f>
        <v>0</v>
      </c>
      <c r="N122" s="170">
        <f ca="1">IFERROR(__xludf.DUMMYFUNCTION("IMPORTRANGE(""https://docs.google.com/spreadsheets/d/1Yj_ptqi66GCucihVvJfMjLAmec39IyEx_6qawtMGysU/edit?usp=sharing"",""สบก!BB28"")"),0)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IFERROR(__xludf.DUMMYFUNCTION("IMPORTRANGE(""https://docs.google.com/spreadsheets/d/1Yj_ptqi66GCucihVvJfMjLAmec39IyEx_6qawtMGysU/edit?usp=sharing"",""สบก!AW28"")"),0)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IFERROR(__xludf.DUMMYFUNCTION("IMPORTRANGE(""https://docs.google.com/spreadsheets/d/1Yj_ptqi66GCucihVvJfMjLAmec39IyEx_6qawtMGysU/edit?usp=sharing"",""สบก!AX28"")"),0)</f>
        <v>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IFERROR(__xludf.DUMMYFUNCTION("IMPORTRANGE(""https://docs.google.com/spreadsheets/d/1Yj_ptqi66GCucihVvJfMjLAmec39IyEx_6qawtMGysU/edit?usp=sharing"",""สบก!AY28"")"),0)</f>
        <v>0</v>
      </c>
      <c r="M126" s="52"/>
      <c r="N126" s="52">
        <f ca="1">IFERROR(__xludf.DUMMYFUNCTION("IMPORTRANGE(""https://docs.google.com/spreadsheets/d/1Yj_ptqi66GCucihVvJfMjLAmec39IyEx_6qawtMGysU/edit?usp=sharing"",""สบก!BC28"")"),0)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277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IFERROR(__xludf.DUMMYFUNCTION("IMPORTRANGE(""https://docs.google.com/spreadsheets/d/11923uPwbBZFjjGgGUA6NLw09EwE0CqkOc4q9oUmW1yo/edit?usp=sharing"",""พิษณุโลก!J58"")"),0)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IFERROR(__xludf.DUMMYFUNCTION("IMPORTRANGE(""https://docs.google.com/spreadsheets/d/11923uPwbBZFjjGgGUA6NLw09EwE0CqkOc4q9oUmW1yo/edit?usp=sharing"",""พิษณุโลก!J59"")"),0)</f>
        <v>0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IFERROR(__xludf.DUMMYFUNCTION("IMPORTRANGE(""https://docs.google.com/spreadsheets/d/11923uPwbBZFjjGgGUA6NLw09EwE0CqkOc4q9oUmW1yo/edit?usp=sharing"",""พิษณุโลก!J60"")"),0)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IFERROR(__xludf.DUMMYFUNCTION("IMPORTRANGE(""https://docs.google.com/spreadsheets/d/11923uPwbBZFjjGgGUA6NLw09EwE0CqkOc4q9oUmW1yo/edit?usp=sharing"",""พิษณุโลก!J61"")"),0)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IFERROR(__xludf.DUMMYFUNCTION("IMPORTRANGE(""https://docs.google.com/spreadsheets/d/11923uPwbBZFjjGgGUA6NLw09EwE0CqkOc4q9oUmW1yo/edit?usp=sharing"",""พิษณุโลก!I62"")"),0)</f>
        <v>0</v>
      </c>
      <c r="J132" s="205">
        <f ca="1">IFERROR(__xludf.DUMMYFUNCTION("IMPORTRANGE(""https://docs.google.com/spreadsheets/d/11923uPwbBZFjjGgGUA6NLw09EwE0CqkOc4q9oUmW1yo/edit?usp=sharing"",""พิษณุโลก!J62"")"),0)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IFERROR(__xludf.DUMMYFUNCTION("IMPORTRANGE(""https://docs.google.com/spreadsheets/d/11923uPwbBZFjjGgGUA6NLw09EwE0CqkOc4q9oUmW1yo/edit?usp=sharing"",""พิษณุโลก!I63"")"),0)</f>
        <v>0</v>
      </c>
      <c r="J133" s="205">
        <f ca="1">IFERROR(__xludf.DUMMYFUNCTION("IMPORTRANGE(""https://docs.google.com/spreadsheets/d/11923uPwbBZFjjGgGUA6NLw09EwE0CqkOc4q9oUmW1yo/edit?usp=sharing"",""พิษณุโลก!J63"")"),0)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IFERROR(__xludf.DUMMYFUNCTION("IMPORTRANGE(""https://docs.google.com/spreadsheets/d/11923uPwbBZFjjGgGUA6NLw09EwE0CqkOc4q9oUmW1yo/edit?usp=sharing"",""พิษณุโลก!J64"")"),0)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IFERROR(__xludf.DUMMYFUNCTION("IMPORTRANGE(""https://docs.google.com/spreadsheets/d/11923uPwbBZFjjGgGUA6NLw09EwE0CqkOc4q9oUmW1yo/edit?usp=sharing"",""พิษณุโลก!J65"")"),0)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IFERROR(__xludf.DUMMYFUNCTION("IMPORTRANGE(""https://docs.google.com/spreadsheets/d/11923uPwbBZFjjGgGUA6NLw09EwE0CqkOc4q9oUmW1yo/edit?usp=sharing"",""พิษณุโลก!I68"")"),15)</f>
        <v>15</v>
      </c>
      <c r="J138" s="268">
        <f ca="1">IFERROR(__xludf.DUMMYFUNCTION("IMPORTRANGE(""https://docs.google.com/spreadsheets/d/11923uPwbBZFjjGgGUA6NLw09EwE0CqkOc4q9oUmW1yo/edit?usp=sharing"",""พิษณุโลก!J68"")"),15)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348000</v>
      </c>
      <c r="M140" s="154">
        <f t="shared" ca="1" si="64"/>
        <v>268625</v>
      </c>
      <c r="N140" s="154">
        <f t="shared" ca="1" si="64"/>
        <v>198345.55</v>
      </c>
      <c r="O140" s="153">
        <f t="shared" ref="O140:O142" ca="1" si="65">IF(L140&gt;0,N140*100/L140,0)</f>
        <v>56.995847701149422</v>
      </c>
      <c r="P140" s="153">
        <f t="shared" ref="P140:P142" ca="1" si="66">IF(M140&gt;0,N140*100/M140,0)</f>
        <v>73.837338296882265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348000</v>
      </c>
      <c r="M142" s="90">
        <f t="shared" ca="1" si="68"/>
        <v>268625</v>
      </c>
      <c r="N142" s="90">
        <f t="shared" ca="1" si="68"/>
        <v>198345.55</v>
      </c>
      <c r="O142" s="158">
        <f t="shared" ca="1" si="65"/>
        <v>56.995847701149422</v>
      </c>
      <c r="P142" s="158">
        <f t="shared" ca="1" si="66"/>
        <v>73.837338296882265</v>
      </c>
    </row>
    <row r="143" spans="1:16" ht="21.75" customHeight="1">
      <c r="A143" s="159"/>
      <c r="B143" s="160"/>
      <c r="C143" s="160" t="s">
        <v>16</v>
      </c>
      <c r="D143" s="570" t="s">
        <v>20</v>
      </c>
      <c r="E143" s="565"/>
      <c r="F143" s="565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348000</v>
      </c>
      <c r="M144" s="169">
        <f ca="1">IFERROR(__xludf.DUMMYFUNCTION("IMPORTRANGE(""https://docs.google.com/spreadsheets/d/1Yj_ptqi66GCucihVvJfMjLAmec39IyEx_6qawtMGysU/edit?usp=sharing"",""สบก!BJ28"")"),268625)</f>
        <v>268625</v>
      </c>
      <c r="N144" s="170">
        <f ca="1">IFERROR(__xludf.DUMMYFUNCTION("IMPORTRANGE(""https://docs.google.com/spreadsheets/d/1Yj_ptqi66GCucihVvJfMjLAmec39IyEx_6qawtMGysU/edit?usp=sharing"",""สบก!BK28"")"),198345.55)</f>
        <v>198345.55</v>
      </c>
      <c r="O144" s="170">
        <f ca="1">IF(L144&gt;0,N144*100/L144,0)</f>
        <v>56.995847701149422</v>
      </c>
      <c r="P144" s="170">
        <f ca="1">IF(M144&gt;0,N144*100/M144,0)</f>
        <v>73.837338296882265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IFERROR(__xludf.DUMMYFUNCTION("IMPORTRANGE(""https://docs.google.com/spreadsheets/d/1Yj_ptqi66GCucihVvJfMjLAmec39IyEx_6qawtMGysU/edit?usp=sharing"",""สบก!BF28"")"),264000)</f>
        <v>264000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IFERROR(__xludf.DUMMYFUNCTION("IMPORTRANGE(""https://docs.google.com/spreadsheets/d/1Yj_ptqi66GCucihVvJfMjLAmec39IyEx_6qawtMGysU/edit?usp=sharing"",""สบก!BG28"")"),84000)</f>
        <v>84000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IFERROR(__xludf.DUMMYFUNCTION("IMPORTRANGE(""https://docs.google.com/spreadsheets/d/1Yj_ptqi66GCucihVvJfMjLAmec39IyEx_6qawtMGysU/edit?usp=sharing"",""สบก!BH28"")"),0)</f>
        <v>0</v>
      </c>
      <c r="M148" s="52"/>
      <c r="N148" s="52">
        <f ca="1">IFERROR(__xludf.DUMMYFUNCTION("IMPORTRANGE(""https://docs.google.com/spreadsheets/d/1Yj_ptqi66GCucihVvJfMjLAmec39IyEx_6qawtMGysU/edit?usp=sharing"",""สบก!BL28"")"),0)</f>
        <v>0</v>
      </c>
      <c r="O148" s="52">
        <f ca="1">IF(L148&gt;0,N148*100/L148,0)</f>
        <v>0</v>
      </c>
      <c r="P148" s="52"/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IFERROR(__xludf.DUMMYFUNCTION("IMPORTRANGE(""https://docs.google.com/spreadsheets/d/11923uPwbBZFjjGgGUA6NLw09EwE0CqkOc4q9oUmW1yo/edit?usp=sharing"",""พิษณุโลก!I74"")"),4)</f>
        <v>4</v>
      </c>
      <c r="J149" s="276">
        <f ca="1">IFERROR(__xludf.DUMMYFUNCTION("IMPORTRANGE(""https://docs.google.com/spreadsheets/d/11923uPwbBZFjjGgGUA6NLw09EwE0CqkOc4q9oUmW1yo/edit?usp=sharing"",""พิษณุโลก!J74"")"),2)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IFERROR(__xludf.DUMMYFUNCTION("IMPORTRANGE(""https://docs.google.com/spreadsheets/d/11923uPwbBZFjjGgGUA6NLw09EwE0CqkOc4q9oUmW1yo/edit?usp=sharing"",""พิษณุโลก!J79"")"),0)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IFERROR(__xludf.DUMMYFUNCTION("IMPORTRANGE(""https://docs.google.com/spreadsheets/d/11923uPwbBZFjjGgGUA6NLw09EwE0CqkOc4q9oUmW1yo/edit?usp=sharing"",""พิษณุโลก!J80"")"),1)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IFERROR(__xludf.DUMMYFUNCTION("IMPORTRANGE(""https://docs.google.com/spreadsheets/d/11923uPwbBZFjjGgGUA6NLw09EwE0CqkOc4q9oUmW1yo/edit?usp=sharing"",""พิษณุโลก!J81"")"),1)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IFERROR(__xludf.DUMMYFUNCTION("IMPORTRANGE(""https://docs.google.com/spreadsheets/d/11923uPwbBZFjjGgGUA6NLw09EwE0CqkOc4q9oUmW1yo/edit?usp=sharing"",""พิษณุโลก!J82"")"),1)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IFERROR(__xludf.DUMMYFUNCTION("IMPORTRANGE(""https://docs.google.com/spreadsheets/d/11923uPwbBZFjjGgGUA6NLw09EwE0CqkOc4q9oUmW1yo/edit?usp=sharing"",""พิษณุโลก!I83"")"),4)</f>
        <v>4</v>
      </c>
      <c r="J158" s="190">
        <f ca="1">IFERROR(__xludf.DUMMYFUNCTION("IMPORTRANGE(""https://docs.google.com/spreadsheets/d/11923uPwbBZFjjGgGUA6NLw09EwE0CqkOc4q9oUmW1yo/edit?usp=sharing"",""พิษณุโลก!J83"")"),2)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IFERROR(__xludf.DUMMYFUNCTION("IMPORTRANGE(""https://docs.google.com/spreadsheets/d/11923uPwbBZFjjGgGUA6NLw09EwE0CqkOc4q9oUmW1yo/edit?usp=sharing"",""พิษณุโลก!J84"")"),127)</f>
        <v>127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IFERROR(__xludf.DUMMYFUNCTION("IMPORTRANGE(""https://docs.google.com/spreadsheets/d/11923uPwbBZFjjGgGUA6NLw09EwE0CqkOc4q9oUmW1yo/edit?usp=sharing"",""พิษณุโลก!J85"")"),127)</f>
        <v>127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IFERROR(__xludf.DUMMYFUNCTION("IMPORTRANGE(""https://docs.google.com/spreadsheets/d/11923uPwbBZFjjGgGUA6NLw09EwE0CqkOc4q9oUmW1yo/edit?usp=sharing"",""พิษณุโลก!J86"")"),0)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IFERROR(__xludf.DUMMYFUNCTION("IMPORTRANGE(""https://docs.google.com/spreadsheets/d/11923uPwbBZFjjGgGUA6NLw09EwE0CqkOc4q9oUmW1yo/edit?usp=sharing"",""พิษณุโลก!J87"")"),0)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IFERROR(__xludf.DUMMYFUNCTION("IMPORTRANGE(""https://docs.google.com/spreadsheets/d/11923uPwbBZFjjGgGUA6NLw09EwE0CqkOc4q9oUmW1yo/edit?usp=sharing"",""พิษณุโลก!J88"")"),0)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IFERROR(__xludf.DUMMYFUNCTION("IMPORTRANGE(""https://docs.google.com/spreadsheets/d/11923uPwbBZFjjGgGUA6NLw09EwE0CqkOc4q9oUmW1yo/edit?usp=sharing"",""พิษณุโลก!I89"")"),3)</f>
        <v>3</v>
      </c>
      <c r="J164" s="285">
        <f ca="1">IFERROR(__xludf.DUMMYFUNCTION("IMPORTRANGE(""https://docs.google.com/spreadsheets/d/11923uPwbBZFjjGgGUA6NLw09EwE0CqkOc4q9oUmW1yo/edit?usp=sharing"",""พิษณุโลก!J89"")"),3)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IFERROR(__xludf.DUMMYFUNCTION("IMPORTRANGE(""https://docs.google.com/spreadsheets/d/11923uPwbBZFjjGgGUA6NLw09EwE0CqkOc4q9oUmW1yo/edit?usp=sharing"",""พิษณุโลก!J94"")"),0)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IFERROR(__xludf.DUMMYFUNCTION("IMPORTRANGE(""https://docs.google.com/spreadsheets/d/11923uPwbBZFjjGgGUA6NLw09EwE0CqkOc4q9oUmW1yo/edit?usp=sharing"",""พิษณุโลก!J95"")"),1)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IFERROR(__xludf.DUMMYFUNCTION("IMPORTRANGE(""https://docs.google.com/spreadsheets/d/11923uPwbBZFjjGgGUA6NLw09EwE0CqkOc4q9oUmW1yo/edit?usp=sharing"",""พิษณุโลก!J96"")"),1)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IFERROR(__xludf.DUMMYFUNCTION("IMPORTRANGE(""https://docs.google.com/spreadsheets/d/11923uPwbBZFjjGgGUA6NLw09EwE0CqkOc4q9oUmW1yo/edit?usp=sharing"",""พิษณุโลก!J97"")"),0)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IFERROR(__xludf.DUMMYFUNCTION("IMPORTRANGE(""https://docs.google.com/spreadsheets/d/11923uPwbBZFjjGgGUA6NLw09EwE0CqkOc4q9oUmW1yo/edit?usp=sharing"",""พิษณุโลก!I98"")"),3)</f>
        <v>3</v>
      </c>
      <c r="J173" s="190">
        <f ca="1">IFERROR(__xludf.DUMMYFUNCTION("IMPORTRANGE(""https://docs.google.com/spreadsheets/d/11923uPwbBZFjjGgGUA6NLw09EwE0CqkOc4q9oUmW1yo/edit?usp=sharing"",""พิษณุโลก!J98"")"),3)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IFERROR(__xludf.DUMMYFUNCTION("IMPORTRANGE(""https://docs.google.com/spreadsheets/d/11923uPwbBZFjjGgGUA6NLw09EwE0CqkOc4q9oUmW1yo/edit?usp=sharing"",""พิษณุโลก!J99"")"),0)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IFERROR(__xludf.DUMMYFUNCTION("IMPORTRANGE(""https://docs.google.com/spreadsheets/d/11923uPwbBZFjjGgGUA6NLw09EwE0CqkOc4q9oUmW1yo/edit?usp=sharing"",""พิษณุโลก!J100"")"),0)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IFERROR(__xludf.DUMMYFUNCTION("IMPORTRANGE(""https://docs.google.com/spreadsheets/d/11923uPwbBZFjjGgGUA6NLw09EwE0CqkOc4q9oUmW1yo/edit?usp=sharing"",""พิษณุโลก!I101"")"),0)</f>
        <v>0</v>
      </c>
      <c r="J176" s="285">
        <f ca="1">IFERROR(__xludf.DUMMYFUNCTION("IMPORTRANGE(""https://docs.google.com/spreadsheets/d/11923uPwbBZFjjGgGUA6NLw09EwE0CqkOc4q9oUmW1yo/edit?usp=sharing"",""พิษณุโลก!J101"")"),0)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IFERROR(__xludf.DUMMYFUNCTION("IMPORTRANGE(""https://docs.google.com/spreadsheets/d/11923uPwbBZFjjGgGUA6NLw09EwE0CqkOc4q9oUmW1yo/edit?usp=sharing"",""พิษณุโลก!J106"")"),0)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IFERROR(__xludf.DUMMYFUNCTION("IMPORTRANGE(""https://docs.google.com/spreadsheets/d/11923uPwbBZFjjGgGUA6NLw09EwE0CqkOc4q9oUmW1yo/edit?usp=sharing"",""พิษณุโลก!J107"")"),0)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IFERROR(__xludf.DUMMYFUNCTION("IMPORTRANGE(""https://docs.google.com/spreadsheets/d/11923uPwbBZFjjGgGUA6NLw09EwE0CqkOc4q9oUmW1yo/edit?usp=sharing"",""พิษณุโลก!J108"")"),0)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IFERROR(__xludf.DUMMYFUNCTION("IMPORTRANGE(""https://docs.google.com/spreadsheets/d/11923uPwbBZFjjGgGUA6NLw09EwE0CqkOc4q9oUmW1yo/edit?usp=sharing"",""พิษณุโลก!J109"")"),0)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IFERROR(__xludf.DUMMYFUNCTION("IMPORTRANGE(""https://docs.google.com/spreadsheets/d/11923uPwbBZFjjGgGUA6NLw09EwE0CqkOc4q9oUmW1yo/edit?usp=sharing"",""พิษณุโลก!I110"")"),0)</f>
        <v>0</v>
      </c>
      <c r="J185" s="205">
        <f ca="1">IFERROR(__xludf.DUMMYFUNCTION("IMPORTRANGE(""https://docs.google.com/spreadsheets/d/11923uPwbBZFjjGgGUA6NLw09EwE0CqkOc4q9oUmW1yo/edit?usp=sharing"",""พิษณุโลก!J110"")"),0)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IFERROR(__xludf.DUMMYFUNCTION("IMPORTRANGE(""https://docs.google.com/spreadsheets/d/11923uPwbBZFjjGgGUA6NLw09EwE0CqkOc4q9oUmW1yo/edit?usp=sharing"",""พิษณุโลก!I111"")"),0)</f>
        <v>0</v>
      </c>
      <c r="J186" s="205">
        <f ca="1">IFERROR(__xludf.DUMMYFUNCTION("IMPORTRANGE(""https://docs.google.com/spreadsheets/d/11923uPwbBZFjjGgGUA6NLw09EwE0CqkOc4q9oUmW1yo/edit?usp=sharing"",""พิษณุโลก!J111"")"),0)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IFERROR(__xludf.DUMMYFUNCTION("IMPORTRANGE(""https://docs.google.com/spreadsheets/d/11923uPwbBZFjjGgGUA6NLw09EwE0CqkOc4q9oUmW1yo/edit?usp=sharing"",""พิษณุโลก!J112"")"),0)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IFERROR(__xludf.DUMMYFUNCTION("IMPORTRANGE(""https://docs.google.com/spreadsheets/d/11923uPwbBZFjjGgGUA6NLw09EwE0CqkOc4q9oUmW1yo/edit?usp=sharing"",""พิษณุโลก!J113"")"),0)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IFERROR(__xludf.DUMMYFUNCTION("IMPORTRANGE(""https://docs.google.com/spreadsheets/d/11923uPwbBZFjjGgGUA6NLw09EwE0CqkOc4q9oUmW1yo/edit?usp=sharing"",""พิษณุโลก!I114"")"),50000)</f>
        <v>50000</v>
      </c>
      <c r="J189" s="285">
        <f ca="1">IFERROR(__xludf.DUMMYFUNCTION("IMPORTRANGE(""https://docs.google.com/spreadsheets/d/11923uPwbBZFjjGgGUA6NLw09EwE0CqkOc4q9oUmW1yo/edit?usp=sharing"",""พิษณุโลก!J114"")"),0)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IFERROR(__xludf.DUMMYFUNCTION("IMPORTRANGE(""https://docs.google.com/spreadsheets/d/11923uPwbBZFjjGgGUA6NLw09EwE0CqkOc4q9oUmW1yo/edit?usp=sharing"",""พิษณุโลก!J119"")"),0)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IFERROR(__xludf.DUMMYFUNCTION("IMPORTRANGE(""https://docs.google.com/spreadsheets/d/11923uPwbBZFjjGgGUA6NLw09EwE0CqkOc4q9oUmW1yo/edit?usp=sharing"",""พิษณุโลก!J120"")"),1)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IFERROR(__xludf.DUMMYFUNCTION("IMPORTRANGE(""https://docs.google.com/spreadsheets/d/11923uPwbBZFjjGgGUA6NLw09EwE0CqkOc4q9oUmW1yo/edit?usp=sharing"",""พิษณุโลก!J121"")"),1)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IFERROR(__xludf.DUMMYFUNCTION("IMPORTRANGE(""https://docs.google.com/spreadsheets/d/11923uPwbBZFjjGgGUA6NLw09EwE0CqkOc4q9oUmW1yo/edit?usp=sharing"",""พิษณุโลก!J122"")"),1)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IFERROR(__xludf.DUMMYFUNCTION("IMPORTRANGE(""https://docs.google.com/spreadsheets/d/11923uPwbBZFjjGgGUA6NLw09EwE0CqkOc4q9oUmW1yo/edit?usp=sharing"",""พิษณุโลก!I124"")"),50000)</f>
        <v>50000</v>
      </c>
      <c r="J199" s="190">
        <f ca="1">IFERROR(__xludf.DUMMYFUNCTION("IMPORTRANGE(""https://docs.google.com/spreadsheets/d/11923uPwbBZFjjGgGUA6NLw09EwE0CqkOc4q9oUmW1yo/edit?usp=sharing"",""พิษณุโลก!J124"")"),0)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IFERROR(__xludf.DUMMYFUNCTION("IMPORTRANGE(""https://docs.google.com/spreadsheets/d/11923uPwbBZFjjGgGUA6NLw09EwE0CqkOc4q9oUmW1yo/edit?usp=sharing"",""พิษณุโลก!I125"")"),50000)</f>
        <v>50000</v>
      </c>
      <c r="J200" s="190">
        <f ca="1">IFERROR(__xludf.DUMMYFUNCTION("IMPORTRANGE(""https://docs.google.com/spreadsheets/d/11923uPwbBZFjjGgGUA6NLw09EwE0CqkOc4q9oUmW1yo/edit?usp=sharing"",""พิษณุโลก!J125"")"),0)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IFERROR(__xludf.DUMMYFUNCTION("IMPORTRANGE(""https://docs.google.com/spreadsheets/d/11923uPwbBZFjjGgGUA6NLw09EwE0CqkOc4q9oUmW1yo/edit?usp=sharing"",""พิษณุโลก!I126"")"),15)</f>
        <v>15</v>
      </c>
      <c r="J201" s="190">
        <f ca="1">IFERROR(__xludf.DUMMYFUNCTION("IMPORTRANGE(""https://docs.google.com/spreadsheets/d/11923uPwbBZFjjGgGUA6NLw09EwE0CqkOc4q9oUmW1yo/edit?usp=sharing"",""พิษณุโลก!J126"")"),15)</f>
        <v>15</v>
      </c>
      <c r="K201" s="165">
        <f t="shared" ca="1" si="70"/>
        <v>100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IFERROR(__xludf.DUMMYFUNCTION("IMPORTRANGE(""https://docs.google.com/spreadsheets/d/11923uPwbBZFjjGgGUA6NLw09EwE0CqkOc4q9oUmW1yo/edit?usp=sharing"",""พิษณุโลก!J127"")"),0)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IFERROR(__xludf.DUMMYFUNCTION("IMPORTRANGE(""https://docs.google.com/spreadsheets/d/11923uPwbBZFjjGgGUA6NLw09EwE0CqkOc4q9oUmW1yo/edit?usp=sharing"",""พิษณุโลก!J128"")"),0)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IFERROR(__xludf.DUMMYFUNCTION("IMPORTRANGE(""https://docs.google.com/spreadsheets/d/11923uPwbBZFjjGgGUA6NLw09EwE0CqkOc4q9oUmW1yo/edit?usp=sharing"",""พิษณุโลก!I129"")"),0)</f>
        <v>0</v>
      </c>
      <c r="J204" s="285">
        <f ca="1">IFERROR(__xludf.DUMMYFUNCTION("IMPORTRANGE(""https://docs.google.com/spreadsheets/d/11923uPwbBZFjjGgGUA6NLw09EwE0CqkOc4q9oUmW1yo/edit?usp=sharing"",""พิษณุโลก!J129"")"),0)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IFERROR(__xludf.DUMMYFUNCTION("IMPORTRANGE(""https://docs.google.com/spreadsheets/d/11923uPwbBZFjjGgGUA6NLw09EwE0CqkOc4q9oUmW1yo/edit?usp=sharing"",""พิษณุโลก!J134"")"),0)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IFERROR(__xludf.DUMMYFUNCTION("IMPORTRANGE(""https://docs.google.com/spreadsheets/d/11923uPwbBZFjjGgGUA6NLw09EwE0CqkOc4q9oUmW1yo/edit?usp=sharing"",""พิษณุโลก!J135"")"),0)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IFERROR(__xludf.DUMMYFUNCTION("IMPORTRANGE(""https://docs.google.com/spreadsheets/d/11923uPwbBZFjjGgGUA6NLw09EwE0CqkOc4q9oUmW1yo/edit?usp=sharing"",""พิษณุโลก!J136"")"),0)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IFERROR(__xludf.DUMMYFUNCTION("IMPORTRANGE(""https://docs.google.com/spreadsheets/d/11923uPwbBZFjjGgGUA6NLw09EwE0CqkOc4q9oUmW1yo/edit?usp=sharing"",""พิษณุโลก!J137"")"),0)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IFERROR(__xludf.DUMMYFUNCTION("IMPORTRANGE(""https://docs.google.com/spreadsheets/d/11923uPwbBZFjjGgGUA6NLw09EwE0CqkOc4q9oUmW1yo/edit?usp=sharing"",""พิษณุโลก!I138"")"),0)</f>
        <v>0</v>
      </c>
      <c r="J213" s="205">
        <f ca="1">IFERROR(__xludf.DUMMYFUNCTION("IMPORTRANGE(""https://docs.google.com/spreadsheets/d/11923uPwbBZFjjGgGUA6NLw09EwE0CqkOc4q9oUmW1yo/edit?usp=sharing"",""พิษณุโลก!J138"")"),0)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IFERROR(__xludf.DUMMYFUNCTION("IMPORTRANGE(""https://docs.google.com/spreadsheets/d/11923uPwbBZFjjGgGUA6NLw09EwE0CqkOc4q9oUmW1yo/edit?usp=sharing"",""พิษณุโลก!I140"")"),0)</f>
        <v>0</v>
      </c>
      <c r="J215" s="205">
        <f ca="1">IFERROR(__xludf.DUMMYFUNCTION("IMPORTRANGE(""https://docs.google.com/spreadsheets/d/11923uPwbBZFjjGgGUA6NLw09EwE0CqkOc4q9oUmW1yo/edit?usp=sharing"",""พิษณุโลก!J140"")"),0)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IFERROR(__xludf.DUMMYFUNCTION("IMPORTRANGE(""https://docs.google.com/spreadsheets/d/11923uPwbBZFjjGgGUA6NLw09EwE0CqkOc4q9oUmW1yo/edit?usp=sharing"",""พิษณุโลก!I141"")"),0)</f>
        <v>0</v>
      </c>
      <c r="J216" s="205">
        <f ca="1">IFERROR(__xludf.DUMMYFUNCTION("IMPORTRANGE(""https://docs.google.com/spreadsheets/d/11923uPwbBZFjjGgGUA6NLw09EwE0CqkOc4q9oUmW1yo/edit?usp=sharing"",""พิษณุโลก!J141"")"),0)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IFERROR(__xludf.DUMMYFUNCTION("IMPORTRANGE(""https://docs.google.com/spreadsheets/d/11923uPwbBZFjjGgGUA6NLw09EwE0CqkOc4q9oUmW1yo/edit?usp=sharing"",""พิษณุโลก!J142"")"),0)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IFERROR(__xludf.DUMMYFUNCTION("IMPORTRANGE(""https://docs.google.com/spreadsheets/d/11923uPwbBZFjjGgGUA6NLw09EwE0CqkOc4q9oUmW1yo/edit?usp=sharing"",""พิษณุโลก!J143"")"),0)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IFERROR(__xludf.DUMMYFUNCTION("IMPORTRANGE(""https://docs.google.com/spreadsheets/d/11923uPwbBZFjjGgGUA6NLw09EwE0CqkOc4q9oUmW1yo/edit?usp=sharing"",""พิษณุโลก!I144"")"),0)</f>
        <v>0</v>
      </c>
      <c r="J219" s="268">
        <f ca="1">IFERROR(__xludf.DUMMYFUNCTION("IMPORTRANGE(""https://docs.google.com/spreadsheets/d/11923uPwbBZFjjGgGUA6NLw09EwE0CqkOc4q9oUmW1yo/edit?usp=sharing"",""พิษณุโลก!J144"")"),0)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0</v>
      </c>
      <c r="M220" s="154">
        <f t="shared" ca="1" si="72"/>
        <v>0</v>
      </c>
      <c r="N220" s="154">
        <f t="shared" ca="1" si="72"/>
        <v>0</v>
      </c>
      <c r="O220" s="153">
        <f t="shared" ref="O220:O222" ca="1" si="73">IF(L220&gt;0,N220*100/L220,0)</f>
        <v>0</v>
      </c>
      <c r="P220" s="153">
        <f t="shared" ref="P220:P222" ca="1" si="74">IF(M220&gt;0,N220*100/M220,0)</f>
        <v>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0</v>
      </c>
      <c r="M222" s="90">
        <f t="shared" ca="1" si="76"/>
        <v>0</v>
      </c>
      <c r="N222" s="90">
        <f t="shared" ca="1" si="76"/>
        <v>0</v>
      </c>
      <c r="O222" s="158">
        <f t="shared" ca="1" si="73"/>
        <v>0</v>
      </c>
      <c r="P222" s="158">
        <f t="shared" ca="1" si="74"/>
        <v>0</v>
      </c>
    </row>
    <row r="223" spans="1:16" ht="21.75" customHeight="1">
      <c r="A223" s="159"/>
      <c r="B223" s="160"/>
      <c r="C223" s="160" t="s">
        <v>16</v>
      </c>
      <c r="D223" s="570" t="s">
        <v>20</v>
      </c>
      <c r="E223" s="565"/>
      <c r="F223" s="565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0</v>
      </c>
      <c r="M224" s="169">
        <f ca="1">IFERROR(__xludf.DUMMYFUNCTION("IMPORTRANGE(""https://docs.google.com/spreadsheets/d/1Yj_ptqi66GCucihVvJfMjLAmec39IyEx_6qawtMGysU/edit?usp=sharing"",""สบก!BS28"")"),0)</f>
        <v>0</v>
      </c>
      <c r="N224" s="170">
        <f ca="1">IFERROR(__xludf.DUMMYFUNCTION("IMPORTRANGE(""https://docs.google.com/spreadsheets/d/1Yj_ptqi66GCucihVvJfMjLAmec39IyEx_6qawtMGysU/edit?usp=sharing"",""สบก!BT28"")"),0)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IFERROR(__xludf.DUMMYFUNCTION("IMPORTRANGE(""https://docs.google.com/spreadsheets/d/1Yj_ptqi66GCucihVvJfMjLAmec39IyEx_6qawtMGysU/edit?usp=sharing"",""สบก!BO28"")"),0)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IFERROR(__xludf.DUMMYFUNCTION("IMPORTRANGE(""https://docs.google.com/spreadsheets/d/1Yj_ptqi66GCucihVvJfMjLAmec39IyEx_6qawtMGysU/edit?usp=sharing"",""สบก!BP28"")"),0)</f>
        <v>0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IFERROR(__xludf.DUMMYFUNCTION("IMPORTRANGE(""https://docs.google.com/spreadsheets/d/1Yj_ptqi66GCucihVvJfMjLAmec39IyEx_6qawtMGysU/edit?usp=sharing"",""สบก!BQ28"")"),0)</f>
        <v>0</v>
      </c>
      <c r="M228" s="52"/>
      <c r="N228" s="52">
        <f ca="1">IFERROR(__xludf.DUMMYFUNCTION("IMPORTRANGE(""https://docs.google.com/spreadsheets/d/1Yj_ptqi66GCucihVvJfMjLAmec39IyEx_6qawtMGysU/edit?usp=sharing"",""สบก!BU28"")"),0)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IFERROR(__xludf.DUMMYFUNCTION("IMPORTRANGE(""https://docs.google.com/spreadsheets/d/11923uPwbBZFjjGgGUA6NLw09EwE0CqkOc4q9oUmW1yo/edit?usp=sharing"",""พิษณุโลก!I149"")"),0)</f>
        <v>0</v>
      </c>
      <c r="J229" s="268">
        <f ca="1">IFERROR(__xludf.DUMMYFUNCTION("IMPORTRANGE(""https://docs.google.com/spreadsheets/d/11923uPwbBZFjjGgGUA6NLw09EwE0CqkOc4q9oUmW1yo/edit?usp=sharing"",""พิษณุโลก!J149"")"),0)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IFERROR(__xludf.DUMMYFUNCTION("IMPORTRANGE(""https://docs.google.com/spreadsheets/d/11923uPwbBZFjjGgGUA6NLw09EwE0CqkOc4q9oUmW1yo/edit?usp=sharing"",""พิษณุโลก!J151"")"),0)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IFERROR(__xludf.DUMMYFUNCTION("IMPORTRANGE(""https://docs.google.com/spreadsheets/d/11923uPwbBZFjjGgGUA6NLw09EwE0CqkOc4q9oUmW1yo/edit?usp=sharing"",""พิษณุโลก!J152"")"),0)</f>
        <v>0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IFERROR(__xludf.DUMMYFUNCTION("IMPORTRANGE(""https://docs.google.com/spreadsheets/d/11923uPwbBZFjjGgGUA6NLw09EwE0CqkOc4q9oUmW1yo/edit?usp=sharing"",""พิษณุโลก!J153"")"),0)</f>
        <v>0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IFERROR(__xludf.DUMMYFUNCTION("IMPORTRANGE(""https://docs.google.com/spreadsheets/d/11923uPwbBZFjjGgGUA6NLw09EwE0CqkOc4q9oUmW1yo/edit?usp=sharing"",""พิษณุโลก!J154"")"),0)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IFERROR(__xludf.DUMMYFUNCTION("IMPORTRANGE(""https://docs.google.com/spreadsheets/d/11923uPwbBZFjjGgGUA6NLw09EwE0CqkOc4q9oUmW1yo/edit?usp=sharing"",""พิษณุโลก!I155"")"),0)</f>
        <v>0</v>
      </c>
      <c r="J235" s="190">
        <f ca="1">IFERROR(__xludf.DUMMYFUNCTION("IMPORTRANGE(""https://docs.google.com/spreadsheets/d/11923uPwbBZFjjGgGUA6NLw09EwE0CqkOc4q9oUmW1yo/edit?usp=sharing"",""พิษณุโลก!J155"")"),0)</f>
        <v>0</v>
      </c>
      <c r="K235" s="165">
        <f ca="1">IF(I235&gt;0,J235*100/I235,0)</f>
        <v>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IFERROR(__xludf.DUMMYFUNCTION("IMPORTRANGE(""https://docs.google.com/spreadsheets/d/11923uPwbBZFjjGgGUA6NLw09EwE0CqkOc4q9oUmW1yo/edit?usp=sharing"",""พิษณุโลก!J156"")"),0)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IFERROR(__xludf.DUMMYFUNCTION("IMPORTRANGE(""https://docs.google.com/spreadsheets/d/11923uPwbBZFjjGgGUA6NLw09EwE0CqkOc4q9oUmW1yo/edit?usp=sharing"",""พิษณุโลก!J157"")"),0)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IFERROR(__xludf.DUMMYFUNCTION("IMPORTRANGE(""https://docs.google.com/spreadsheets/d/11923uPwbBZFjjGgGUA6NLw09EwE0CqkOc4q9oUmW1yo/edit?usp=sharing"",""พิษณุโลก!I158"")"),0)</f>
        <v>0</v>
      </c>
      <c r="J238" s="268">
        <f ca="1">IFERROR(__xludf.DUMMYFUNCTION("IMPORTRANGE(""https://docs.google.com/spreadsheets/d/11923uPwbBZFjjGgGUA6NLw09EwE0CqkOc4q9oUmW1yo/edit?usp=sharing"",""พิษณุโลก!J158"")"),0)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IFERROR(__xludf.DUMMYFUNCTION("IMPORTRANGE(""https://docs.google.com/spreadsheets/d/11923uPwbBZFjjGgGUA6NLw09EwE0CqkOc4q9oUmW1yo/edit?usp=sharing"",""พิษณุโลก!J159"")"),"")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IFERROR(__xludf.DUMMYFUNCTION("IMPORTRANGE(""https://docs.google.com/spreadsheets/d/11923uPwbBZFjjGgGUA6NLw09EwE0CqkOc4q9oUmW1yo/edit?usp=sharing"",""พิษณุโลก!J161"")"),0)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IFERROR(__xludf.DUMMYFUNCTION("IMPORTRANGE(""https://docs.google.com/spreadsheets/d/11923uPwbBZFjjGgGUA6NLw09EwE0CqkOc4q9oUmW1yo/edit?usp=sharing"",""พิษณุโลก!J162"")"),0)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IFERROR(__xludf.DUMMYFUNCTION("IMPORTRANGE(""https://docs.google.com/spreadsheets/d/11923uPwbBZFjjGgGUA6NLw09EwE0CqkOc4q9oUmW1yo/edit?usp=sharing"",""พิษณุโลก!J163"")"),0)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IFERROR(__xludf.DUMMYFUNCTION("IMPORTRANGE(""https://docs.google.com/spreadsheets/d/11923uPwbBZFjjGgGUA6NLw09EwE0CqkOc4q9oUmW1yo/edit?usp=sharing"",""พิษณุโลก!I164"")"),0)</f>
        <v>0</v>
      </c>
      <c r="J244" s="189">
        <f ca="1">IFERROR(__xludf.DUMMYFUNCTION("IMPORTRANGE(""https://docs.google.com/spreadsheets/d/11923uPwbBZFjjGgGUA6NLw09EwE0CqkOc4q9oUmW1yo/edit?usp=sharing"",""พิษณุโลก!J164"")"),0)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IFERROR(__xludf.DUMMYFUNCTION("IMPORTRANGE(""https://docs.google.com/spreadsheets/d/11923uPwbBZFjjGgGUA6NLw09EwE0CqkOc4q9oUmW1yo/edit?usp=sharing"",""พิษณุโลก!J165"")"),0)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IFERROR(__xludf.DUMMYFUNCTION("IMPORTRANGE(""https://docs.google.com/spreadsheets/d/11923uPwbBZFjjGgGUA6NLw09EwE0CqkOc4q9oUmW1yo/edit?usp=sharing"",""พิษณุโลก!J166"")"),0)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IFERROR(__xludf.DUMMYFUNCTION("IMPORTRANGE(""https://docs.google.com/spreadsheets/d/11923uPwbBZFjjGgGUA6NLw09EwE0CqkOc4q9oUmW1yo/edit?usp=sharing"",""พิษณุโลก!I169"")"),0)</f>
        <v>0</v>
      </c>
      <c r="J249" s="317">
        <f ca="1">IFERROR(__xludf.DUMMYFUNCTION("IMPORTRANGE(""https://docs.google.com/spreadsheets/d/11923uPwbBZFjjGgGUA6NLw09EwE0CqkOc4q9oUmW1yo/edit?usp=sharing"",""พิษณุโลก!J169"")"),0)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0</v>
      </c>
      <c r="M252" s="90">
        <f t="shared" ca="1" si="81"/>
        <v>0</v>
      </c>
      <c r="N252" s="90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59"/>
      <c r="B253" s="160"/>
      <c r="C253" s="160" t="s">
        <v>16</v>
      </c>
      <c r="D253" s="570" t="s">
        <v>20</v>
      </c>
      <c r="E253" s="565"/>
      <c r="F253" s="565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IFERROR(__xludf.DUMMYFUNCTION("IMPORTRANGE(""https://docs.google.com/spreadsheets/d/1Yj_ptqi66GCucihVvJfMjLAmec39IyEx_6qawtMGysU/edit?usp=sharing"",""สบก!CB28"")"),0)</f>
        <v>0</v>
      </c>
      <c r="N254" s="170">
        <f ca="1">IFERROR(__xludf.DUMMYFUNCTION("IMPORTRANGE(""https://docs.google.com/spreadsheets/d/1Yj_ptqi66GCucihVvJfMjLAmec39IyEx_6qawtMGysU/edit?usp=sharing"",""สบก!CC28"")"),0)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IFERROR(__xludf.DUMMYFUNCTION("IMPORTRANGE(""https://docs.google.com/spreadsheets/d/1Yj_ptqi66GCucihVvJfMjLAmec39IyEx_6qawtMGysU/edit?usp=sharing"",""สบก!BX28"")"),0)</f>
        <v>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IFERROR(__xludf.DUMMYFUNCTION("IMPORTRANGE(""https://docs.google.com/spreadsheets/d/1Yj_ptqi66GCucihVvJfMjLAmec39IyEx_6qawtMGysU/edit?usp=sharing"",""สบก!BY28"")"),0)</f>
        <v>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IFERROR(__xludf.DUMMYFUNCTION("IMPORTRANGE(""https://docs.google.com/spreadsheets/d/1Yj_ptqi66GCucihVvJfMjLAmec39IyEx_6qawtMGysU/edit?usp=sharing"",""สบก!BZ28"")"),0)</f>
        <v>0</v>
      </c>
      <c r="M258" s="52"/>
      <c r="N258" s="52">
        <f ca="1">IFERROR(__xludf.DUMMYFUNCTION("IMPORTRANGE(""https://docs.google.com/spreadsheets/d/1Yj_ptqi66GCucihVvJfMjLAmec39IyEx_6qawtMGysU/edit?usp=sharing"",""สบก!CD28"")"),0)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IFERROR(__xludf.DUMMYFUNCTION("IMPORTRANGE(""https://docs.google.com/spreadsheets/d/11923uPwbBZFjjGgGUA6NLw09EwE0CqkOc4q9oUmW1yo/edit?usp=sharing"",""พิษณุโลก!J175"")"),0)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IFERROR(__xludf.DUMMYFUNCTION("IMPORTRANGE(""https://docs.google.com/spreadsheets/d/11923uPwbBZFjjGgGUA6NLw09EwE0CqkOc4q9oUmW1yo/edit?usp=sharing"",""พิษณุโลก!J176"")"),0)</f>
        <v>0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IFERROR(__xludf.DUMMYFUNCTION("IMPORTRANGE(""https://docs.google.com/spreadsheets/d/11923uPwbBZFjjGgGUA6NLw09EwE0CqkOc4q9oUmW1yo/edit?usp=sharing"",""พิษณุโลก!J177"")"),0)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IFERROR(__xludf.DUMMYFUNCTION("IMPORTRANGE(""https://docs.google.com/spreadsheets/d/11923uPwbBZFjjGgGUA6NLw09EwE0CqkOc4q9oUmW1yo/edit?usp=sharing"",""พิษณุโลก!J178"")"),0)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IFERROR(__xludf.DUMMYFUNCTION("IMPORTRANGE(""https://docs.google.com/spreadsheets/d/11923uPwbBZFjjGgGUA6NLw09EwE0CqkOc4q9oUmW1yo/edit?usp=sharing"",""พิษณุโลก!I179"")"),0)</f>
        <v>0</v>
      </c>
      <c r="J264" s="190">
        <f ca="1">IFERROR(__xludf.DUMMYFUNCTION("IMPORTRANGE(""https://docs.google.com/spreadsheets/d/11923uPwbBZFjjGgGUA6NLw09EwE0CqkOc4q9oUmW1yo/edit?usp=sharing"",""พิษณุโลก!J179"")"),0)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IFERROR(__xludf.DUMMYFUNCTION("IMPORTRANGE(""https://docs.google.com/spreadsheets/d/11923uPwbBZFjjGgGUA6NLw09EwE0CqkOc4q9oUmW1yo/edit?usp=sharing"",""พิษณุโลก!I180"")"),0)</f>
        <v>0</v>
      </c>
      <c r="J265" s="190">
        <f ca="1">IFERROR(__xludf.DUMMYFUNCTION("IMPORTRANGE(""https://docs.google.com/spreadsheets/d/11923uPwbBZFjjGgGUA6NLw09EwE0CqkOc4q9oUmW1yo/edit?usp=sharing"",""พิษณุโลก!J180"")"),0)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IFERROR(__xludf.DUMMYFUNCTION("IMPORTRANGE(""https://docs.google.com/spreadsheets/d/11923uPwbBZFjjGgGUA6NLw09EwE0CqkOc4q9oUmW1yo/edit?usp=sharing"",""พิษณุโลก!I181"")"),0)</f>
        <v>0</v>
      </c>
      <c r="J266" s="190">
        <f ca="1">IFERROR(__xludf.DUMMYFUNCTION("IMPORTRANGE(""https://docs.google.com/spreadsheets/d/11923uPwbBZFjjGgGUA6NLw09EwE0CqkOc4q9oUmW1yo/edit?usp=sharing"",""พิษณุโลก!J181"")"),0)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IFERROR(__xludf.DUMMYFUNCTION("IMPORTRANGE(""https://docs.google.com/spreadsheets/d/11923uPwbBZFjjGgGUA6NLw09EwE0CqkOc4q9oUmW1yo/edit?usp=sharing"",""พิษณุโลก!I182"")"),0)</f>
        <v>0</v>
      </c>
      <c r="J267" s="190">
        <f ca="1">IFERROR(__xludf.DUMMYFUNCTION("IMPORTRANGE(""https://docs.google.com/spreadsheets/d/11923uPwbBZFjjGgGUA6NLw09EwE0CqkOc4q9oUmW1yo/edit?usp=sharing"",""พิษณุโลก!J182"")"),0)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IFERROR(__xludf.DUMMYFUNCTION("IMPORTRANGE(""https://docs.google.com/spreadsheets/d/11923uPwbBZFjjGgGUA6NLw09EwE0CqkOc4q9oUmW1yo/edit?usp=sharing"",""พิษณุโลก!J183"")"),0)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IFERROR(__xludf.DUMMYFUNCTION("IMPORTRANGE(""https://docs.google.com/spreadsheets/d/11923uPwbBZFjjGgGUA6NLw09EwE0CqkOc4q9oUmW1yo/edit?usp=sharing"",""พิษณุโลก!J184"")"),0)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IFERROR(__xludf.DUMMYFUNCTION("IMPORTRANGE(""https://docs.google.com/spreadsheets/d/11923uPwbBZFjjGgGUA6NLw09EwE0CqkOc4q9oUmW1yo/edit?usp=sharing"",""พิษณุโลก!I185"")"),15)</f>
        <v>15</v>
      </c>
      <c r="J270" s="317">
        <f ca="1">IFERROR(__xludf.DUMMYFUNCTION("IMPORTRANGE(""https://docs.google.com/spreadsheets/d/11923uPwbBZFjjGgGUA6NLw09EwE0CqkOc4q9oUmW1yo/edit?usp=sharing"",""พิษณุโลก!J185"")"),15)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26320</v>
      </c>
      <c r="O271" s="153">
        <f t="shared" ref="O271:O273" ca="1" si="84">IF(L271&gt;0,N271*100/L271,0)</f>
        <v>47.681159420289852</v>
      </c>
      <c r="P271" s="153">
        <f t="shared" ref="P271:P273" ca="1" si="85">IF(M271&gt;0,N271*100/M271,0)</f>
        <v>81.612403100775197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55200</v>
      </c>
      <c r="M273" s="90">
        <f t="shared" ca="1" si="87"/>
        <v>32250</v>
      </c>
      <c r="N273" s="90">
        <f t="shared" ca="1" si="87"/>
        <v>26320</v>
      </c>
      <c r="O273" s="158">
        <f t="shared" ca="1" si="84"/>
        <v>47.681159420289852</v>
      </c>
      <c r="P273" s="158">
        <f t="shared" ca="1" si="85"/>
        <v>81.612403100775197</v>
      </c>
    </row>
    <row r="274" spans="1:16" ht="21.75" customHeight="1">
      <c r="A274" s="159"/>
      <c r="B274" s="160"/>
      <c r="C274" s="160" t="s">
        <v>16</v>
      </c>
      <c r="D274" s="570" t="s">
        <v>20</v>
      </c>
      <c r="E274" s="565"/>
      <c r="F274" s="565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IFERROR(__xludf.DUMMYFUNCTION("IMPORTRANGE(""https://docs.google.com/spreadsheets/d/1Yj_ptqi66GCucihVvJfMjLAmec39IyEx_6qawtMGysU/edit?usp=sharing"",""สบก!CK28"")"),32250)</f>
        <v>32250</v>
      </c>
      <c r="N275" s="170">
        <f ca="1">IFERROR(__xludf.DUMMYFUNCTION("IMPORTRANGE(""https://docs.google.com/spreadsheets/d/1Yj_ptqi66GCucihVvJfMjLAmec39IyEx_6qawtMGysU/edit?usp=sharing"",""สบก!CL28"")"),26320)</f>
        <v>26320</v>
      </c>
      <c r="O275" s="170">
        <f ca="1">IF(L275&gt;0,N275*100/L275,0)</f>
        <v>47.681159420289852</v>
      </c>
      <c r="P275" s="170">
        <f ca="1">IF(M275&gt;0,N275*100/M275,0)</f>
        <v>81.612403100775197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IFERROR(__xludf.DUMMYFUNCTION("IMPORTRANGE(""https://docs.google.com/spreadsheets/d/1Yj_ptqi66GCucihVvJfMjLAmec39IyEx_6qawtMGysU/edit?usp=sharing"",""สบก!CG28"")"),0)</f>
        <v>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IFERROR(__xludf.DUMMYFUNCTION("IMPORTRANGE(""https://docs.google.com/spreadsheets/d/1Yj_ptqi66GCucihVvJfMjLAmec39IyEx_6qawtMGysU/edit?usp=sharing"",""สบก!CH28"")"),55200)</f>
        <v>55200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IFERROR(__xludf.DUMMYFUNCTION("IMPORTRANGE(""https://docs.google.com/spreadsheets/d/1Yj_ptqi66GCucihVvJfMjLAmec39IyEx_6qawtMGysU/edit?usp=sharing"",""สบก!CI28"")"),0)</f>
        <v>0</v>
      </c>
      <c r="M279" s="52"/>
      <c r="N279" s="52">
        <f ca="1">IFERROR(__xludf.DUMMYFUNCTION("IMPORTRANGE(""https://docs.google.com/spreadsheets/d/1Yj_ptqi66GCucihVvJfMjLAmec39IyEx_6qawtMGysU/edit?usp=sharing"",""สบก!CM28"")"),0)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IFERROR(__xludf.DUMMYFUNCTION("IMPORTRANGE(""https://docs.google.com/spreadsheets/d/11923uPwbBZFjjGgGUA6NLw09EwE0CqkOc4q9oUmW1yo/edit?usp=sharing"",""พิษณุโลก!J191"")"),0)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IFERROR(__xludf.DUMMYFUNCTION("IMPORTRANGE(""https://docs.google.com/spreadsheets/d/11923uPwbBZFjjGgGUA6NLw09EwE0CqkOc4q9oUmW1yo/edit?usp=sharing"",""พิษณุโลก!J192"")"),1)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IFERROR(__xludf.DUMMYFUNCTION("IMPORTRANGE(""https://docs.google.com/spreadsheets/d/11923uPwbBZFjjGgGUA6NLw09EwE0CqkOc4q9oUmW1yo/edit?usp=sharing"",""พิษณุโลก!J193"")"),1)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IFERROR(__xludf.DUMMYFUNCTION("IMPORTRANGE(""https://docs.google.com/spreadsheets/d/11923uPwbBZFjjGgGUA6NLw09EwE0CqkOc4q9oUmW1yo/edit?usp=sharing"",""พิษณุโลก!J194"")"),1)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IFERROR(__xludf.DUMMYFUNCTION("IMPORTRANGE(""https://docs.google.com/spreadsheets/d/11923uPwbBZFjjGgGUA6NLw09EwE0CqkOc4q9oUmW1yo/edit?usp=sharing"",""พิษณุโลก!I195"")"),15)</f>
        <v>15</v>
      </c>
      <c r="J285" s="190">
        <f ca="1">IFERROR(__xludf.DUMMYFUNCTION("IMPORTRANGE(""https://docs.google.com/spreadsheets/d/11923uPwbBZFjjGgGUA6NLw09EwE0CqkOc4q9oUmW1yo/edit?usp=sharing"",""พิษณุโลก!J195"")"),15)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IFERROR(__xludf.DUMMYFUNCTION("IMPORTRANGE(""https://docs.google.com/spreadsheets/d/11923uPwbBZFjjGgGUA6NLw09EwE0CqkOc4q9oUmW1yo/edit?usp=sharing"",""พิษณุโลก!J196"")"),0)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IFERROR(__xludf.DUMMYFUNCTION("IMPORTRANGE(""https://docs.google.com/spreadsheets/d/11923uPwbBZFjjGgGUA6NLw09EwE0CqkOc4q9oUmW1yo/edit?usp=sharing"",""พิษณุโลก!J197"")"),0)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IFERROR(__xludf.DUMMYFUNCTION("IMPORTRANGE(""https://docs.google.com/spreadsheets/d/11923uPwbBZFjjGgGUA6NLw09EwE0CqkOc4q9oUmW1yo/edit?usp=sharing"",""พิษณุโลก!I199"")"),0)</f>
        <v>0</v>
      </c>
      <c r="J289" s="317">
        <f ca="1">IFERROR(__xludf.DUMMYFUNCTION("IMPORTRANGE(""https://docs.google.com/spreadsheets/d/11923uPwbBZFjjGgGUA6NLw09EwE0CqkOc4q9oUmW1yo/edit?usp=sharing"",""พิษณุโลก!J199"")"),0)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0</v>
      </c>
      <c r="M292" s="90">
        <f t="shared" ca="1" si="92"/>
        <v>0</v>
      </c>
      <c r="N292" s="90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59"/>
      <c r="B293" s="160"/>
      <c r="C293" s="160" t="s">
        <v>16</v>
      </c>
      <c r="D293" s="570" t="s">
        <v>20</v>
      </c>
      <c r="E293" s="565"/>
      <c r="F293" s="565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IFERROR(__xludf.DUMMYFUNCTION("IMPORTRANGE(""https://docs.google.com/spreadsheets/d/1Yj_ptqi66GCucihVvJfMjLAmec39IyEx_6qawtMGysU/edit?usp=sharing"",""สบก!CT28"")"),0)</f>
        <v>0</v>
      </c>
      <c r="N294" s="170">
        <f ca="1">IFERROR(__xludf.DUMMYFUNCTION("IMPORTRANGE(""https://docs.google.com/spreadsheets/d/1Yj_ptqi66GCucihVvJfMjLAmec39IyEx_6qawtMGysU/edit?usp=sharing"",""สบก!CU28"")"),0)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IFERROR(__xludf.DUMMYFUNCTION("IMPORTRANGE(""https://docs.google.com/spreadsheets/d/1Yj_ptqi66GCucihVvJfMjLAmec39IyEx_6qawtMGysU/edit?usp=sharing"",""สบก!CP28"")"),0)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IFERROR(__xludf.DUMMYFUNCTION("IMPORTRANGE(""https://docs.google.com/spreadsheets/d/1Yj_ptqi66GCucihVvJfMjLAmec39IyEx_6qawtMGysU/edit?usp=sharing"",""สบก!CQ28"")"),0)</f>
        <v>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IFERROR(__xludf.DUMMYFUNCTION("IMPORTRANGE(""https://docs.google.com/spreadsheets/d/1Yj_ptqi66GCucihVvJfMjLAmec39IyEx_6qawtMGysU/edit?usp=sharing"",""สบก!CR28"")"),0)</f>
        <v>0</v>
      </c>
      <c r="M298" s="52"/>
      <c r="N298" s="52">
        <f ca="1">IFERROR(__xludf.DUMMYFUNCTION("IMPORTRANGE(""https://docs.google.com/spreadsheets/d/1Yj_ptqi66GCucihVvJfMjLAmec39IyEx_6qawtMGysU/edit?usp=sharing"",""สบก!CV28"")"),0)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IFERROR(__xludf.DUMMYFUNCTION("IMPORTRANGE(""https://docs.google.com/spreadsheets/d/11923uPwbBZFjjGgGUA6NLw09EwE0CqkOc4q9oUmW1yo/edit?usp=sharing"",""พิษณุโลก!J205"")"),0)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IFERROR(__xludf.DUMMYFUNCTION("IMPORTRANGE(""https://docs.google.com/spreadsheets/d/11923uPwbBZFjjGgGUA6NLw09EwE0CqkOc4q9oUmW1yo/edit?usp=sharing"",""พิษณุโลก!J206"")"),0)</f>
        <v>0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IFERROR(__xludf.DUMMYFUNCTION("IMPORTRANGE(""https://docs.google.com/spreadsheets/d/11923uPwbBZFjjGgGUA6NLw09EwE0CqkOc4q9oUmW1yo/edit?usp=sharing"",""พิษณุโลก!J207"")"),0)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IFERROR(__xludf.DUMMYFUNCTION("IMPORTRANGE(""https://docs.google.com/spreadsheets/d/11923uPwbBZFjjGgGUA6NLw09EwE0CqkOc4q9oUmW1yo/edit?usp=sharing"",""พิษณุโลก!J208"")"),0)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IFERROR(__xludf.DUMMYFUNCTION("IMPORTRANGE(""https://docs.google.com/spreadsheets/d/11923uPwbBZFjjGgGUA6NLw09EwE0CqkOc4q9oUmW1yo/edit?usp=sharing"",""พิษณุโลก!I209"")"),0)</f>
        <v>0</v>
      </c>
      <c r="J304" s="205">
        <f ca="1">IFERROR(__xludf.DUMMYFUNCTION("IMPORTRANGE(""https://docs.google.com/spreadsheets/d/11923uPwbBZFjjGgGUA6NLw09EwE0CqkOc4q9oUmW1yo/edit?usp=sharing"",""พิษณุโลก!J209"")"),0)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IFERROR(__xludf.DUMMYFUNCTION("IMPORTRANGE(""https://docs.google.com/spreadsheets/d/11923uPwbBZFjjGgGUA6NLw09EwE0CqkOc4q9oUmW1yo/edit?usp=sharing"",""พิษณุโลก!I211"")"),0)</f>
        <v>0</v>
      </c>
      <c r="J306" s="205">
        <f ca="1">IFERROR(__xludf.DUMMYFUNCTION("IMPORTRANGE(""https://docs.google.com/spreadsheets/d/11923uPwbBZFjjGgGUA6NLw09EwE0CqkOc4q9oUmW1yo/edit?usp=sharing"",""พิษณุโลก!J211"")"),0)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IFERROR(__xludf.DUMMYFUNCTION("IMPORTRANGE(""https://docs.google.com/spreadsheets/d/11923uPwbBZFjjGgGUA6NLw09EwE0CqkOc4q9oUmW1yo/edit?usp=sharing"",""พิษณุโลก!J212"")"),0)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IFERROR(__xludf.DUMMYFUNCTION("IMPORTRANGE(""https://docs.google.com/spreadsheets/d/11923uPwbBZFjjGgGUA6NLw09EwE0CqkOc4q9oUmW1yo/edit?usp=sharing"",""พิษณุโลก!J213"")"),0)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IFERROR(__xludf.DUMMYFUNCTION("IMPORTRANGE(""https://docs.google.com/spreadsheets/d/11923uPwbBZFjjGgGUA6NLw09EwE0CqkOc4q9oUmW1yo/edit?usp=sharing"",""พิษณุโลก!I214"")"),0)</f>
        <v>0</v>
      </c>
      <c r="J309" s="334">
        <f ca="1">IFERROR(__xludf.DUMMYFUNCTION("IMPORTRANGE(""https://docs.google.com/spreadsheets/d/11923uPwbBZFjjGgGUA6NLw09EwE0CqkOc4q9oUmW1yo/edit?usp=sharing"",""พิษณุโลก!J214"")"),0)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0</v>
      </c>
      <c r="M312" s="90">
        <f t="shared" ca="1" si="97"/>
        <v>0</v>
      </c>
      <c r="N312" s="90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59"/>
      <c r="B313" s="160"/>
      <c r="C313" s="160" t="s">
        <v>16</v>
      </c>
      <c r="D313" s="570" t="s">
        <v>20</v>
      </c>
      <c r="E313" s="565"/>
      <c r="F313" s="565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IFERROR(__xludf.DUMMYFUNCTION("IMPORTRANGE(""https://docs.google.com/spreadsheets/d/1Yj_ptqi66GCucihVvJfMjLAmec39IyEx_6qawtMGysU/edit?usp=sharing"",""สบก!DC28"")"),0)</f>
        <v>0</v>
      </c>
      <c r="N314" s="170">
        <f ca="1">IFERROR(__xludf.DUMMYFUNCTION("IMPORTRANGE(""https://docs.google.com/spreadsheets/d/1Yj_ptqi66GCucihVvJfMjLAmec39IyEx_6qawtMGysU/edit?usp=sharing"",""สบก!DD28"")"),0)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IFERROR(__xludf.DUMMYFUNCTION("IMPORTRANGE(""https://docs.google.com/spreadsheets/d/1Yj_ptqi66GCucihVvJfMjLAmec39IyEx_6qawtMGysU/edit?usp=sharing"",""สบก!CY28"")"),0)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IFERROR(__xludf.DUMMYFUNCTION("IMPORTRANGE(""https://docs.google.com/spreadsheets/d/1Yj_ptqi66GCucihVvJfMjLAmec39IyEx_6qawtMGysU/edit?usp=sharing"",""สบก!CZ28"")"),0)</f>
        <v>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IFERROR(__xludf.DUMMYFUNCTION("IMPORTRANGE(""https://docs.google.com/spreadsheets/d/1Yj_ptqi66GCucihVvJfMjLAmec39IyEx_6qawtMGysU/edit?usp=sharing"",""สบก!DA28"")"),0)</f>
        <v>0</v>
      </c>
      <c r="M318" s="52"/>
      <c r="N318" s="52">
        <f ca="1">IFERROR(__xludf.DUMMYFUNCTION("IMPORTRANGE(""https://docs.google.com/spreadsheets/d/1Yj_ptqi66GCucihVvJfMjLAmec39IyEx_6qawtMGysU/edit?usp=sharing"",""สบก!DE28"")"),0)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IFERROR(__xludf.DUMMYFUNCTION("IMPORTRANGE(""https://docs.google.com/spreadsheets/d/11923uPwbBZFjjGgGUA6NLw09EwE0CqkOc4q9oUmW1yo/edit?usp=sharing"",""พิษณุโลก!J220"")"),0)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IFERROR(__xludf.DUMMYFUNCTION("IMPORTRANGE(""https://docs.google.com/spreadsheets/d/11923uPwbBZFjjGgGUA6NLw09EwE0CqkOc4q9oUmW1yo/edit?usp=sharing"",""พิษณุโลก!J221"")"),0)</f>
        <v>0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IFERROR(__xludf.DUMMYFUNCTION("IMPORTRANGE(""https://docs.google.com/spreadsheets/d/11923uPwbBZFjjGgGUA6NLw09EwE0CqkOc4q9oUmW1yo/edit?usp=sharing"",""พิษณุโลก!J222"")"),0)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IFERROR(__xludf.DUMMYFUNCTION("IMPORTRANGE(""https://docs.google.com/spreadsheets/d/11923uPwbBZFjjGgGUA6NLw09EwE0CqkOc4q9oUmW1yo/edit?usp=sharing"",""พิษณุโลก!J223"")"),0)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IFERROR(__xludf.DUMMYFUNCTION("IMPORTRANGE(""https://docs.google.com/spreadsheets/d/11923uPwbBZFjjGgGUA6NLw09EwE0CqkOc4q9oUmW1yo/edit?usp=sharing"",""พิษณุโลก!I224"")"),0)</f>
        <v>0</v>
      </c>
      <c r="J324" s="205">
        <f ca="1">IFERROR(__xludf.DUMMYFUNCTION("IMPORTRANGE(""https://docs.google.com/spreadsheets/d/11923uPwbBZFjjGgGUA6NLw09EwE0CqkOc4q9oUmW1yo/edit?usp=sharing"",""พิษณุโลก!J224"")"),0)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IFERROR(__xludf.DUMMYFUNCTION("IMPORTRANGE(""https://docs.google.com/spreadsheets/d/11923uPwbBZFjjGgGUA6NLw09EwE0CqkOc4q9oUmW1yo/edit?usp=sharing"",""พิษณุโลก!J225"")"),0)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IFERROR(__xludf.DUMMYFUNCTION("IMPORTRANGE(""https://docs.google.com/spreadsheets/d/11923uPwbBZFjjGgGUA6NLw09EwE0CqkOc4q9oUmW1yo/edit?usp=sharing"",""พิษณุโลก!J226"")"),0)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IFERROR(__xludf.DUMMYFUNCTION("IMPORTRANGE(""https://docs.google.com/spreadsheets/d/11923uPwbBZFjjGgGUA6NLw09EwE0CqkOc4q9oUmW1yo/edit?usp=sharing"",""พิษณุโลก!I228"")"),220)</f>
        <v>220</v>
      </c>
      <c r="J328" s="340">
        <f ca="1">IFERROR(__xludf.DUMMYFUNCTION("IMPORTRANGE(""https://docs.google.com/spreadsheets/d/11923uPwbBZFjjGgGUA6NLw09EwE0CqkOc4q9oUmW1yo/edit?usp=sharing"",""พิษณุโลก!J228"")"),144)</f>
        <v>144</v>
      </c>
      <c r="K328" s="318">
        <f ca="1">IF(I328&gt;0,J328*100/I328,0)</f>
        <v>65.454545454545453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693330</v>
      </c>
      <c r="M329" s="154">
        <f t="shared" ca="1" si="98"/>
        <v>557570</v>
      </c>
      <c r="N329" s="154">
        <f t="shared" ca="1" si="98"/>
        <v>437260.45</v>
      </c>
      <c r="O329" s="153">
        <f t="shared" ref="O329:O331" ca="1" si="99">IF(L329&gt;0,N329*100/L329,0)</f>
        <v>63.066714263049342</v>
      </c>
      <c r="P329" s="153">
        <f t="shared" ref="P329:P331" ca="1" si="100">IF(M329&gt;0,N329*100/M329,0)</f>
        <v>78.422520939074914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693330</v>
      </c>
      <c r="M331" s="90">
        <f t="shared" ca="1" si="102"/>
        <v>557570</v>
      </c>
      <c r="N331" s="90">
        <f t="shared" ca="1" si="102"/>
        <v>437260.45</v>
      </c>
      <c r="O331" s="158">
        <f t="shared" ca="1" si="99"/>
        <v>63.066714263049342</v>
      </c>
      <c r="P331" s="158">
        <f t="shared" ca="1" si="100"/>
        <v>78.422520939074914</v>
      </c>
    </row>
    <row r="332" spans="1:16" ht="21.75" customHeight="1">
      <c r="A332" s="159"/>
      <c r="B332" s="160"/>
      <c r="C332" s="160" t="s">
        <v>16</v>
      </c>
      <c r="D332" s="570" t="s">
        <v>20</v>
      </c>
      <c r="E332" s="565"/>
      <c r="F332" s="565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678330</v>
      </c>
      <c r="M333" s="169">
        <f ca="1">IFERROR(__xludf.DUMMYFUNCTION("IMPORTRANGE(""https://docs.google.com/spreadsheets/d/1Yj_ptqi66GCucihVvJfMjLAmec39IyEx_6qawtMGysU/edit?usp=sharing"",""สบก!DL28"")"),542570)</f>
        <v>542570</v>
      </c>
      <c r="N333" s="170">
        <f ca="1">IFERROR(__xludf.DUMMYFUNCTION("IMPORTRANGE(""https://docs.google.com/spreadsheets/d/1Yj_ptqi66GCucihVvJfMjLAmec39IyEx_6qawtMGysU/edit?usp=sharing"",""สบก!DM28"")"),422260.45)</f>
        <v>422260.45</v>
      </c>
      <c r="O333" s="170">
        <f ca="1">IF(L333&gt;0,N333*100/L333,0)</f>
        <v>62.250003685521797</v>
      </c>
      <c r="P333" s="170">
        <f ca="1">IF(M333&gt;0,N333*100/M333,0)</f>
        <v>77.82598558711318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IFERROR(__xludf.DUMMYFUNCTION("IMPORTRANGE(""https://docs.google.com/spreadsheets/d/1Yj_ptqi66GCucihVvJfMjLAmec39IyEx_6qawtMGysU/edit?usp=sharing"",""สบก!DH28"")"),306000)</f>
        <v>306000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IFERROR(__xludf.DUMMYFUNCTION("IMPORTRANGE(""https://docs.google.com/spreadsheets/d/1Yj_ptqi66GCucihVvJfMjLAmec39IyEx_6qawtMGysU/edit?usp=sharing"",""สบก!DI28"")"),372330)</f>
        <v>372330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IFERROR(__xludf.DUMMYFUNCTION("IMPORTRANGE(""https://docs.google.com/spreadsheets/d/1Yj_ptqi66GCucihVvJfMjLAmec39IyEx_6qawtMGysU/edit?usp=sharing"",""สบก!DJ28"")"),15000)</f>
        <v>15000</v>
      </c>
      <c r="M337" s="52">
        <f ca="1">L337</f>
        <v>15000</v>
      </c>
      <c r="N337" s="52">
        <f ca="1">IFERROR(__xludf.DUMMYFUNCTION("IMPORTRANGE(""https://docs.google.com/spreadsheets/d/1Yj_ptqi66GCucihVvJfMjLAmec39IyEx_6qawtMGysU/edit?usp=sharing"",""สบก!DN28"")"),15000)</f>
        <v>15000</v>
      </c>
      <c r="O337" s="52">
        <f ca="1">IF(L337&gt;0,N337*100/L337,0)</f>
        <v>100</v>
      </c>
      <c r="P337" s="52">
        <f ca="1">IF(M337&gt;0,N337*100/M337,0)</f>
        <v>100</v>
      </c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IFERROR(__xludf.DUMMYFUNCTION("IMPORTRANGE(""https://docs.google.com/spreadsheets/d/11923uPwbBZFjjGgGUA6NLw09EwE0CqkOc4q9oUmW1yo/edit?usp=sharing"",""พิษณุโลก!I234"")"),0)</f>
        <v>0</v>
      </c>
      <c r="J339" s="189">
        <f ca="1">IFERROR(__xludf.DUMMYFUNCTION("IMPORTRANGE(""https://docs.google.com/spreadsheets/d/11923uPwbBZFjjGgGUA6NLw09EwE0CqkOc4q9oUmW1yo/edit?usp=sharing"",""พิษณุโลก!J234"")"),198)</f>
        <v>198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IFERROR(__xludf.DUMMYFUNCTION("IMPORTRANGE(""https://docs.google.com/spreadsheets/d/11923uPwbBZFjjGgGUA6NLw09EwE0CqkOc4q9oUmW1yo/edit?usp=sharing"",""พิษณุโลก!I235"")"),2040)</f>
        <v>2040</v>
      </c>
      <c r="J340" s="189">
        <f ca="1">IFERROR(__xludf.DUMMYFUNCTION("IMPORTRANGE(""https://docs.google.com/spreadsheets/d/11923uPwbBZFjjGgGUA6NLw09EwE0CqkOc4q9oUmW1yo/edit?usp=sharing"",""พิษณุโลก!J235"")"),2052.49)</f>
        <v>2052.4899999999998</v>
      </c>
      <c r="K340" s="343">
        <f t="shared" ca="1" si="103"/>
        <v>100.61225490196077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IFERROR(__xludf.DUMMYFUNCTION("IMPORTRANGE(""https://docs.google.com/spreadsheets/d/11923uPwbBZFjjGgGUA6NLw09EwE0CqkOc4q9oUmW1yo/edit?usp=sharing"",""พิษณุโลก!I236"")"),220)</f>
        <v>220</v>
      </c>
      <c r="J341" s="189">
        <f ca="1">IFERROR(__xludf.DUMMYFUNCTION("IMPORTRANGE(""https://docs.google.com/spreadsheets/d/11923uPwbBZFjjGgGUA6NLw09EwE0CqkOc4q9oUmW1yo/edit?usp=sharing"",""พิษณุโลก!J236"")"),260)</f>
        <v>260</v>
      </c>
      <c r="K341" s="343">
        <f t="shared" ca="1" si="103"/>
        <v>118.18181818181819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IFERROR(__xludf.DUMMYFUNCTION("IMPORTRANGE(""https://docs.google.com/spreadsheets/d/11923uPwbBZFjjGgGUA6NLw09EwE0CqkOc4q9oUmW1yo/edit?usp=sharing"",""พิษณุโลก!I237"")"),0)</f>
        <v>0</v>
      </c>
      <c r="J342" s="189">
        <f ca="1">IFERROR(__xludf.DUMMYFUNCTION("IMPORTRANGE(""https://docs.google.com/spreadsheets/d/11923uPwbBZFjjGgGUA6NLw09EwE0CqkOc4q9oUmW1yo/edit?usp=sharing"",""พิษณุโลก!J237"")"),2955.17)</f>
        <v>2955.17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IFERROR(__xludf.DUMMYFUNCTION("IMPORTRANGE(""https://docs.google.com/spreadsheets/d/11923uPwbBZFjjGgGUA6NLw09EwE0CqkOc4q9oUmW1yo/edit?usp=sharing"",""พิษณุโลก!I238"")"),220)</f>
        <v>220</v>
      </c>
      <c r="J343" s="189">
        <f ca="1">IFERROR(__xludf.DUMMYFUNCTION("IMPORTRANGE(""https://docs.google.com/spreadsheets/d/11923uPwbBZFjjGgGUA6NLw09EwE0CqkOc4q9oUmW1yo/edit?usp=sharing"",""พิษณุโลก!J238"")"),10)</f>
        <v>10</v>
      </c>
      <c r="K343" s="343">
        <f t="shared" ca="1" si="103"/>
        <v>4.5454545454545459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IFERROR(__xludf.DUMMYFUNCTION("IMPORTRANGE(""https://docs.google.com/spreadsheets/d/11923uPwbBZFjjGgGUA6NLw09EwE0CqkOc4q9oUmW1yo/edit?usp=sharing"",""พิษณุโลก!I239"")"),0)</f>
        <v>0</v>
      </c>
      <c r="J344" s="189">
        <f ca="1">IFERROR(__xludf.DUMMYFUNCTION("IMPORTRANGE(""https://docs.google.com/spreadsheets/d/11923uPwbBZFjjGgGUA6NLw09EwE0CqkOc4q9oUmW1yo/edit?usp=sharing"",""พิษณุโลก!J239"")"),75.66)</f>
        <v>75.66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IFERROR(__xludf.DUMMYFUNCTION("IMPORTRANGE(""https://docs.google.com/spreadsheets/d/11923uPwbBZFjjGgGUA6NLw09EwE0CqkOc4q9oUmW1yo/edit?usp=sharing"",""พิษณุโลก!I240"")"),220)</f>
        <v>220</v>
      </c>
      <c r="J345" s="189">
        <f ca="1">IFERROR(__xludf.DUMMYFUNCTION("IMPORTRANGE(""https://docs.google.com/spreadsheets/d/11923uPwbBZFjjGgGUA6NLw09EwE0CqkOc4q9oUmW1yo/edit?usp=sharing"",""พิษณุโลก!J240"")"),144)</f>
        <v>144</v>
      </c>
      <c r="K345" s="343">
        <f t="shared" ca="1" si="103"/>
        <v>65.454545454545453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IFERROR(__xludf.DUMMYFUNCTION("IMPORTRANGE(""https://docs.google.com/spreadsheets/d/11923uPwbBZFjjGgGUA6NLw09EwE0CqkOc4q9oUmW1yo/edit?usp=sharing"",""พิษณุโลก!I241"")"),0)</f>
        <v>0</v>
      </c>
      <c r="J346" s="189">
        <f ca="1">IFERROR(__xludf.DUMMYFUNCTION("IMPORTRANGE(""https://docs.google.com/spreadsheets/d/11923uPwbBZFjjGgGUA6NLw09EwE0CqkOc4q9oUmW1yo/edit?usp=sharing"",""พิษณุโลก!J241"")"),1520.52)</f>
        <v>1520.52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IFERROR(__xludf.DUMMYFUNCTION("IMPORTRANGE(""https://docs.google.com/spreadsheets/d/11923uPwbBZFjjGgGUA6NLw09EwE0CqkOc4q9oUmW1yo/edit?usp=sharing"",""พิษณุโลก!L242"")"),2742039)</f>
        <v>2742039</v>
      </c>
      <c r="M347" s="359"/>
      <c r="N347" s="359">
        <f ca="1">IFERROR(__xludf.DUMMYFUNCTION("IMPORTRANGE(""https://docs.google.com/spreadsheets/d/11923uPwbBZFjjGgGUA6NLw09EwE0CqkOc4q9oUmW1yo/edit?usp=sharing"",""พิษณุโลก!M242"")"),724771.69)</f>
        <v>724771.69</v>
      </c>
      <c r="O347" s="359">
        <f ca="1">+IF(L347&gt;0,N347*100/L347,0)</f>
        <v>26.431851990434854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IFERROR(__xludf.DUMMYFUNCTION("IMPORTRANGE(""https://docs.google.com/spreadsheets/d/11923uPwbBZFjjGgGUA6NLw09EwE0CqkOc4q9oUmW1yo/edit?usp=sharing"",""พิษณุโลก!I244"")"),0)</f>
        <v>0</v>
      </c>
      <c r="J349" s="372">
        <f ca="1">IFERROR(__xludf.DUMMYFUNCTION("IMPORTRANGE(""https://docs.google.com/spreadsheets/d/11923uPwbBZFjjGgGUA6NLw09EwE0CqkOc4q9oUmW1yo/edit?usp=sharing"",""พิษณุโลก!J244"")"),0)</f>
        <v>0</v>
      </c>
      <c r="K349" s="373">
        <f t="shared" ref="K349:K350" ca="1" si="104">IF(I349&gt;0,J349*100/I349,0)</f>
        <v>0</v>
      </c>
      <c r="L349" s="374">
        <f ca="1">IFERROR(__xludf.DUMMYFUNCTION("IMPORTRANGE(""https://docs.google.com/spreadsheets/d/11923uPwbBZFjjGgGUA6NLw09EwE0CqkOc4q9oUmW1yo/edit?usp=sharing"",""พิษณุโลก!L244"")"),0)</f>
        <v>0</v>
      </c>
      <c r="M349" s="374"/>
      <c r="N349" s="374">
        <f ca="1">IFERROR(__xludf.DUMMYFUNCTION("IMPORTRANGE(""https://docs.google.com/spreadsheets/d/11923uPwbBZFjjGgGUA6NLw09EwE0CqkOc4q9oUmW1yo/edit?usp=sharing"",""พิษณุโลก!M244"")"),0)</f>
        <v>0</v>
      </c>
      <c r="O349" s="374">
        <f ca="1">+IF(L349&gt;0,N349*100/L349,0)</f>
        <v>0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IFERROR(__xludf.DUMMYFUNCTION("IMPORTRANGE(""https://docs.google.com/spreadsheets/d/11923uPwbBZFjjGgGUA6NLw09EwE0CqkOc4q9oUmW1yo/edit?usp=sharing"",""พิษณุโลก!I245"")"),0)</f>
        <v>0</v>
      </c>
      <c r="J350" s="372">
        <f ca="1">IFERROR(__xludf.DUMMYFUNCTION("IMPORTRANGE(""https://docs.google.com/spreadsheets/d/11923uPwbBZFjjGgGUA6NLw09EwE0CqkOc4q9oUmW1yo/edit?usp=sharing"",""พิษณุโลก!J245"")"),0)</f>
        <v>0</v>
      </c>
      <c r="K350" s="373">
        <f t="shared" ca="1" si="104"/>
        <v>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IFERROR(__xludf.DUMMYFUNCTION("IMPORTRANGE(""https://docs.google.com/spreadsheets/d/11923uPwbBZFjjGgGUA6NLw09EwE0CqkOc4q9oUmW1yo/edit?usp=sharing"",""พิษณุโลก!L246"")"),0)</f>
        <v>0</v>
      </c>
      <c r="M351" s="166"/>
      <c r="N351" s="166">
        <f ca="1">IFERROR(__xludf.DUMMYFUNCTION("IMPORTRANGE(""https://docs.google.com/spreadsheets/d/11923uPwbBZFjjGgGUA6NLw09EwE0CqkOc4q9oUmW1yo/edit?usp=sharing"",""พิษณุโลก!M246"")"),0)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IFERROR(__xludf.DUMMYFUNCTION("IMPORTRANGE(""https://docs.google.com/spreadsheets/d/11923uPwbBZFjjGgGUA6NLw09EwE0CqkOc4q9oUmW1yo/edit?usp=sharing"",""พิษณุโลก!L247"")"),0)</f>
        <v>0</v>
      </c>
      <c r="M352" s="167"/>
      <c r="N352" s="166">
        <f ca="1">IFERROR(__xludf.DUMMYFUNCTION("IMPORTRANGE(""https://docs.google.com/spreadsheets/d/11923uPwbBZFjjGgGUA6NLw09EwE0CqkOc4q9oUmW1yo/edit?usp=sharing"",""พิษณุโลก!M247"")"),0)</f>
        <v>0</v>
      </c>
      <c r="O352" s="167">
        <f t="shared" ca="1" si="105"/>
        <v>0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IFERROR(__xludf.DUMMYFUNCTION("IMPORTRANGE(""https://docs.google.com/spreadsheets/d/11923uPwbBZFjjGgGUA6NLw09EwE0CqkOc4q9oUmW1yo/edit?usp=sharing"",""พิษณุโลก!L248"")"),0)</f>
        <v>0</v>
      </c>
      <c r="M353" s="170"/>
      <c r="N353" s="170">
        <f ca="1">IFERROR(__xludf.DUMMYFUNCTION("IMPORTRANGE(""https://docs.google.com/spreadsheets/d/11923uPwbBZFjjGgGUA6NLw09EwE0CqkOc4q9oUmW1yo/edit?usp=sharing"",""พิษณุโลก!M248"")"),0)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IFERROR(__xludf.DUMMYFUNCTION("IMPORTRANGE(""https://docs.google.com/spreadsheets/d/11923uPwbBZFjjGgGUA6NLw09EwE0CqkOc4q9oUmW1yo/edit?usp=sharing"",""พิษณุโลก!L249"")"),0)</f>
        <v>0</v>
      </c>
      <c r="M354" s="170"/>
      <c r="N354" s="169">
        <f ca="1">IFERROR(__xludf.DUMMYFUNCTION("IMPORTRANGE(""https://docs.google.com/spreadsheets/d/11923uPwbBZFjjGgGUA6NLw09EwE0CqkOc4q9oUmW1yo/edit?usp=sharing"",""พิษณุโลก!M249"")"),0)</f>
        <v>0</v>
      </c>
      <c r="O354" s="170">
        <f t="shared" ca="1" si="105"/>
        <v>0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IFERROR(__xludf.DUMMYFUNCTION("IMPORTRANGE(""https://docs.google.com/spreadsheets/d/11923uPwbBZFjjGgGUA6NLw09EwE0CqkOc4q9oUmW1yo/edit?usp=sharing"",""พิษณุโลก!M250"")"),0)</f>
        <v>0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IFERROR(__xludf.DUMMYFUNCTION("IMPORTRANGE(""https://docs.google.com/spreadsheets/d/11923uPwbBZFjjGgGUA6NLw09EwE0CqkOc4q9oUmW1yo/edit?usp=sharing"",""พิษณุโลก!M251"")"),0)</f>
        <v>0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IFERROR(__xludf.DUMMYFUNCTION("IMPORTRANGE(""https://docs.google.com/spreadsheets/d/11923uPwbBZFjjGgGUA6NLw09EwE0CqkOc4q9oUmW1yo/edit?usp=sharing"",""พิษณุโลก!M252"")"),0)</f>
        <v>0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IFERROR(__xludf.DUMMYFUNCTION("IMPORTRANGE(""https://docs.google.com/spreadsheets/d/11923uPwbBZFjjGgGUA6NLw09EwE0CqkOc4q9oUmW1yo/edit?usp=sharing"",""พิษณุโลก!M253"")"),0)</f>
        <v>0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IFERROR(__xludf.DUMMYFUNCTION("IMPORTRANGE(""https://docs.google.com/spreadsheets/d/11923uPwbBZFjjGgGUA6NLw09EwE0CqkOc4q9oUmW1yo/edit?usp=sharing"",""พิษณุโลก!J255"")"),0)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IFERROR(__xludf.DUMMYFUNCTION("IMPORTRANGE(""https://docs.google.com/spreadsheets/d/11923uPwbBZFjjGgGUA6NLw09EwE0CqkOc4q9oUmW1yo/edit?usp=sharing"",""พิษณุโลก!J256"")"),0)</f>
        <v>0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IFERROR(__xludf.DUMMYFUNCTION("IMPORTRANGE(""https://docs.google.com/spreadsheets/d/11923uPwbBZFjjGgGUA6NLw09EwE0CqkOc4q9oUmW1yo/edit?usp=sharing"",""พิษณุโลก!J257"")"),0)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IFERROR(__xludf.DUMMYFUNCTION("IMPORTRANGE(""https://docs.google.com/spreadsheets/d/11923uPwbBZFjjGgGUA6NLw09EwE0CqkOc4q9oUmW1yo/edit?usp=sharing"",""พิษณุโลก!J258"")"),0)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IFERROR(__xludf.DUMMYFUNCTION("IMPORTRANGE(""https://docs.google.com/spreadsheets/d/11923uPwbBZFjjGgGUA6NLw09EwE0CqkOc4q9oUmW1yo/edit?usp=sharing"",""พิษณุโลก!J166"")"),0)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IFERROR(__xludf.DUMMYFUNCTION("IMPORTRANGE(""https://docs.google.com/spreadsheets/d/11923uPwbBZFjjGgGUA6NLw09EwE0CqkOc4q9oUmW1yo/edit?usp=sharing"",""พิษณุโลก!J166"")"),0)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IFERROR(__xludf.DUMMYFUNCTION("IMPORTRANGE(""https://docs.google.com/spreadsheets/d/11923uPwbBZFjjGgGUA6NLw09EwE0CqkOc4q9oUmW1yo/edit?usp=sharing"",""พิษณุโลก!J166"")"),0)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IFERROR(__xludf.DUMMYFUNCTION("IMPORTRANGE(""https://docs.google.com/spreadsheets/d/11923uPwbBZFjjGgGUA6NLw09EwE0CqkOc4q9oUmW1yo/edit?usp=sharing"",""พิษณุโลก!J166"")"),0)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IFERROR(__xludf.DUMMYFUNCTION("IMPORTRANGE(""https://docs.google.com/spreadsheets/d/11923uPwbBZFjjGgGUA6NLw09EwE0CqkOc4q9oUmW1yo/edit?usp=sharing"",""พิษณุโลก!I263"")"),0)</f>
        <v>0</v>
      </c>
      <c r="J368" s="189">
        <f ca="1">IFERROR(__xludf.DUMMYFUNCTION("IMPORTRANGE(""https://docs.google.com/spreadsheets/d/11923uPwbBZFjjGgGUA6NLw09EwE0CqkOc4q9oUmW1yo/edit?usp=sharing"",""พิษณุโลก!J263"")"),0)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IFERROR(__xludf.DUMMYFUNCTION("IMPORTRANGE(""https://docs.google.com/spreadsheets/d/11923uPwbBZFjjGgGUA6NLw09EwE0CqkOc4q9oUmW1yo/edit?usp=sharing"",""พิษณุโลก!I164"")"),0)</f>
        <v>0</v>
      </c>
      <c r="J369" s="205">
        <f ca="1">IFERROR(__xludf.DUMMYFUNCTION("IMPORTRANGE(""https://docs.google.com/spreadsheets/d/11923uPwbBZFjjGgGUA6NLw09EwE0CqkOc4q9oUmW1yo/edit?usp=sharing"",""พิษณุโลก!J164"")"),0)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IFERROR(__xludf.DUMMYFUNCTION("IMPORTRANGE(""https://docs.google.com/spreadsheets/d/11923uPwbBZFjjGgGUA6NLw09EwE0CqkOc4q9oUmW1yo/edit?usp=sharing"",""พิษณุโลก!I265"")"),0)</f>
        <v>0</v>
      </c>
      <c r="J370" s="205">
        <f ca="1">IFERROR(__xludf.DUMMYFUNCTION("IMPORTRANGE(""https://docs.google.com/spreadsheets/d/11923uPwbBZFjjGgGUA6NLw09EwE0CqkOc4q9oUmW1yo/edit?usp=sharing"",""พิษณุโลก!J265"")"),0)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IFERROR(__xludf.DUMMYFUNCTION("IMPORTRANGE(""https://docs.google.com/spreadsheets/d/11923uPwbBZFjjGgGUA6NLw09EwE0CqkOc4q9oUmW1yo/edit?usp=sharing"",""พิษณุโลก!I164"")"),0)</f>
        <v>0</v>
      </c>
      <c r="J371" s="190">
        <f ca="1">IFERROR(__xludf.DUMMYFUNCTION("IMPORTRANGE(""https://docs.google.com/spreadsheets/d/11923uPwbBZFjjGgGUA6NLw09EwE0CqkOc4q9oUmW1yo/edit?usp=sharing"",""พิษณุโลก!J164"")"),0)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IFERROR(__xludf.DUMMYFUNCTION("IMPORTRANGE(""https://docs.google.com/spreadsheets/d/11923uPwbBZFjjGgGUA6NLw09EwE0CqkOc4q9oUmW1yo/edit?usp=sharing"",""พิษณุโลก!I267"")"),0)</f>
        <v>0</v>
      </c>
      <c r="J372" s="190">
        <f ca="1">IFERROR(__xludf.DUMMYFUNCTION("IMPORTRANGE(""https://docs.google.com/spreadsheets/d/11923uPwbBZFjjGgGUA6NLw09EwE0CqkOc4q9oUmW1yo/edit?usp=sharing"",""พิษณุโลก!J267"")"),0)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IFERROR(__xludf.DUMMYFUNCTION("IMPORTRANGE(""https://docs.google.com/spreadsheets/d/11923uPwbBZFjjGgGUA6NLw09EwE0CqkOc4q9oUmW1yo/edit?usp=sharing"",""พิษณุโลก!I164"")"),0)</f>
        <v>0</v>
      </c>
      <c r="J373" s="205">
        <f ca="1">IFERROR(__xludf.DUMMYFUNCTION("IMPORTRANGE(""https://docs.google.com/spreadsheets/d/11923uPwbBZFjjGgGUA6NLw09EwE0CqkOc4q9oUmW1yo/edit?usp=sharing"",""พิษณุโลก!J164"")"),0)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IFERROR(__xludf.DUMMYFUNCTION("IMPORTRANGE(""https://docs.google.com/spreadsheets/d/11923uPwbBZFjjGgGUA6NLw09EwE0CqkOc4q9oUmW1yo/edit?usp=sharing"",""พิษณุโลก!I164"")"),0)</f>
        <v>0</v>
      </c>
      <c r="J374" s="189">
        <f ca="1">IFERROR(__xludf.DUMMYFUNCTION("IMPORTRANGE(""https://docs.google.com/spreadsheets/d/11923uPwbBZFjjGgGUA6NLw09EwE0CqkOc4q9oUmW1yo/edit?usp=sharing"",""พิษณุโลก!J164"")"),0)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IFERROR(__xludf.DUMMYFUNCTION("IMPORTRANGE(""https://docs.google.com/spreadsheets/d/11923uPwbBZFjjGgGUA6NLw09EwE0CqkOc4q9oUmW1yo/edit?usp=sharing"",""พิษณุโลก!I270"")"),0)</f>
        <v>0</v>
      </c>
      <c r="J375" s="189">
        <f ca="1">IFERROR(__xludf.DUMMYFUNCTION("IMPORTRANGE(""https://docs.google.com/spreadsheets/d/11923uPwbBZFjjGgGUA6NLw09EwE0CqkOc4q9oUmW1yo/edit?usp=sharing"",""พิษณุโลก!J270"")"),0)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IFERROR(__xludf.DUMMYFUNCTION("IMPORTRANGE(""https://docs.google.com/spreadsheets/d/11923uPwbBZFjjGgGUA6NLw09EwE0CqkOc4q9oUmW1yo/edit?usp=sharing"",""พิษณุโลก!I271"")"),0)</f>
        <v>0</v>
      </c>
      <c r="J376" s="190">
        <f ca="1">IFERROR(__xludf.DUMMYFUNCTION("IMPORTRANGE(""https://docs.google.com/spreadsheets/d/11923uPwbBZFjjGgGUA6NLw09EwE0CqkOc4q9oUmW1yo/edit?usp=sharing"",""พิษณุโลก!J271"")"),0)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IFERROR(__xludf.DUMMYFUNCTION("IMPORTRANGE(""https://docs.google.com/spreadsheets/d/11923uPwbBZFjjGgGUA6NLw09EwE0CqkOc4q9oUmW1yo/edit?usp=sharing"",""พิษณุโลก!I272"")"),0)</f>
        <v>0</v>
      </c>
      <c r="J377" s="205">
        <f ca="1">IFERROR(__xludf.DUMMYFUNCTION("IMPORTRANGE(""https://docs.google.com/spreadsheets/d/11923uPwbBZFjjGgGUA6NLw09EwE0CqkOc4q9oUmW1yo/edit?usp=sharing"",""พิษณุโลก!J272"")"),0)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IFERROR(__xludf.DUMMYFUNCTION("IMPORTRANGE(""https://docs.google.com/spreadsheets/d/11923uPwbBZFjjGgGUA6NLw09EwE0CqkOc4q9oUmW1yo/edit?usp=sharing"",""พิษณุโลก!J273"")"),0)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IFERROR(__xludf.DUMMYFUNCTION("IMPORTRANGE(""https://docs.google.com/spreadsheets/d/11923uPwbBZFjjGgGUA6NLw09EwE0CqkOc4q9oUmW1yo/edit?usp=sharing"",""พิษณุโลก!J274"")"),0)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IFERROR(__xludf.DUMMYFUNCTION("IMPORTRANGE(""https://docs.google.com/spreadsheets/d/11923uPwbBZFjjGgGUA6NLw09EwE0CqkOc4q9oUmW1yo/edit?usp=sharing"",""พิษณุโลก!I275"")"),1000)</f>
        <v>1000</v>
      </c>
      <c r="J380" s="372">
        <f ca="1">IFERROR(__xludf.DUMMYFUNCTION("IMPORTRANGE(""https://docs.google.com/spreadsheets/d/11923uPwbBZFjjGgGUA6NLw09EwE0CqkOc4q9oUmW1yo/edit?usp=sharing"",""พิษณุโลก!J275"")"),0)</f>
        <v>0</v>
      </c>
      <c r="K380" s="373">
        <f t="shared" ref="K380:K381" ca="1" si="108">IF(I380&gt;0,J380*100/I380,0)</f>
        <v>0</v>
      </c>
      <c r="L380" s="374">
        <f ca="1">IFERROR(__xludf.DUMMYFUNCTION("IMPORTRANGE(""https://docs.google.com/spreadsheets/d/11923uPwbBZFjjGgGUA6NLw09EwE0CqkOc4q9oUmW1yo/edit?usp=sharing"",""พิษณุโลก!L275"")"),1028520)</f>
        <v>1028520</v>
      </c>
      <c r="M380" s="374"/>
      <c r="N380" s="374">
        <f ca="1">IFERROR(__xludf.DUMMYFUNCTION("IMPORTRANGE(""https://docs.google.com/spreadsheets/d/11923uPwbBZFjjGgGUA6NLw09EwE0CqkOc4q9oUmW1yo/edit?usp=sharing"",""พิษณุโลก!M275"")"),225320.09)</f>
        <v>225320.09</v>
      </c>
      <c r="O380" s="374">
        <f ca="1">+IF(L380&gt;0,N380*100/L380,0)</f>
        <v>21.907215221872203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IFERROR(__xludf.DUMMYFUNCTION("IMPORTRANGE(""https://docs.google.com/spreadsheets/d/11923uPwbBZFjjGgGUA6NLw09EwE0CqkOc4q9oUmW1yo/edit?usp=sharing"",""พิษณุโลก!I276"")"),100)</f>
        <v>100</v>
      </c>
      <c r="J381" s="372">
        <f ca="1">IFERROR(__xludf.DUMMYFUNCTION("IMPORTRANGE(""https://docs.google.com/spreadsheets/d/11923uPwbBZFjjGgGUA6NLw09EwE0CqkOc4q9oUmW1yo/edit?usp=sharing"",""พิษณุโลก!J276"")"),100)</f>
        <v>100</v>
      </c>
      <c r="K381" s="373">
        <f t="shared" ca="1" si="108"/>
        <v>100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IFERROR(__xludf.DUMMYFUNCTION("IMPORTRANGE(""https://docs.google.com/spreadsheets/d/11923uPwbBZFjjGgGUA6NLw09EwE0CqkOc4q9oUmW1yo/edit?usp=sharing"",""พิษณุโลก!L277"")"),0)</f>
        <v>0</v>
      </c>
      <c r="M382" s="166"/>
      <c r="N382" s="166">
        <f ca="1">IFERROR(__xludf.DUMMYFUNCTION("IMPORTRANGE(""https://docs.google.com/spreadsheets/d/11923uPwbBZFjjGgGUA6NLw09EwE0CqkOc4q9oUmW1yo/edit?usp=sharing"",""พิษณุโลก!M277"")"),0)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IFERROR(__xludf.DUMMYFUNCTION("IMPORTRANGE(""https://docs.google.com/spreadsheets/d/11923uPwbBZFjjGgGUA6NLw09EwE0CqkOc4q9oUmW1yo/edit?usp=sharing"",""พิษณุโลก!L278"")"),1028520)</f>
        <v>1028520</v>
      </c>
      <c r="M383" s="167"/>
      <c r="N383" s="167">
        <f ca="1">IFERROR(__xludf.DUMMYFUNCTION("IMPORTRANGE(""https://docs.google.com/spreadsheets/d/11923uPwbBZFjjGgGUA6NLw09EwE0CqkOc4q9oUmW1yo/edit?usp=sharing"",""พิษณุโลก!M278"")"),225320.09)</f>
        <v>225320.09</v>
      </c>
      <c r="O383" s="167">
        <f t="shared" ca="1" si="109"/>
        <v>21.907215221872203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IFERROR(__xludf.DUMMYFUNCTION("IMPORTRANGE(""https://docs.google.com/spreadsheets/d/11923uPwbBZFjjGgGUA6NLw09EwE0CqkOc4q9oUmW1yo/edit?usp=sharing"",""พิษณุโลก!L279"")"),0)</f>
        <v>0</v>
      </c>
      <c r="M384" s="170"/>
      <c r="N384" s="170">
        <f ca="1">IFERROR(__xludf.DUMMYFUNCTION("IMPORTRANGE(""https://docs.google.com/spreadsheets/d/11923uPwbBZFjjGgGUA6NLw09EwE0CqkOc4q9oUmW1yo/edit?usp=sharing"",""พิษณุโลก!M279"")"),0)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IFERROR(__xludf.DUMMYFUNCTION("IMPORTRANGE(""https://docs.google.com/spreadsheets/d/11923uPwbBZFjjGgGUA6NLw09EwE0CqkOc4q9oUmW1yo/edit?usp=sharing"",""พิษณุโลก!L280"")"),1028520)</f>
        <v>1028520</v>
      </c>
      <c r="M385" s="170"/>
      <c r="N385" s="169">
        <f ca="1">IFERROR(__xludf.DUMMYFUNCTION("IMPORTRANGE(""https://docs.google.com/spreadsheets/d/11923uPwbBZFjjGgGUA6NLw09EwE0CqkOc4q9oUmW1yo/edit?usp=sharing"",""พิษณุโลก!M280"")"),225320.09)</f>
        <v>225320.09</v>
      </c>
      <c r="O385" s="170">
        <f t="shared" ca="1" si="109"/>
        <v>21.907215221872203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IFERROR(__xludf.DUMMYFUNCTION("IMPORTRANGE(""https://docs.google.com/spreadsheets/d/11923uPwbBZFjjGgGUA6NLw09EwE0CqkOc4q9oUmW1yo/edit?usp=sharing"",""พิษณุโลก!M281"")"),155020)</f>
        <v>155020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IFERROR(__xludf.DUMMYFUNCTION("IMPORTRANGE(""https://docs.google.com/spreadsheets/d/11923uPwbBZFjjGgGUA6NLw09EwE0CqkOc4q9oUmW1yo/edit?usp=sharing"",""พิษณุโลก!M282"")"),0)</f>
        <v>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IFERROR(__xludf.DUMMYFUNCTION("IMPORTRANGE(""https://docs.google.com/spreadsheets/d/11923uPwbBZFjjGgGUA6NLw09EwE0CqkOc4q9oUmW1yo/edit?usp=sharing"",""พิษณุโลก!M283"")"),64900.09)</f>
        <v>64900.09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IFERROR(__xludf.DUMMYFUNCTION("IMPORTRANGE(""https://docs.google.com/spreadsheets/d/11923uPwbBZFjjGgGUA6NLw09EwE0CqkOc4q9oUmW1yo/edit?usp=sharing"",""พิษณุโลก!M284"")"),5400)</f>
        <v>5400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IFERROR(__xludf.DUMMYFUNCTION("IMPORTRANGE(""https://docs.google.com/spreadsheets/d/11923uPwbBZFjjGgGUA6NLw09EwE0CqkOc4q9oUmW1yo/edit?usp=sharing"",""พิษณุโลก!J286"")"),0)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IFERROR(__xludf.DUMMYFUNCTION("IMPORTRANGE(""https://docs.google.com/spreadsheets/d/11923uPwbBZFjjGgGUA6NLw09EwE0CqkOc4q9oUmW1yo/edit?usp=sharing"",""พิษณุโลก!J287"")"),1)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IFERROR(__xludf.DUMMYFUNCTION("IMPORTRANGE(""https://docs.google.com/spreadsheets/d/11923uPwbBZFjjGgGUA6NLw09EwE0CqkOc4q9oUmW1yo/edit?usp=sharing"",""พิษณุโลก!J288"")"),1)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IFERROR(__xludf.DUMMYFUNCTION("IMPORTRANGE(""https://docs.google.com/spreadsheets/d/11923uPwbBZFjjGgGUA6NLw09EwE0CqkOc4q9oUmW1yo/edit?usp=sharing"",""พิษณุโลก!J289"")"),1)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IFERROR(__xludf.DUMMYFUNCTION("IMPORTRANGE(""https://docs.google.com/spreadsheets/d/11923uPwbBZFjjGgGUA6NLw09EwE0CqkOc4q9oUmW1yo/edit?usp=sharing"",""พิษณุโลก!I291"")"),100)</f>
        <v>100</v>
      </c>
      <c r="J396" s="199">
        <f ca="1">IFERROR(__xludf.DUMMYFUNCTION("IMPORTRANGE(""https://docs.google.com/spreadsheets/d/11923uPwbBZFjjGgGUA6NLw09EwE0CqkOc4q9oUmW1yo/edit?usp=sharing"",""พิษณุโลก!J291"")"),100)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IFERROR(__xludf.DUMMYFUNCTION("IMPORTRANGE(""https://docs.google.com/spreadsheets/d/11923uPwbBZFjjGgGUA6NLw09EwE0CqkOc4q9oUmW1yo/edit?usp=sharing"",""พิษณุโลก!I292"")"),1000)</f>
        <v>1000</v>
      </c>
      <c r="J397" s="199">
        <f ca="1">IFERROR(__xludf.DUMMYFUNCTION("IMPORTRANGE(""https://docs.google.com/spreadsheets/d/11923uPwbBZFjjGgGUA6NLw09EwE0CqkOc4q9oUmW1yo/edit?usp=sharing"",""พิษณุโลก!J292"")"),0)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IFERROR(__xludf.DUMMYFUNCTION("IMPORTRANGE(""https://docs.google.com/spreadsheets/d/11923uPwbBZFjjGgGUA6NLw09EwE0CqkOc4q9oUmW1yo/edit?usp=sharing"",""พิษณุโลก!I293"")"),100)</f>
        <v>100</v>
      </c>
      <c r="J398" s="199">
        <f ca="1">IFERROR(__xludf.DUMMYFUNCTION("IMPORTRANGE(""https://docs.google.com/spreadsheets/d/11923uPwbBZFjjGgGUA6NLw09EwE0CqkOc4q9oUmW1yo/edit?usp=sharing"",""พิษณุโลก!J293"")"),0)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IFERROR(__xludf.DUMMYFUNCTION("IMPORTRANGE(""https://docs.google.com/spreadsheets/d/11923uPwbBZFjjGgGUA6NLw09EwE0CqkOc4q9oUmW1yo/edit?usp=sharing"",""พิษณุโลก!J294"")"),0)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IFERROR(__xludf.DUMMYFUNCTION("IMPORTRANGE(""https://docs.google.com/spreadsheets/d/11923uPwbBZFjjGgGUA6NLw09EwE0CqkOc4q9oUmW1yo/edit?usp=sharing"",""พิษณุโลก!J295"")"),0)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IFERROR(__xludf.DUMMYFUNCTION("IMPORTRANGE(""https://docs.google.com/spreadsheets/d/11923uPwbBZFjjGgGUA6NLw09EwE0CqkOc4q9oUmW1yo/edit?usp=sharing"",""พิษณุโลก!I296"")"),225)</f>
        <v>225</v>
      </c>
      <c r="J401" s="372">
        <f ca="1">IFERROR(__xludf.DUMMYFUNCTION("IMPORTRANGE(""https://docs.google.com/spreadsheets/d/11923uPwbBZFjjGgGUA6NLw09EwE0CqkOc4q9oUmW1yo/edit?usp=sharing"",""พิษณุโลก!J296"")"),225)</f>
        <v>225</v>
      </c>
      <c r="K401" s="373">
        <f t="shared" ref="K401:K402" ca="1" si="111">IF(I401&gt;0,J401*100/I401,0)</f>
        <v>100</v>
      </c>
      <c r="L401" s="374">
        <f ca="1">IFERROR(__xludf.DUMMYFUNCTION("IMPORTRANGE(""https://docs.google.com/spreadsheets/d/11923uPwbBZFjjGgGUA6NLw09EwE0CqkOc4q9oUmW1yo/edit?usp=sharing"",""พิษณุโลก!L296"")"),252320)</f>
        <v>252320</v>
      </c>
      <c r="M401" s="374"/>
      <c r="N401" s="374">
        <f ca="1">IFERROR(__xludf.DUMMYFUNCTION("IMPORTRANGE(""https://docs.google.com/spreadsheets/d/11923uPwbBZFjjGgGUA6NLw09EwE0CqkOc4q9oUmW1yo/edit?usp=sharing"",""พิษณุโลก!M296"")"),91016)</f>
        <v>91016</v>
      </c>
      <c r="O401" s="374">
        <f ca="1">+IF(L401&gt;0,N401*100/L401,0)</f>
        <v>36.071655041217504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IFERROR(__xludf.DUMMYFUNCTION("IMPORTRANGE(""https://docs.google.com/spreadsheets/d/11923uPwbBZFjjGgGUA6NLw09EwE0CqkOc4q9oUmW1yo/edit?usp=sharing"",""พิษณุโลก!I297"")"),75)</f>
        <v>75</v>
      </c>
      <c r="J402" s="372">
        <f ca="1">IFERROR(__xludf.DUMMYFUNCTION("IMPORTRANGE(""https://docs.google.com/spreadsheets/d/11923uPwbBZFjjGgGUA6NLw09EwE0CqkOc4q9oUmW1yo/edit?usp=sharing"",""พิษณุโลก!J297"")"),75)</f>
        <v>75</v>
      </c>
      <c r="K402" s="373">
        <f t="shared" ca="1" si="111"/>
        <v>100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IFERROR(__xludf.DUMMYFUNCTION("IMPORTRANGE(""https://docs.google.com/spreadsheets/d/11923uPwbBZFjjGgGUA6NLw09EwE0CqkOc4q9oUmW1yo/edit?usp=sharing"",""พิษณุโลก!L298"")"),0)</f>
        <v>0</v>
      </c>
      <c r="M403" s="166"/>
      <c r="N403" s="170">
        <f ca="1">IFERROR(__xludf.DUMMYFUNCTION("IMPORTRANGE(""https://docs.google.com/spreadsheets/d/11923uPwbBZFjjGgGUA6NLw09EwE0CqkOc4q9oUmW1yo/edit?usp=sharing"",""พิษณุโลก!M298"")"),0)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IFERROR(__xludf.DUMMYFUNCTION("IMPORTRANGE(""https://docs.google.com/spreadsheets/d/11923uPwbBZFjjGgGUA6NLw09EwE0CqkOc4q9oUmW1yo/edit?usp=sharing"",""พิษณุโลก!L299"")"),252320)</f>
        <v>252320</v>
      </c>
      <c r="M404" s="167"/>
      <c r="N404" s="170">
        <f ca="1">IFERROR(__xludf.DUMMYFUNCTION("IMPORTRANGE(""https://docs.google.com/spreadsheets/d/11923uPwbBZFjjGgGUA6NLw09EwE0CqkOc4q9oUmW1yo/edit?usp=sharing"",""พิษณุโลก!M299"")"),91016)</f>
        <v>91016</v>
      </c>
      <c r="O404" s="170">
        <f t="shared" ca="1" si="112"/>
        <v>36.071655041217504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IFERROR(__xludf.DUMMYFUNCTION("IMPORTRANGE(""https://docs.google.com/spreadsheets/d/11923uPwbBZFjjGgGUA6NLw09EwE0CqkOc4q9oUmW1yo/edit?usp=sharing"",""พิษณุโลก!L300"")"),0)</f>
        <v>0</v>
      </c>
      <c r="M405" s="170"/>
      <c r="N405" s="170">
        <f ca="1">IFERROR(__xludf.DUMMYFUNCTION("IMPORTRANGE(""https://docs.google.com/spreadsheets/d/11923uPwbBZFjjGgGUA6NLw09EwE0CqkOc4q9oUmW1yo/edit?usp=sharing"",""พิษณุโลก!M300"")"),0)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IFERROR(__xludf.DUMMYFUNCTION("IMPORTRANGE(""https://docs.google.com/spreadsheets/d/11923uPwbBZFjjGgGUA6NLw09EwE0CqkOc4q9oUmW1yo/edit?usp=sharing"",""พิษณุโลก!L301"")"),252320)</f>
        <v>252320</v>
      </c>
      <c r="M406" s="170"/>
      <c r="N406" s="170">
        <f ca="1">IFERROR(__xludf.DUMMYFUNCTION("IMPORTRANGE(""https://docs.google.com/spreadsheets/d/11923uPwbBZFjjGgGUA6NLw09EwE0CqkOc4q9oUmW1yo/edit?usp=sharing"",""พิษณุโลก!M301"")"),91016)</f>
        <v>91016</v>
      </c>
      <c r="O406" s="170">
        <f t="shared" ca="1" si="112"/>
        <v>36.071655041217504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IFERROR(__xludf.DUMMYFUNCTION("IMPORTRANGE(""https://docs.google.com/spreadsheets/d/11923uPwbBZFjjGgGUA6NLw09EwE0CqkOc4q9oUmW1yo/edit?usp=sharing"",""พิษณุโลก!M302"")"),90276)</f>
        <v>90276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IFERROR(__xludf.DUMMYFUNCTION("IMPORTRANGE(""https://docs.google.com/spreadsheets/d/11923uPwbBZFjjGgGUA6NLw09EwE0CqkOc4q9oUmW1yo/edit?usp=sharing"",""พิษณุโลก!M303"")"),0)</f>
        <v>0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IFERROR(__xludf.DUMMYFUNCTION("IMPORTRANGE(""https://docs.google.com/spreadsheets/d/11923uPwbBZFjjGgGUA6NLw09EwE0CqkOc4q9oUmW1yo/edit?usp=sharing"",""พิษณุโลก!M304"")"),0)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IFERROR(__xludf.DUMMYFUNCTION("IMPORTRANGE(""https://docs.google.com/spreadsheets/d/11923uPwbBZFjjGgGUA6NLw09EwE0CqkOc4q9oUmW1yo/edit?usp=sharing"",""พิษณุโลก!M305"")"),740)</f>
        <v>740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IFERROR(__xludf.DUMMYFUNCTION("IMPORTRANGE(""https://docs.google.com/spreadsheets/d/11923uPwbBZFjjGgGUA6NLw09EwE0CqkOc4q9oUmW1yo/edit?usp=sharing"",""พิษณุโลก!J307"")"),0)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IFERROR(__xludf.DUMMYFUNCTION("IMPORTRANGE(""https://docs.google.com/spreadsheets/d/11923uPwbBZFjjGgGUA6NLw09EwE0CqkOc4q9oUmW1yo/edit?usp=sharing"",""พิษณุโลก!J308"")"),1)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IFERROR(__xludf.DUMMYFUNCTION("IMPORTRANGE(""https://docs.google.com/spreadsheets/d/11923uPwbBZFjjGgGUA6NLw09EwE0CqkOc4q9oUmW1yo/edit?usp=sharing"",""พิษณุโลก!J309"")"),1)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IFERROR(__xludf.DUMMYFUNCTION("IMPORTRANGE(""https://docs.google.com/spreadsheets/d/11923uPwbBZFjjGgGUA6NLw09EwE0CqkOc4q9oUmW1yo/edit?usp=sharing"",""พิษณุโลก!J310"")"),1)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IFERROR(__xludf.DUMMYFUNCTION("IMPORTRANGE(""https://docs.google.com/spreadsheets/d/11923uPwbBZFjjGgGUA6NLw09EwE0CqkOc4q9oUmW1yo/edit?usp=sharing"",""พิษณุโลก!I311"")"),75)</f>
        <v>75</v>
      </c>
      <c r="J416" s="202">
        <f ca="1">IFERROR(__xludf.DUMMYFUNCTION("IMPORTRANGE(""https://docs.google.com/spreadsheets/d/11923uPwbBZFjjGgGUA6NLw09EwE0CqkOc4q9oUmW1yo/edit?usp=sharing"",""พิษณุโลก!J311"")"),75)</f>
        <v>75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IFERROR(__xludf.DUMMYFUNCTION("IMPORTRANGE(""https://docs.google.com/spreadsheets/d/11923uPwbBZFjjGgGUA6NLw09EwE0CqkOc4q9oUmW1yo/edit?usp=sharing"",""พิษณุโลก!I312"")"),25)</f>
        <v>25</v>
      </c>
      <c r="J417" s="393">
        <f ca="1">IFERROR(__xludf.DUMMYFUNCTION("IMPORTRANGE(""https://docs.google.com/spreadsheets/d/11923uPwbBZFjjGgGUA6NLw09EwE0CqkOc4q9oUmW1yo/edit?usp=sharing"",""พิษณุโลก!J312"")"),25)</f>
        <v>25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IFERROR(__xludf.DUMMYFUNCTION("IMPORTRANGE(""https://docs.google.com/spreadsheets/d/11923uPwbBZFjjGgGUA6NLw09EwE0CqkOc4q9oUmW1yo/edit?usp=sharing"",""พิษณุโลก!I313"")"),75)</f>
        <v>75</v>
      </c>
      <c r="J418" s="394">
        <f ca="1">IFERROR(__xludf.DUMMYFUNCTION("IMPORTRANGE(""https://docs.google.com/spreadsheets/d/11923uPwbBZFjjGgGUA6NLw09EwE0CqkOc4q9oUmW1yo/edit?usp=sharing"",""พิษณุโลก!J313"")"),75)</f>
        <v>75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IFERROR(__xludf.DUMMYFUNCTION("IMPORTRANGE(""https://docs.google.com/spreadsheets/d/11923uPwbBZFjjGgGUA6NLw09EwE0CqkOc4q9oUmW1yo/edit?usp=sharing"",""พิษณุโลก!I314"")"),25)</f>
        <v>25</v>
      </c>
      <c r="J419" s="395">
        <f ca="1">IFERROR(__xludf.DUMMYFUNCTION("IMPORTRANGE(""https://docs.google.com/spreadsheets/d/11923uPwbBZFjjGgGUA6NLw09EwE0CqkOc4q9oUmW1yo/edit?usp=sharing"",""พิษณุโลก!J314"")"),25)</f>
        <v>25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IFERROR(__xludf.DUMMYFUNCTION("IMPORTRANGE(""https://docs.google.com/spreadsheets/d/11923uPwbBZFjjGgGUA6NLw09EwE0CqkOc4q9oUmW1yo/edit?usp=sharing"",""พิษณุโลก!I315"")"),25)</f>
        <v>25</v>
      </c>
      <c r="J420" s="395">
        <f ca="1">IFERROR(__xludf.DUMMYFUNCTION("IMPORTRANGE(""https://docs.google.com/spreadsheets/d/11923uPwbBZFjjGgGUA6NLw09EwE0CqkOc4q9oUmW1yo/edit?usp=sharing"",""พิษณุโลก!J315"")"),25)</f>
        <v>25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IFERROR(__xludf.DUMMYFUNCTION("IMPORTRANGE(""https://docs.google.com/spreadsheets/d/11923uPwbBZFjjGgGUA6NLw09EwE0CqkOc4q9oUmW1yo/edit?usp=sharing"",""พิษณุโลก!I316"")"),40)</f>
        <v>40</v>
      </c>
      <c r="J421" s="393">
        <f ca="1">IFERROR(__xludf.DUMMYFUNCTION("IMPORTRANGE(""https://docs.google.com/spreadsheets/d/11923uPwbBZFjjGgGUA6NLw09EwE0CqkOc4q9oUmW1yo/edit?usp=sharing"",""พิษณุโลก!J316"")"),40)</f>
        <v>40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IFERROR(__xludf.DUMMYFUNCTION("IMPORTRANGE(""https://docs.google.com/spreadsheets/d/11923uPwbBZFjjGgGUA6NLw09EwE0CqkOc4q9oUmW1yo/edit?usp=sharing"",""พิษณุโลก!I317"")"),120)</f>
        <v>120</v>
      </c>
      <c r="J422" s="394">
        <f ca="1">IFERROR(__xludf.DUMMYFUNCTION("IMPORTRANGE(""https://docs.google.com/spreadsheets/d/11923uPwbBZFjjGgGUA6NLw09EwE0CqkOc4q9oUmW1yo/edit?usp=sharing"",""พิษณุโลก!J317"")"),120)</f>
        <v>120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IFERROR(__xludf.DUMMYFUNCTION("IMPORTRANGE(""https://docs.google.com/spreadsheets/d/11923uPwbBZFjjGgGUA6NLw09EwE0CqkOc4q9oUmW1yo/edit?usp=sharing"",""พิษณุโลก!I318"")"),40)</f>
        <v>40</v>
      </c>
      <c r="J423" s="395">
        <f ca="1">IFERROR(__xludf.DUMMYFUNCTION("IMPORTRANGE(""https://docs.google.com/spreadsheets/d/11923uPwbBZFjjGgGUA6NLw09EwE0CqkOc4q9oUmW1yo/edit?usp=sharing"",""พิษณุโลก!J318"")"),40)</f>
        <v>40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IFERROR(__xludf.DUMMYFUNCTION("IMPORTRANGE(""https://docs.google.com/spreadsheets/d/11923uPwbBZFjjGgGUA6NLw09EwE0CqkOc4q9oUmW1yo/edit?usp=sharing"",""พิษณุโลก!I319"")"),40)</f>
        <v>40</v>
      </c>
      <c r="J424" s="395">
        <f ca="1">IFERROR(__xludf.DUMMYFUNCTION("IMPORTRANGE(""https://docs.google.com/spreadsheets/d/11923uPwbBZFjjGgGUA6NLw09EwE0CqkOc4q9oUmW1yo/edit?usp=sharing"",""พิษณุโลก!J319"")"),40)</f>
        <v>40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IFERROR(__xludf.DUMMYFUNCTION("IMPORTRANGE(""https://docs.google.com/spreadsheets/d/11923uPwbBZFjjGgGUA6NLw09EwE0CqkOc4q9oUmW1yo/edit?usp=sharing"",""พิษณุโลก!I320"")"),40)</f>
        <v>40</v>
      </c>
      <c r="J425" s="395">
        <f ca="1">IFERROR(__xludf.DUMMYFUNCTION("IMPORTRANGE(""https://docs.google.com/spreadsheets/d/11923uPwbBZFjjGgGUA6NLw09EwE0CqkOc4q9oUmW1yo/edit?usp=sharing"",""พิษณุโลก!J320"")"),40)</f>
        <v>40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IFERROR(__xludf.DUMMYFUNCTION("IMPORTRANGE(""https://docs.google.com/spreadsheets/d/11923uPwbBZFjjGgGUA6NLw09EwE0CqkOc4q9oUmW1yo/edit?usp=sharing"",""พิษณุโลก!I321"")"),10)</f>
        <v>10</v>
      </c>
      <c r="J426" s="393">
        <f ca="1">IFERROR(__xludf.DUMMYFUNCTION("IMPORTRANGE(""https://docs.google.com/spreadsheets/d/11923uPwbBZFjjGgGUA6NLw09EwE0CqkOc4q9oUmW1yo/edit?usp=sharing"",""พิษณุโลก!J321"")"),10)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IFERROR(__xludf.DUMMYFUNCTION("IMPORTRANGE(""https://docs.google.com/spreadsheets/d/11923uPwbBZFjjGgGUA6NLw09EwE0CqkOc4q9oUmW1yo/edit?usp=sharing"",""พิษณุโลก!I322"")"),30)</f>
        <v>30</v>
      </c>
      <c r="J427" s="394">
        <f ca="1">IFERROR(__xludf.DUMMYFUNCTION("IMPORTRANGE(""https://docs.google.com/spreadsheets/d/11923uPwbBZFjjGgGUA6NLw09EwE0CqkOc4q9oUmW1yo/edit?usp=sharing"",""พิษณุโลก!J322"")"),30)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IFERROR(__xludf.DUMMYFUNCTION("IMPORTRANGE(""https://docs.google.com/spreadsheets/d/11923uPwbBZFjjGgGUA6NLw09EwE0CqkOc4q9oUmW1yo/edit?usp=sharing"",""พิษณุโลก!I323"")"),10)</f>
        <v>10</v>
      </c>
      <c r="J428" s="395">
        <f ca="1">IFERROR(__xludf.DUMMYFUNCTION("IMPORTRANGE(""https://docs.google.com/spreadsheets/d/11923uPwbBZFjjGgGUA6NLw09EwE0CqkOc4q9oUmW1yo/edit?usp=sharing"",""พิษณุโลก!J323"")"),10)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IFERROR(__xludf.DUMMYFUNCTION("IMPORTRANGE(""https://docs.google.com/spreadsheets/d/11923uPwbBZFjjGgGUA6NLw09EwE0CqkOc4q9oUmW1yo/edit?usp=sharing"",""พิษณุโลก!I324"")"),10)</f>
        <v>10</v>
      </c>
      <c r="J429" s="395">
        <f ca="1">IFERROR(__xludf.DUMMYFUNCTION("IMPORTRANGE(""https://docs.google.com/spreadsheets/d/11923uPwbBZFjjGgGUA6NLw09EwE0CqkOc4q9oUmW1yo/edit?usp=sharing"",""พิษณุโลก!J324"")"),10)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IFERROR(__xludf.DUMMYFUNCTION("IMPORTRANGE(""https://docs.google.com/spreadsheets/d/11923uPwbBZFjjGgGUA6NLw09EwE0CqkOc4q9oUmW1yo/edit?usp=sharing"",""พิษณุโลก!I325"")"),65)</f>
        <v>65</v>
      </c>
      <c r="J430" s="393">
        <f ca="1">IFERROR(__xludf.DUMMYFUNCTION("IMPORTRANGE(""https://docs.google.com/spreadsheets/d/11923uPwbBZFjjGgGUA6NLw09EwE0CqkOc4q9oUmW1yo/edit?usp=sharing"",""พิษณุโลก!J325"")"),0)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IFERROR(__xludf.DUMMYFUNCTION("IMPORTRANGE(""https://docs.google.com/spreadsheets/d/11923uPwbBZFjjGgGUA6NLw09EwE0CqkOc4q9oUmW1yo/edit?usp=sharing"",""พิษณุโลก!I326"")"),25)</f>
        <v>25</v>
      </c>
      <c r="J431" s="395">
        <f ca="1">IFERROR(__xludf.DUMMYFUNCTION("IMPORTRANGE(""https://docs.google.com/spreadsheets/d/11923uPwbBZFjjGgGUA6NLw09EwE0CqkOc4q9oUmW1yo/edit?usp=sharing"",""พิษณุโลก!J326"")"),0)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IFERROR(__xludf.DUMMYFUNCTION("IMPORTRANGE(""https://docs.google.com/spreadsheets/d/11923uPwbBZFjjGgGUA6NLw09EwE0CqkOc4q9oUmW1yo/edit?usp=sharing"",""พิษณุโลก!I327"")"),40)</f>
        <v>40</v>
      </c>
      <c r="J432" s="395">
        <f ca="1">IFERROR(__xludf.DUMMYFUNCTION("IMPORTRANGE(""https://docs.google.com/spreadsheets/d/11923uPwbBZFjjGgGUA6NLw09EwE0CqkOc4q9oUmW1yo/edit?usp=sharing"",""พิษณุโลก!J327"")"),0)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IFERROR(__xludf.DUMMYFUNCTION("IMPORTRANGE(""https://docs.google.com/spreadsheets/d/11923uPwbBZFjjGgGUA6NLw09EwE0CqkOc4q9oUmW1yo/edit?usp=sharing"",""พิษณุโลก!J328"")"),0)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IFERROR(__xludf.DUMMYFUNCTION("IMPORTRANGE(""https://docs.google.com/spreadsheets/d/11923uPwbBZFjjGgGUA6NLw09EwE0CqkOc4q9oUmW1yo/edit?usp=sharing"",""พิษณุโลก!J329"")"),0)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IFERROR(__xludf.DUMMYFUNCTION("IMPORTRANGE(""https://docs.google.com/spreadsheets/d/11923uPwbBZFjjGgGUA6NLw09EwE0CqkOc4q9oUmW1yo/edit?usp=sharing"",""พิษณุโลก!I330"")"),20)</f>
        <v>20</v>
      </c>
      <c r="J435" s="411">
        <f ca="1">IFERROR(__xludf.DUMMYFUNCTION("IMPORTRANGE(""https://docs.google.com/spreadsheets/d/11923uPwbBZFjjGgGUA6NLw09EwE0CqkOc4q9oUmW1yo/edit?usp=sharing"",""พิษณุโลก!J330"")"),20)</f>
        <v>20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IFERROR(__xludf.DUMMYFUNCTION("IMPORTRANGE(""https://docs.google.com/spreadsheets/d/11923uPwbBZFjjGgGUA6NLw09EwE0CqkOc4q9oUmW1yo/edit?usp=sharing"",""พิษณุโลก!L330"")"),100000)</f>
        <v>100000</v>
      </c>
      <c r="M435" s="413"/>
      <c r="N435" s="413">
        <f ca="1">IFERROR(__xludf.DUMMYFUNCTION("IMPORTRANGE(""https://docs.google.com/spreadsheets/d/11923uPwbBZFjjGgGUA6NLw09EwE0CqkOc4q9oUmW1yo/edit?usp=sharing"",""พิษณุโลก!M330"")"),15915)</f>
        <v>15915</v>
      </c>
      <c r="O435" s="413">
        <f t="shared" ref="O435:O439" ca="1" si="114">+IF(L435&gt;0,N435*100/L435,0)</f>
        <v>15.914999999999999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IFERROR(__xludf.DUMMYFUNCTION("IMPORTRANGE(""https://docs.google.com/spreadsheets/d/11923uPwbBZFjjGgGUA6NLw09EwE0CqkOc4q9oUmW1yo/edit?usp=sharing"",""พิษณุโลก!L331"")"),0)</f>
        <v>0</v>
      </c>
      <c r="M436" s="166"/>
      <c r="N436" s="170">
        <f ca="1">IFERROR(__xludf.DUMMYFUNCTION("IMPORTRANGE(""https://docs.google.com/spreadsheets/d/11923uPwbBZFjjGgGUA6NLw09EwE0CqkOc4q9oUmW1yo/edit?usp=sharing"",""พิษณุโลก!M331"")"),0)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IFERROR(__xludf.DUMMYFUNCTION("IMPORTRANGE(""https://docs.google.com/spreadsheets/d/11923uPwbBZFjjGgGUA6NLw09EwE0CqkOc4q9oUmW1yo/edit?usp=sharing"",""พิษณุโลก!L332"")"),100000)</f>
        <v>100000</v>
      </c>
      <c r="M437" s="167"/>
      <c r="N437" s="170">
        <f ca="1">IFERROR(__xludf.DUMMYFUNCTION("IMPORTRANGE(""https://docs.google.com/spreadsheets/d/11923uPwbBZFjjGgGUA6NLw09EwE0CqkOc4q9oUmW1yo/edit?usp=sharing"",""พิษณุโลก!M332"")"),15915)</f>
        <v>15915</v>
      </c>
      <c r="O437" s="170">
        <f t="shared" ca="1" si="114"/>
        <v>15.914999999999999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IFERROR(__xludf.DUMMYFUNCTION("IMPORTRANGE(""https://docs.google.com/spreadsheets/d/11923uPwbBZFjjGgGUA6NLw09EwE0CqkOc4q9oUmW1yo/edit?usp=sharing"",""พิษณุโลก!L333"")"),0)</f>
        <v>0</v>
      </c>
      <c r="M438" s="170"/>
      <c r="N438" s="170">
        <f ca="1">IFERROR(__xludf.DUMMYFUNCTION("IMPORTRANGE(""https://docs.google.com/spreadsheets/d/11923uPwbBZFjjGgGUA6NLw09EwE0CqkOc4q9oUmW1yo/edit?usp=sharing"",""พิษณุโลก!M333"")"),0)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IFERROR(__xludf.DUMMYFUNCTION("IMPORTRANGE(""https://docs.google.com/spreadsheets/d/11923uPwbBZFjjGgGUA6NLw09EwE0CqkOc4q9oUmW1yo/edit?usp=sharing"",""พิษณุโลก!L334"")"),100000)</f>
        <v>100000</v>
      </c>
      <c r="M439" s="170"/>
      <c r="N439" s="170">
        <f ca="1">IFERROR(__xludf.DUMMYFUNCTION("IMPORTRANGE(""https://docs.google.com/spreadsheets/d/11923uPwbBZFjjGgGUA6NLw09EwE0CqkOc4q9oUmW1yo/edit?usp=sharing"",""พิษณุโลก!M334"")"),15915)</f>
        <v>15915</v>
      </c>
      <c r="O439" s="170">
        <f t="shared" ca="1" si="114"/>
        <v>15.914999999999999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IFERROR(__xludf.DUMMYFUNCTION("IMPORTRANGE(""https://docs.google.com/spreadsheets/d/11923uPwbBZFjjGgGUA6NLw09EwE0CqkOc4q9oUmW1yo/edit?usp=sharing"",""พิษณุโลก!M335"")"),6860)</f>
        <v>6860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IFERROR(__xludf.DUMMYFUNCTION("IMPORTRANGE(""https://docs.google.com/spreadsheets/d/11923uPwbBZFjjGgGUA6NLw09EwE0CqkOc4q9oUmW1yo/edit?usp=sharing"",""พิษณุโลก!M336"")"),0)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IFERROR(__xludf.DUMMYFUNCTION("IMPORTRANGE(""https://docs.google.com/spreadsheets/d/11923uPwbBZFjjGgGUA6NLw09EwE0CqkOc4q9oUmW1yo/edit?usp=sharing"",""พิษณุโลก!M337"")"),0)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IFERROR(__xludf.DUMMYFUNCTION("IMPORTRANGE(""https://docs.google.com/spreadsheets/d/11923uPwbBZFjjGgGUA6NLw09EwE0CqkOc4q9oUmW1yo/edit?usp=sharing"",""พิษณุโลก!M338"")"),9055)</f>
        <v>9055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IFERROR(__xludf.DUMMYFUNCTION("IMPORTRANGE(""https://docs.google.com/spreadsheets/d/11923uPwbBZFjjGgGUA6NLw09EwE0CqkOc4q9oUmW1yo/edit?usp=sharing"",""พิษณุโลก!J340"")"),0)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IFERROR(__xludf.DUMMYFUNCTION("IMPORTRANGE(""https://docs.google.com/spreadsheets/d/11923uPwbBZFjjGgGUA6NLw09EwE0CqkOc4q9oUmW1yo/edit?usp=sharing"",""พิษณุโลก!J341"")"),1)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IFERROR(__xludf.DUMMYFUNCTION("IMPORTRANGE(""https://docs.google.com/spreadsheets/d/11923uPwbBZFjjGgGUA6NLw09EwE0CqkOc4q9oUmW1yo/edit?usp=sharing"",""พิษณุโลก!J342"")"),1)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IFERROR(__xludf.DUMMYFUNCTION("IMPORTRANGE(""https://docs.google.com/spreadsheets/d/11923uPwbBZFjjGgGUA6NLw09EwE0CqkOc4q9oUmW1yo/edit?usp=sharing"",""พิษณุโลก!J343"")"),1)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IFERROR(__xludf.DUMMYFUNCTION("IMPORTRANGE(""https://docs.google.com/spreadsheets/d/11923uPwbBZFjjGgGUA6NLw09EwE0CqkOc4q9oUmW1yo/edit?usp=sharing"",""พิษณุโลก!I344"")"),20)</f>
        <v>20</v>
      </c>
      <c r="J449" s="202">
        <f ca="1">IFERROR(__xludf.DUMMYFUNCTION("IMPORTRANGE(""https://docs.google.com/spreadsheets/d/11923uPwbBZFjjGgGUA6NLw09EwE0CqkOc4q9oUmW1yo/edit?usp=sharing"",""พิษณุโลก!J344"")"),20)</f>
        <v>20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IFERROR(__xludf.DUMMYFUNCTION("IMPORTRANGE(""https://docs.google.com/spreadsheets/d/11923uPwbBZFjjGgGUA6NLw09EwE0CqkOc4q9oUmW1yo/edit?usp=sharing"",""พิษณุโลก!I345"")"),20)</f>
        <v>20</v>
      </c>
      <c r="J450" s="190">
        <f ca="1">IFERROR(__xludf.DUMMYFUNCTION("IMPORTRANGE(""https://docs.google.com/spreadsheets/d/11923uPwbBZFjjGgGUA6NLw09EwE0CqkOc4q9oUmW1yo/edit?usp=sharing"",""พิษณุโลก!J345"")"),20)</f>
        <v>20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IFERROR(__xludf.DUMMYFUNCTION("IMPORTRANGE(""https://docs.google.com/spreadsheets/d/11923uPwbBZFjjGgGUA6NLw09EwE0CqkOc4q9oUmW1yo/edit?usp=sharing"",""พิษณุโลก!I346"")"),0)</f>
        <v>0</v>
      </c>
      <c r="J451" s="189">
        <f ca="1">IFERROR(__xludf.DUMMYFUNCTION("IMPORTRANGE(""https://docs.google.com/spreadsheets/d/11923uPwbBZFjjGgGUA6NLw09EwE0CqkOc4q9oUmW1yo/edit?usp=sharing"",""พิษณุโลก!J346"")"),0)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hidden="1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IFERROR(__xludf.DUMMYFUNCTION("IMPORTRANGE(""https://docs.google.com/spreadsheets/d/11923uPwbBZFjjGgGUA6NLw09EwE0CqkOc4q9oUmW1yo/edit?usp=sharing"",""พิษณุโลก!I347"")"),0)</f>
        <v>0</v>
      </c>
      <c r="J452" s="189">
        <f ca="1">IFERROR(__xludf.DUMMYFUNCTION("IMPORTRANGE(""https://docs.google.com/spreadsheets/d/11923uPwbBZFjjGgGUA6NLw09EwE0CqkOc4q9oUmW1yo/edit?usp=sharing"",""พิษณุโลก!J347"")"),0)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IFERROR(__xludf.DUMMYFUNCTION("IMPORTRANGE(""https://docs.google.com/spreadsheets/d/11923uPwbBZFjjGgGUA6NLw09EwE0CqkOc4q9oUmW1yo/edit?usp=sharing"",""พิษณุโลก!J348"")"),0)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IFERROR(__xludf.DUMMYFUNCTION("IMPORTRANGE(""https://docs.google.com/spreadsheets/d/11923uPwbBZFjjGgGUA6NLw09EwE0CqkOc4q9oUmW1yo/edit?usp=sharing"",""พิษณุโลก!J349"")"),0)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IFERROR(__xludf.DUMMYFUNCTION("IMPORTRANGE(""https://docs.google.com/spreadsheets/d/11923uPwbBZFjjGgGUA6NLw09EwE0CqkOc4q9oUmW1yo/edit?usp=sharing"",""พิษณุโลก!I350"")"),63132)</f>
        <v>63132</v>
      </c>
      <c r="J455" s="372">
        <f ca="1">IFERROR(__xludf.DUMMYFUNCTION("IMPORTRANGE(""https://docs.google.com/spreadsheets/d/11923uPwbBZFjjGgGUA6NLw09EwE0CqkOc4q9oUmW1yo/edit?usp=sharing"",""พิษณุโลก!J350"")"),0)</f>
        <v>0</v>
      </c>
      <c r="K455" s="373">
        <f ca="1">IF(I455&gt;0,J455*100/I455,0)</f>
        <v>0</v>
      </c>
      <c r="L455" s="374">
        <f ca="1">IFERROR(__xludf.DUMMYFUNCTION("IMPORTRANGE(""https://docs.google.com/spreadsheets/d/11923uPwbBZFjjGgGUA6NLw09EwE0CqkOc4q9oUmW1yo/edit?usp=sharing"",""พิษณุโลก!L350"")"),516245)</f>
        <v>516245</v>
      </c>
      <c r="M455" s="374"/>
      <c r="N455" s="374">
        <f ca="1">IFERROR(__xludf.DUMMYFUNCTION("IMPORTRANGE(""https://docs.google.com/spreadsheets/d/11923uPwbBZFjjGgGUA6NLw09EwE0CqkOc4q9oUmW1yo/edit?usp=sharing"",""พิษณุโลก!M350"")"),152604.58)</f>
        <v>152604.57999999999</v>
      </c>
      <c r="O455" s="374">
        <f t="shared" ref="O455:O459" ca="1" si="116">+IF(L455&gt;0,N455*100/L455,0)</f>
        <v>29.560495501167079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IFERROR(__xludf.DUMMYFUNCTION("IMPORTRANGE(""https://docs.google.com/spreadsheets/d/11923uPwbBZFjjGgGUA6NLw09EwE0CqkOc4q9oUmW1yo/edit?usp=sharing"",""พิษณุโลก!L351"")"),0)</f>
        <v>0</v>
      </c>
      <c r="M456" s="166"/>
      <c r="N456" s="170">
        <f ca="1">IFERROR(__xludf.DUMMYFUNCTION("IMPORTRANGE(""https://docs.google.com/spreadsheets/d/11923uPwbBZFjjGgGUA6NLw09EwE0CqkOc4q9oUmW1yo/edit?usp=sharing"",""พิษณุโลก!M351"")"),0)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IFERROR(__xludf.DUMMYFUNCTION("IMPORTRANGE(""https://docs.google.com/spreadsheets/d/11923uPwbBZFjjGgGUA6NLw09EwE0CqkOc4q9oUmW1yo/edit?usp=sharing"",""พิษณุโลก!L352"")"),516245)</f>
        <v>516245</v>
      </c>
      <c r="M457" s="167"/>
      <c r="N457" s="170">
        <f ca="1">IFERROR(__xludf.DUMMYFUNCTION("IMPORTRANGE(""https://docs.google.com/spreadsheets/d/11923uPwbBZFjjGgGUA6NLw09EwE0CqkOc4q9oUmW1yo/edit?usp=sharing"",""พิษณุโลก!M352"")"),152604.58)</f>
        <v>152604.57999999999</v>
      </c>
      <c r="O457" s="170">
        <f t="shared" ca="1" si="116"/>
        <v>29.560495501167079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IFERROR(__xludf.DUMMYFUNCTION("IMPORTRANGE(""https://docs.google.com/spreadsheets/d/11923uPwbBZFjjGgGUA6NLw09EwE0CqkOc4q9oUmW1yo/edit?usp=sharing"",""พิษณุโลก!L353"")"),0)</f>
        <v>0</v>
      </c>
      <c r="M458" s="170"/>
      <c r="N458" s="170">
        <f ca="1">IFERROR(__xludf.DUMMYFUNCTION("IMPORTRANGE(""https://docs.google.com/spreadsheets/d/11923uPwbBZFjjGgGUA6NLw09EwE0CqkOc4q9oUmW1yo/edit?usp=sharing"",""พิษณุโลก!M353"")"),0)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IFERROR(__xludf.DUMMYFUNCTION("IMPORTRANGE(""https://docs.google.com/spreadsheets/d/11923uPwbBZFjjGgGUA6NLw09EwE0CqkOc4q9oUmW1yo/edit?usp=sharing"",""พิษณุโลก!L354"")"),516245)</f>
        <v>516245</v>
      </c>
      <c r="M459" s="170"/>
      <c r="N459" s="170">
        <f ca="1">IFERROR(__xludf.DUMMYFUNCTION("IMPORTRANGE(""https://docs.google.com/spreadsheets/d/11923uPwbBZFjjGgGUA6NLw09EwE0CqkOc4q9oUmW1yo/edit?usp=sharing"",""พิษณุโลก!M354"")"),152604.58)</f>
        <v>152604.57999999999</v>
      </c>
      <c r="O459" s="170">
        <f t="shared" ca="1" si="116"/>
        <v>29.560495501167079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IFERROR(__xludf.DUMMYFUNCTION("IMPORTRANGE(""https://docs.google.com/spreadsheets/d/11923uPwbBZFjjGgGUA6NLw09EwE0CqkOc4q9oUmW1yo/edit?usp=sharing"",""พิษณุโลก!M355"")"),0)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IFERROR(__xludf.DUMMYFUNCTION("IMPORTRANGE(""https://docs.google.com/spreadsheets/d/11923uPwbBZFjjGgGUA6NLw09EwE0CqkOc4q9oUmW1yo/edit?usp=sharing"",""พิษณุโลก!M356"")"),0)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IFERROR(__xludf.DUMMYFUNCTION("IMPORTRANGE(""https://docs.google.com/spreadsheets/d/11923uPwbBZFjjGgGUA6NLw09EwE0CqkOc4q9oUmW1yo/edit?usp=sharing"",""พิษณุโลก!M357"")"),64178.58)</f>
        <v>64178.58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IFERROR(__xludf.DUMMYFUNCTION("IMPORTRANGE(""https://docs.google.com/spreadsheets/d/11923uPwbBZFjjGgGUA6NLw09EwE0CqkOc4q9oUmW1yo/edit?usp=sharing"",""พิษณุโลก!M358"")"),88426)</f>
        <v>88426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IFERROR(__xludf.DUMMYFUNCTION("IMPORTRANGE(""https://docs.google.com/spreadsheets/d/11923uPwbBZFjjGgGUA6NLw09EwE0CqkOc4q9oUmW1yo/edit?usp=sharing"",""พิษณุโลก!I359"")"),63132)</f>
        <v>63132</v>
      </c>
      <c r="J464" s="268">
        <f ca="1">IFERROR(__xludf.DUMMYFUNCTION("IMPORTRANGE(""https://docs.google.com/spreadsheets/d/11923uPwbBZFjjGgGUA6NLw09EwE0CqkOc4q9oUmW1yo/edit?usp=sharing"",""พิษณุโลก!J359"")"),0)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IFERROR(__xludf.DUMMYFUNCTION("IMPORTRANGE(""https://docs.google.com/spreadsheets/d/11923uPwbBZFjjGgGUA6NLw09EwE0CqkOc4q9oUmW1yo/edit?usp=sharing"",""พิษณุโลก!I360"")"),63132)</f>
        <v>63132</v>
      </c>
      <c r="J465" s="422">
        <f ca="1">IFERROR(__xludf.DUMMYFUNCTION("IMPORTRANGE(""https://docs.google.com/spreadsheets/d/11923uPwbBZFjjGgGUA6NLw09EwE0CqkOc4q9oUmW1yo/edit?usp=sharing"",""พิษณุโลก!J360"")"),63132)</f>
        <v>63132</v>
      </c>
      <c r="K465" s="203">
        <f t="shared" ca="1" si="117"/>
        <v>100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IFERROR(__xludf.DUMMYFUNCTION("IMPORTRANGE(""https://docs.google.com/spreadsheets/d/11923uPwbBZFjjGgGUA6NLw09EwE0CqkOc4q9oUmW1yo/edit?usp=sharing"",""พิษณุโลก!I361"")"),5640)</f>
        <v>5640</v>
      </c>
      <c r="J466" s="422">
        <f ca="1">IFERROR(__xludf.DUMMYFUNCTION("IMPORTRANGE(""https://docs.google.com/spreadsheets/d/11923uPwbBZFjjGgGUA6NLw09EwE0CqkOc4q9oUmW1yo/edit?usp=sharing"",""พิษณุโลก!J361"")"),5640)</f>
        <v>5640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IFERROR(__xludf.DUMMYFUNCTION("IMPORTRANGE(""https://docs.google.com/spreadsheets/d/11923uPwbBZFjjGgGUA6NLw09EwE0CqkOc4q9oUmW1yo/edit?usp=sharing"",""พิษณุโลก!I362"")"),0)</f>
        <v>0</v>
      </c>
      <c r="J467" s="190">
        <f ca="1">IFERROR(__xludf.DUMMYFUNCTION("IMPORTRANGE(""https://docs.google.com/spreadsheets/d/11923uPwbBZFjjGgGUA6NLw09EwE0CqkOc4q9oUmW1yo/edit?usp=sharing"",""พิษณุโลก!J362"")"),51953)</f>
        <v>51953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IFERROR(__xludf.DUMMYFUNCTION("IMPORTRANGE(""https://docs.google.com/spreadsheets/d/11923uPwbBZFjjGgGUA6NLw09EwE0CqkOc4q9oUmW1yo/edit?usp=sharing"",""พิษณุโลก!I363"")"),0)</f>
        <v>0</v>
      </c>
      <c r="J468" s="190">
        <f ca="1">IFERROR(__xludf.DUMMYFUNCTION("IMPORTRANGE(""https://docs.google.com/spreadsheets/d/11923uPwbBZFjjGgGUA6NLw09EwE0CqkOc4q9oUmW1yo/edit?usp=sharing"",""พิษณุโลก!J363"")"),4913)</f>
        <v>4913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IFERROR(__xludf.DUMMYFUNCTION("IMPORTRANGE(""https://docs.google.com/spreadsheets/d/11923uPwbBZFjjGgGUA6NLw09EwE0CqkOc4q9oUmW1yo/edit?usp=sharing"",""พิษณุโลก!I364"")"),0)</f>
        <v>0</v>
      </c>
      <c r="J469" s="190">
        <f ca="1">IFERROR(__xludf.DUMMYFUNCTION("IMPORTRANGE(""https://docs.google.com/spreadsheets/d/11923uPwbBZFjjGgGUA6NLw09EwE0CqkOc4q9oUmW1yo/edit?usp=sharing"",""พิษณุโลก!J364"")"),10401)</f>
        <v>10401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IFERROR(__xludf.DUMMYFUNCTION("IMPORTRANGE(""https://docs.google.com/spreadsheets/d/11923uPwbBZFjjGgGUA6NLw09EwE0CqkOc4q9oUmW1yo/edit?usp=sharing"",""พิษณุโลก!I365"")"),0)</f>
        <v>0</v>
      </c>
      <c r="J470" s="190">
        <f ca="1">IFERROR(__xludf.DUMMYFUNCTION("IMPORTRANGE(""https://docs.google.com/spreadsheets/d/11923uPwbBZFjjGgGUA6NLw09EwE0CqkOc4q9oUmW1yo/edit?usp=sharing"",""พิษณุโลก!J365"")"),656)</f>
        <v>656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IFERROR(__xludf.DUMMYFUNCTION("IMPORTRANGE(""https://docs.google.com/spreadsheets/d/11923uPwbBZFjjGgGUA6NLw09EwE0CqkOc4q9oUmW1yo/edit?usp=sharing"",""พิษณุโลก!I366"")"),0)</f>
        <v>0</v>
      </c>
      <c r="J471" s="190">
        <f ca="1">IFERROR(__xludf.DUMMYFUNCTION("IMPORTRANGE(""https://docs.google.com/spreadsheets/d/11923uPwbBZFjjGgGUA6NLw09EwE0CqkOc4q9oUmW1yo/edit?usp=sharing"",""พิษณุโลก!J366"")"),778)</f>
        <v>778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IFERROR(__xludf.DUMMYFUNCTION("IMPORTRANGE(""https://docs.google.com/spreadsheets/d/11923uPwbBZFjjGgGUA6NLw09EwE0CqkOc4q9oUmW1yo/edit?usp=sharing"",""พิษณุโลก!I367"")"),0)</f>
        <v>0</v>
      </c>
      <c r="J472" s="190">
        <f ca="1">IFERROR(__xludf.DUMMYFUNCTION("IMPORTRANGE(""https://docs.google.com/spreadsheets/d/11923uPwbBZFjjGgGUA6NLw09EwE0CqkOc4q9oUmW1yo/edit?usp=sharing"",""พิษณุโลก!J367"")"),71)</f>
        <v>71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IFERROR(__xludf.DUMMYFUNCTION("IMPORTRANGE(""https://docs.google.com/spreadsheets/d/11923uPwbBZFjjGgGUA6NLw09EwE0CqkOc4q9oUmW1yo/edit?usp=sharing"",""พิษณุโลก!I368"")"),63132)</f>
        <v>63132</v>
      </c>
      <c r="J473" s="422">
        <f ca="1">IFERROR(__xludf.DUMMYFUNCTION("IMPORTRANGE(""https://docs.google.com/spreadsheets/d/11923uPwbBZFjjGgGUA6NLw09EwE0CqkOc4q9oUmW1yo/edit?usp=sharing"",""พิษณุโลก!J368"")"),63133)</f>
        <v>63133</v>
      </c>
      <c r="K473" s="203">
        <f t="shared" ca="1" si="117"/>
        <v>100.00158398276626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IFERROR(__xludf.DUMMYFUNCTION("IMPORTRANGE(""https://docs.google.com/spreadsheets/d/11923uPwbBZFjjGgGUA6NLw09EwE0CqkOc4q9oUmW1yo/edit?usp=sharing"",""พิษณุโลก!I369"")"),5640)</f>
        <v>5640</v>
      </c>
      <c r="J474" s="422">
        <f ca="1">IFERROR(__xludf.DUMMYFUNCTION("IMPORTRANGE(""https://docs.google.com/spreadsheets/d/11923uPwbBZFjjGgGUA6NLw09EwE0CqkOc4q9oUmW1yo/edit?usp=sharing"",""พิษณุโลก!J369"")"),5640)</f>
        <v>5640</v>
      </c>
      <c r="K474" s="203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IFERROR(__xludf.DUMMYFUNCTION("IMPORTRANGE(""https://docs.google.com/spreadsheets/d/11923uPwbBZFjjGgGUA6NLw09EwE0CqkOc4q9oUmW1yo/edit?usp=sharing"",""พิษณุโลก!I370"")"),0)</f>
        <v>0</v>
      </c>
      <c r="J475" s="190">
        <f ca="1">IFERROR(__xludf.DUMMYFUNCTION("IMPORTRANGE(""https://docs.google.com/spreadsheets/d/11923uPwbBZFjjGgGUA6NLw09EwE0CqkOc4q9oUmW1yo/edit?usp=sharing"",""พิษณุโลก!J370"")"),53607)</f>
        <v>53607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IFERROR(__xludf.DUMMYFUNCTION("IMPORTRANGE(""https://docs.google.com/spreadsheets/d/11923uPwbBZFjjGgGUA6NLw09EwE0CqkOc4q9oUmW1yo/edit?usp=sharing"",""พิษณุโลก!I371"")"),0)</f>
        <v>0</v>
      </c>
      <c r="J476" s="190">
        <f ca="1">IFERROR(__xludf.DUMMYFUNCTION("IMPORTRANGE(""https://docs.google.com/spreadsheets/d/11923uPwbBZFjjGgGUA6NLw09EwE0CqkOc4q9oUmW1yo/edit?usp=sharing"",""พิษณุโลก!J371"")"),5019)</f>
        <v>5019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IFERROR(__xludf.DUMMYFUNCTION("IMPORTRANGE(""https://docs.google.com/spreadsheets/d/11923uPwbBZFjjGgGUA6NLw09EwE0CqkOc4q9oUmW1yo/edit?usp=sharing"",""พิษณุโลก!I372"")"),0)</f>
        <v>0</v>
      </c>
      <c r="J477" s="190">
        <f ca="1">IFERROR(__xludf.DUMMYFUNCTION("IMPORTRANGE(""https://docs.google.com/spreadsheets/d/11923uPwbBZFjjGgGUA6NLw09EwE0CqkOc4q9oUmW1yo/edit?usp=sharing"",""พิษณุโลก!J372"")"),8519)</f>
        <v>8519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IFERROR(__xludf.DUMMYFUNCTION("IMPORTRANGE(""https://docs.google.com/spreadsheets/d/11923uPwbBZFjjGgGUA6NLw09EwE0CqkOc4q9oUmW1yo/edit?usp=sharing"",""พิษณุโลก!I373"")"),0)</f>
        <v>0</v>
      </c>
      <c r="J478" s="190">
        <f ca="1">IFERROR(__xludf.DUMMYFUNCTION("IMPORTRANGE(""https://docs.google.com/spreadsheets/d/11923uPwbBZFjjGgGUA6NLw09EwE0CqkOc4q9oUmW1yo/edit?usp=sharing"",""พิษณุโลก!J373"")"),521)</f>
        <v>521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IFERROR(__xludf.DUMMYFUNCTION("IMPORTRANGE(""https://docs.google.com/spreadsheets/d/11923uPwbBZFjjGgGUA6NLw09EwE0CqkOc4q9oUmW1yo/edit?usp=sharing"",""พิษณุโลก!I374"")"),0)</f>
        <v>0</v>
      </c>
      <c r="J479" s="190">
        <f ca="1">IFERROR(__xludf.DUMMYFUNCTION("IMPORTRANGE(""https://docs.google.com/spreadsheets/d/11923uPwbBZFjjGgGUA6NLw09EwE0CqkOc4q9oUmW1yo/edit?usp=sharing"",""พิษณุโลก!J374"")"),1007)</f>
        <v>1007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IFERROR(__xludf.DUMMYFUNCTION("IMPORTRANGE(""https://docs.google.com/spreadsheets/d/11923uPwbBZFjjGgGUA6NLw09EwE0CqkOc4q9oUmW1yo/edit?usp=sharing"",""พิษณุโลก!I375"")"),0)</f>
        <v>0</v>
      </c>
      <c r="J480" s="190">
        <f ca="1">IFERROR(__xludf.DUMMYFUNCTION("IMPORTRANGE(""https://docs.google.com/spreadsheets/d/11923uPwbBZFjjGgGUA6NLw09EwE0CqkOc4q9oUmW1yo/edit?usp=sharing"",""พิษณุโลก!J375"")"),100)</f>
        <v>100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IFERROR(__xludf.DUMMYFUNCTION("IMPORTRANGE(""https://docs.google.com/spreadsheets/d/11923uPwbBZFjjGgGUA6NLw09EwE0CqkOc4q9oUmW1yo/edit?usp=sharing"",""พิษณุโลก!I376"")"),63132)</f>
        <v>63132</v>
      </c>
      <c r="J481" s="422">
        <f ca="1">IFERROR(__xludf.DUMMYFUNCTION("IMPORTRANGE(""https://docs.google.com/spreadsheets/d/11923uPwbBZFjjGgGUA6NLw09EwE0CqkOc4q9oUmW1yo/edit?usp=sharing"",""พิษณุโลก!J376"")"),0)</f>
        <v>0</v>
      </c>
      <c r="K481" s="203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IFERROR(__xludf.DUMMYFUNCTION("IMPORTRANGE(""https://docs.google.com/spreadsheets/d/11923uPwbBZFjjGgGUA6NLw09EwE0CqkOc4q9oUmW1yo/edit?usp=sharing"",""พิษณุโลก!I377"")"),5640)</f>
        <v>5640</v>
      </c>
      <c r="J482" s="422">
        <f ca="1">IFERROR(__xludf.DUMMYFUNCTION("IMPORTRANGE(""https://docs.google.com/spreadsheets/d/11923uPwbBZFjjGgGUA6NLw09EwE0CqkOc4q9oUmW1yo/edit?usp=sharing"",""พิษณุโลก!J377"")"),0)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IFERROR(__xludf.DUMMYFUNCTION("IMPORTRANGE(""https://docs.google.com/spreadsheets/d/11923uPwbBZFjjGgGUA6NLw09EwE0CqkOc4q9oUmW1yo/edit?usp=sharing"",""พิษณุโลก!I378"")"),0)</f>
        <v>0</v>
      </c>
      <c r="J483" s="190">
        <f ca="1">IFERROR(__xludf.DUMMYFUNCTION("IMPORTRANGE(""https://docs.google.com/spreadsheets/d/11923uPwbBZFjjGgGUA6NLw09EwE0CqkOc4q9oUmW1yo/edit?usp=sharing"",""พิษณุโลก!J378"")"),0)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IFERROR(__xludf.DUMMYFUNCTION("IMPORTRANGE(""https://docs.google.com/spreadsheets/d/11923uPwbBZFjjGgGUA6NLw09EwE0CqkOc4q9oUmW1yo/edit?usp=sharing"",""พิษณุโลก!I379"")"),0)</f>
        <v>0</v>
      </c>
      <c r="J484" s="190">
        <f ca="1">IFERROR(__xludf.DUMMYFUNCTION("IMPORTRANGE(""https://docs.google.com/spreadsheets/d/11923uPwbBZFjjGgGUA6NLw09EwE0CqkOc4q9oUmW1yo/edit?usp=sharing"",""พิษณุโลก!J379"")"),0)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IFERROR(__xludf.DUMMYFUNCTION("IMPORTRANGE(""https://docs.google.com/spreadsheets/d/11923uPwbBZFjjGgGUA6NLw09EwE0CqkOc4q9oUmW1yo/edit?usp=sharing"",""พิษณุโลก!I380"")"),0)</f>
        <v>0</v>
      </c>
      <c r="J485" s="190">
        <f ca="1">IFERROR(__xludf.DUMMYFUNCTION("IMPORTRANGE(""https://docs.google.com/spreadsheets/d/11923uPwbBZFjjGgGUA6NLw09EwE0CqkOc4q9oUmW1yo/edit?usp=sharing"",""พิษณุโลก!J380"")"),0)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IFERROR(__xludf.DUMMYFUNCTION("IMPORTRANGE(""https://docs.google.com/spreadsheets/d/11923uPwbBZFjjGgGUA6NLw09EwE0CqkOc4q9oUmW1yo/edit?usp=sharing"",""พิษณุโลก!I381"")"),0)</f>
        <v>0</v>
      </c>
      <c r="J486" s="190">
        <f ca="1">IFERROR(__xludf.DUMMYFUNCTION("IMPORTRANGE(""https://docs.google.com/spreadsheets/d/11923uPwbBZFjjGgGUA6NLw09EwE0CqkOc4q9oUmW1yo/edit?usp=sharing"",""พิษณุโลก!J381"")"),0)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IFERROR(__xludf.DUMMYFUNCTION("IMPORTRANGE(""https://docs.google.com/spreadsheets/d/11923uPwbBZFjjGgGUA6NLw09EwE0CqkOc4q9oUmW1yo/edit?usp=sharing"",""พิษณุโลก!I382"")"),0)</f>
        <v>0</v>
      </c>
      <c r="J487" s="422">
        <f ca="1">IFERROR(__xludf.DUMMYFUNCTION("IMPORTRANGE(""https://docs.google.com/spreadsheets/d/11923uPwbBZFjjGgGUA6NLw09EwE0CqkOc4q9oUmW1yo/edit?usp=sharing"",""พิษณุโลก!J382"")"),0)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IFERROR(__xludf.DUMMYFUNCTION("IMPORTRANGE(""https://docs.google.com/spreadsheets/d/11923uPwbBZFjjGgGUA6NLw09EwE0CqkOc4q9oUmW1yo/edit?usp=sharing"",""พิษณุโลก!I383"")"),0)</f>
        <v>0</v>
      </c>
      <c r="J488" s="422">
        <f ca="1">IFERROR(__xludf.DUMMYFUNCTION("IMPORTRANGE(""https://docs.google.com/spreadsheets/d/11923uPwbBZFjjGgGUA6NLw09EwE0CqkOc4q9oUmW1yo/edit?usp=sharing"",""พิษณุโลก!J383"")"),0)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IFERROR(__xludf.DUMMYFUNCTION("IMPORTRANGE(""https://docs.google.com/spreadsheets/d/11923uPwbBZFjjGgGUA6NLw09EwE0CqkOc4q9oUmW1yo/edit?usp=sharing"",""พิษณุโลก!I384"")"),0)</f>
        <v>0</v>
      </c>
      <c r="J489" s="190">
        <f ca="1">IFERROR(__xludf.DUMMYFUNCTION("IMPORTRANGE(""https://docs.google.com/spreadsheets/d/11923uPwbBZFjjGgGUA6NLw09EwE0CqkOc4q9oUmW1yo/edit?usp=sharing"",""พิษณุโลก!J384"")"),0)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IFERROR(__xludf.DUMMYFUNCTION("IMPORTRANGE(""https://docs.google.com/spreadsheets/d/11923uPwbBZFjjGgGUA6NLw09EwE0CqkOc4q9oUmW1yo/edit?usp=sharing"",""พิษณุโลก!I385"")"),0)</f>
        <v>0</v>
      </c>
      <c r="J490" s="190">
        <f ca="1">IFERROR(__xludf.DUMMYFUNCTION("IMPORTRANGE(""https://docs.google.com/spreadsheets/d/11923uPwbBZFjjGgGUA6NLw09EwE0CqkOc4q9oUmW1yo/edit?usp=sharing"",""พิษณุโลก!J385"")"),0)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IFERROR(__xludf.DUMMYFUNCTION("IMPORTRANGE(""https://docs.google.com/spreadsheets/d/11923uPwbBZFjjGgGUA6NLw09EwE0CqkOc4q9oUmW1yo/edit?usp=sharing"",""พิษณุโลก!I386"")"),0)</f>
        <v>0</v>
      </c>
      <c r="J491" s="190">
        <f ca="1">IFERROR(__xludf.DUMMYFUNCTION("IMPORTRANGE(""https://docs.google.com/spreadsheets/d/11923uPwbBZFjjGgGUA6NLw09EwE0CqkOc4q9oUmW1yo/edit?usp=sharing"",""พิษณุโลก!J386"")"),0)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IFERROR(__xludf.DUMMYFUNCTION("IMPORTRANGE(""https://docs.google.com/spreadsheets/d/11923uPwbBZFjjGgGUA6NLw09EwE0CqkOc4q9oUmW1yo/edit?usp=sharing"",""พิษณุโลก!I387"")"),0)</f>
        <v>0</v>
      </c>
      <c r="J492" s="190">
        <f ca="1">IFERROR(__xludf.DUMMYFUNCTION("IMPORTRANGE(""https://docs.google.com/spreadsheets/d/11923uPwbBZFjjGgGUA6NLw09EwE0CqkOc4q9oUmW1yo/edit?usp=sharing"",""พิษณุโลก!J387"")"),0)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IFERROR(__xludf.DUMMYFUNCTION("IMPORTRANGE(""https://docs.google.com/spreadsheets/d/11923uPwbBZFjjGgGUA6NLw09EwE0CqkOc4q9oUmW1yo/edit?usp=sharing"",""พิษณุโลก!I388"")"),0)</f>
        <v>0</v>
      </c>
      <c r="J493" s="190">
        <f ca="1">IFERROR(__xludf.DUMMYFUNCTION("IMPORTRANGE(""https://docs.google.com/spreadsheets/d/11923uPwbBZFjjGgGUA6NLw09EwE0CqkOc4q9oUmW1yo/edit?usp=sharing"",""พิษณุโลก!J388"")"),0)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IFERROR(__xludf.DUMMYFUNCTION("IMPORTRANGE(""https://docs.google.com/spreadsheets/d/11923uPwbBZFjjGgGUA6NLw09EwE0CqkOc4q9oUmW1yo/edit?usp=sharing"",""พิษณุโลก!I389"")"),0)</f>
        <v>0</v>
      </c>
      <c r="J494" s="438">
        <f ca="1">IFERROR(__xludf.DUMMYFUNCTION("IMPORTRANGE(""https://docs.google.com/spreadsheets/d/11923uPwbBZFjjGgGUA6NLw09EwE0CqkOc4q9oUmW1yo/edit?usp=sharing"",""พิษณุโลก!J389"")"),0)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IFERROR(__xludf.DUMMYFUNCTION("IMPORTRANGE(""https://docs.google.com/spreadsheets/d/11923uPwbBZFjjGgGUA6NLw09EwE0CqkOc4q9oUmW1yo/edit?usp=sharing"",""พิษณุโลก!I390"")"),0)</f>
        <v>0</v>
      </c>
      <c r="J495" s="438">
        <f ca="1">IFERROR(__xludf.DUMMYFUNCTION("IMPORTRANGE(""https://docs.google.com/spreadsheets/d/11923uPwbBZFjjGgGUA6NLw09EwE0CqkOc4q9oUmW1yo/edit?usp=sharing"",""พิษณุโลก!J390"")"),0)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IFERROR(__xludf.DUMMYFUNCTION("IMPORTRANGE(""https://docs.google.com/spreadsheets/d/11923uPwbBZFjjGgGUA6NLw09EwE0CqkOc4q9oUmW1yo/edit?usp=sharing"",""พิษณุโลก!I391"")"),0)</f>
        <v>0</v>
      </c>
      <c r="J496" s="438">
        <f ca="1">IFERROR(__xludf.DUMMYFUNCTION("IMPORTRANGE(""https://docs.google.com/spreadsheets/d/11923uPwbBZFjjGgGUA6NLw09EwE0CqkOc4q9oUmW1yo/edit?usp=sharing"",""พิษณุโลก!J391"")"),0)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IFERROR(__xludf.DUMMYFUNCTION("IMPORTRANGE(""https://docs.google.com/spreadsheets/d/11923uPwbBZFjjGgGUA6NLw09EwE0CqkOc4q9oUmW1yo/edit?usp=sharing"",""พิษณุโลก!I392"")"),1774)</f>
        <v>1774</v>
      </c>
      <c r="J497" s="445">
        <f ca="1">IFERROR(__xludf.DUMMYFUNCTION("IMPORTRANGE(""https://docs.google.com/spreadsheets/d/11923uPwbBZFjjGgGUA6NLw09EwE0CqkOc4q9oUmW1yo/edit?usp=sharing"",""พิษณุโลก!J392"")"),1025)</f>
        <v>1025</v>
      </c>
      <c r="K497" s="446">
        <f t="shared" ca="1" si="117"/>
        <v>57.779030439684327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IFERROR(__xludf.DUMMYFUNCTION("IMPORTRANGE(""https://docs.google.com/spreadsheets/d/11923uPwbBZFjjGgGUA6NLw09EwE0CqkOc4q9oUmW1yo/edit?usp=sharing"",""พิษณุโลก!I393"")"),1774)</f>
        <v>1774</v>
      </c>
      <c r="J498" s="422">
        <f ca="1">IFERROR(__xludf.DUMMYFUNCTION("IMPORTRANGE(""https://docs.google.com/spreadsheets/d/11923uPwbBZFjjGgGUA6NLw09EwE0CqkOc4q9oUmW1yo/edit?usp=sharing"",""พิษณุโลก!J393"")"),1025)</f>
        <v>1025</v>
      </c>
      <c r="K498" s="203">
        <f t="shared" ca="1" si="117"/>
        <v>57.779030439684327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IFERROR(__xludf.DUMMYFUNCTION("IMPORTRANGE(""https://docs.google.com/spreadsheets/d/11923uPwbBZFjjGgGUA6NLw09EwE0CqkOc4q9oUmW1yo/edit?usp=sharing"",""พิษณุโลก!I394"")"),106)</f>
        <v>106</v>
      </c>
      <c r="J499" s="422">
        <f ca="1">IFERROR(__xludf.DUMMYFUNCTION("IMPORTRANGE(""https://docs.google.com/spreadsheets/d/11923uPwbBZFjjGgGUA6NLw09EwE0CqkOc4q9oUmW1yo/edit?usp=sharing"",""พิษณุโลก!J394"")"),64)</f>
        <v>64</v>
      </c>
      <c r="K499" s="203">
        <f t="shared" ca="1" si="117"/>
        <v>60.377358490566039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IFERROR(__xludf.DUMMYFUNCTION("IMPORTRANGE(""https://docs.google.com/spreadsheets/d/11923uPwbBZFjjGgGUA6NLw09EwE0CqkOc4q9oUmW1yo/edit?usp=sharing"",""พิษณุโลก!I395"")"),0)</f>
        <v>0</v>
      </c>
      <c r="J500" s="164">
        <f ca="1">IFERROR(__xludf.DUMMYFUNCTION("IMPORTRANGE(""https://docs.google.com/spreadsheets/d/11923uPwbBZFjjGgGUA6NLw09EwE0CqkOc4q9oUmW1yo/edit?usp=sharing"",""พิษณุโลก!J395"")"),919)</f>
        <v>919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IFERROR(__xludf.DUMMYFUNCTION("IMPORTRANGE(""https://docs.google.com/spreadsheets/d/11923uPwbBZFjjGgGUA6NLw09EwE0CqkOc4q9oUmW1yo/edit?usp=sharing"",""พิษณุโลก!I396"")"),0)</f>
        <v>0</v>
      </c>
      <c r="J501" s="164">
        <f ca="1">IFERROR(__xludf.DUMMYFUNCTION("IMPORTRANGE(""https://docs.google.com/spreadsheets/d/11923uPwbBZFjjGgGUA6NLw09EwE0CqkOc4q9oUmW1yo/edit?usp=sharing"",""พิษณุโลก!J396"")"),60)</f>
        <v>60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IFERROR(__xludf.DUMMYFUNCTION("IMPORTRANGE(""https://docs.google.com/spreadsheets/d/11923uPwbBZFjjGgGUA6NLw09EwE0CqkOc4q9oUmW1yo/edit?usp=sharing"",""พิษณุโลก!I397"")"),0)</f>
        <v>0</v>
      </c>
      <c r="J502" s="190">
        <f ca="1">IFERROR(__xludf.DUMMYFUNCTION("IMPORTRANGE(""https://docs.google.com/spreadsheets/d/11923uPwbBZFjjGgGUA6NLw09EwE0CqkOc4q9oUmW1yo/edit?usp=sharing"",""พิษณุโลก!J397"")"),919)</f>
        <v>919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IFERROR(__xludf.DUMMYFUNCTION("IMPORTRANGE(""https://docs.google.com/spreadsheets/d/11923uPwbBZFjjGgGUA6NLw09EwE0CqkOc4q9oUmW1yo/edit?usp=sharing"",""พิษณุโลก!I398"")"),0)</f>
        <v>0</v>
      </c>
      <c r="J503" s="199">
        <f ca="1">IFERROR(__xludf.DUMMYFUNCTION("IMPORTRANGE(""https://docs.google.com/spreadsheets/d/11923uPwbBZFjjGgGUA6NLw09EwE0CqkOc4q9oUmW1yo/edit?usp=sharing"",""พิษณุโลก!J398"")"),60)</f>
        <v>60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IFERROR(__xludf.DUMMYFUNCTION("IMPORTRANGE(""https://docs.google.com/spreadsheets/d/11923uPwbBZFjjGgGUA6NLw09EwE0CqkOc4q9oUmW1yo/edit?usp=sharing"",""พิษณุโลก!I399"")"),0)</f>
        <v>0</v>
      </c>
      <c r="J504" s="190">
        <f ca="1">IFERROR(__xludf.DUMMYFUNCTION("IMPORTRANGE(""https://docs.google.com/spreadsheets/d/11923uPwbBZFjjGgGUA6NLw09EwE0CqkOc4q9oUmW1yo/edit?usp=sharing"",""พิษณุโลก!J399"")"),0)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IFERROR(__xludf.DUMMYFUNCTION("IMPORTRANGE(""https://docs.google.com/spreadsheets/d/11923uPwbBZFjjGgGUA6NLw09EwE0CqkOc4q9oUmW1yo/edit?usp=sharing"",""พิษณุโลก!I400"")"),0)</f>
        <v>0</v>
      </c>
      <c r="J505" s="199">
        <f ca="1">IFERROR(__xludf.DUMMYFUNCTION("IMPORTRANGE(""https://docs.google.com/spreadsheets/d/11923uPwbBZFjjGgGUA6NLw09EwE0CqkOc4q9oUmW1yo/edit?usp=sharing"",""พิษณุโลก!J400"")"),0)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IFERROR(__xludf.DUMMYFUNCTION("IMPORTRANGE(""https://docs.google.com/spreadsheets/d/11923uPwbBZFjjGgGUA6NLw09EwE0CqkOc4q9oUmW1yo/edit?usp=sharing"",""พิษณุโลก!I401"")"),0)</f>
        <v>0</v>
      </c>
      <c r="J506" s="190">
        <f ca="1">IFERROR(__xludf.DUMMYFUNCTION("IMPORTRANGE(""https://docs.google.com/spreadsheets/d/11923uPwbBZFjjGgGUA6NLw09EwE0CqkOc4q9oUmW1yo/edit?usp=sharing"",""พิษณุโลก!J401"")"),0)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IFERROR(__xludf.DUMMYFUNCTION("IMPORTRANGE(""https://docs.google.com/spreadsheets/d/11923uPwbBZFjjGgGUA6NLw09EwE0CqkOc4q9oUmW1yo/edit?usp=sharing"",""พิษณุโลก!I402"")"),0)</f>
        <v>0</v>
      </c>
      <c r="J507" s="199">
        <f ca="1">IFERROR(__xludf.DUMMYFUNCTION("IMPORTRANGE(""https://docs.google.com/spreadsheets/d/11923uPwbBZFjjGgGUA6NLw09EwE0CqkOc4q9oUmW1yo/edit?usp=sharing"",""พิษณุโลก!J402"")"),0)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IFERROR(__xludf.DUMMYFUNCTION("IMPORTRANGE(""https://docs.google.com/spreadsheets/d/11923uPwbBZFjjGgGUA6NLw09EwE0CqkOc4q9oUmW1yo/edit?usp=sharing"",""พิษณุโลก!I403"")"),0)</f>
        <v>0</v>
      </c>
      <c r="J508" s="164">
        <f ca="1">IFERROR(__xludf.DUMMYFUNCTION("IMPORTRANGE(""https://docs.google.com/spreadsheets/d/11923uPwbBZFjjGgGUA6NLw09EwE0CqkOc4q9oUmW1yo/edit?usp=sharing"",""พิษณุโลก!J403"")"),106)</f>
        <v>106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IFERROR(__xludf.DUMMYFUNCTION("IMPORTRANGE(""https://docs.google.com/spreadsheets/d/11923uPwbBZFjjGgGUA6NLw09EwE0CqkOc4q9oUmW1yo/edit?usp=sharing"",""พิษณุโลก!I404"")"),0)</f>
        <v>0</v>
      </c>
      <c r="J509" s="164">
        <f ca="1">IFERROR(__xludf.DUMMYFUNCTION("IMPORTRANGE(""https://docs.google.com/spreadsheets/d/11923uPwbBZFjjGgGUA6NLw09EwE0CqkOc4q9oUmW1yo/edit?usp=sharing"",""พิษณุโลก!J404"")"),4)</f>
        <v>4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IFERROR(__xludf.DUMMYFUNCTION("IMPORTRANGE(""https://docs.google.com/spreadsheets/d/11923uPwbBZFjjGgGUA6NLw09EwE0CqkOc4q9oUmW1yo/edit?usp=sharing"",""พิษณุโลก!I405"")"),0)</f>
        <v>0</v>
      </c>
      <c r="J510" s="199">
        <f ca="1">IFERROR(__xludf.DUMMYFUNCTION("IMPORTRANGE(""https://docs.google.com/spreadsheets/d/11923uPwbBZFjjGgGUA6NLw09EwE0CqkOc4q9oUmW1yo/edit?usp=sharing"",""พิษณุโลก!J405"")"),106)</f>
        <v>106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IFERROR(__xludf.DUMMYFUNCTION("IMPORTRANGE(""https://docs.google.com/spreadsheets/d/11923uPwbBZFjjGgGUA6NLw09EwE0CqkOc4q9oUmW1yo/edit?usp=sharing"",""พิษณุโลก!I406"")"),0)</f>
        <v>0</v>
      </c>
      <c r="J511" s="199">
        <f ca="1">IFERROR(__xludf.DUMMYFUNCTION("IMPORTRANGE(""https://docs.google.com/spreadsheets/d/11923uPwbBZFjjGgGUA6NLw09EwE0CqkOc4q9oUmW1yo/edit?usp=sharing"",""พิษณุโลก!J406"")"),4)</f>
        <v>4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IFERROR(__xludf.DUMMYFUNCTION("IMPORTRANGE(""https://docs.google.com/spreadsheets/d/11923uPwbBZFjjGgGUA6NLw09EwE0CqkOc4q9oUmW1yo/edit?usp=sharing"",""พิษณุโลก!I407"")"),0)</f>
        <v>0</v>
      </c>
      <c r="J512" s="199">
        <f ca="1">IFERROR(__xludf.DUMMYFUNCTION("IMPORTRANGE(""https://docs.google.com/spreadsheets/d/11923uPwbBZFjjGgGUA6NLw09EwE0CqkOc4q9oUmW1yo/edit?usp=sharing"",""พิษณุโลก!J407"")"),0)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IFERROR(__xludf.DUMMYFUNCTION("IMPORTRANGE(""https://docs.google.com/spreadsheets/d/11923uPwbBZFjjGgGUA6NLw09EwE0CqkOc4q9oUmW1yo/edit?usp=sharing"",""พิษณุโลก!I408"")"),0)</f>
        <v>0</v>
      </c>
      <c r="J513" s="199">
        <f ca="1">IFERROR(__xludf.DUMMYFUNCTION("IMPORTRANGE(""https://docs.google.com/spreadsheets/d/11923uPwbBZFjjGgGUA6NLw09EwE0CqkOc4q9oUmW1yo/edit?usp=sharing"",""พิษณุโลก!J408"")"),0)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IFERROR(__xludf.DUMMYFUNCTION("IMPORTRANGE(""https://docs.google.com/spreadsheets/d/11923uPwbBZFjjGgGUA6NLw09EwE0CqkOc4q9oUmW1yo/edit?usp=sharing"",""พิษณุโลก!I409"")"),0)</f>
        <v>0</v>
      </c>
      <c r="J514" s="199">
        <f ca="1">IFERROR(__xludf.DUMMYFUNCTION("IMPORTRANGE(""https://docs.google.com/spreadsheets/d/11923uPwbBZFjjGgGUA6NLw09EwE0CqkOc4q9oUmW1yo/edit?usp=sharing"",""พิษณุโลก!J409"")"),0)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IFERROR(__xludf.DUMMYFUNCTION("IMPORTRANGE(""https://docs.google.com/spreadsheets/d/11923uPwbBZFjjGgGUA6NLw09EwE0CqkOc4q9oUmW1yo/edit?usp=sharing"",""พิษณุโลก!I410"")"),0)</f>
        <v>0</v>
      </c>
      <c r="J515" s="199">
        <f ca="1">IFERROR(__xludf.DUMMYFUNCTION("IMPORTRANGE(""https://docs.google.com/spreadsheets/d/11923uPwbBZFjjGgGUA6NLw09EwE0CqkOc4q9oUmW1yo/edit?usp=sharing"",""พิษณุโลก!J410"")"),0)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IFERROR(__xludf.DUMMYFUNCTION("IMPORTRANGE(""https://docs.google.com/spreadsheets/d/11923uPwbBZFjjGgGUA6NLw09EwE0CqkOc4q9oUmW1yo/edit?usp=sharing"",""พิษณุโลก!I411"")"),0)</f>
        <v>0</v>
      </c>
      <c r="J516" s="268">
        <f ca="1">IFERROR(__xludf.DUMMYFUNCTION("IMPORTRANGE(""https://docs.google.com/spreadsheets/d/11923uPwbBZFjjGgGUA6NLw09EwE0CqkOc4q9oUmW1yo/edit?usp=sharing"",""พิษณุโลก!J411"")"),0)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IFERROR(__xludf.DUMMYFUNCTION("IMPORTRANGE(""https://docs.google.com/spreadsheets/d/11923uPwbBZFjjGgGUA6NLw09EwE0CqkOc4q9oUmW1yo/edit?usp=sharing"",""พิษณุโลก!I412"")"),0)</f>
        <v>0</v>
      </c>
      <c r="J517" s="285">
        <f ca="1">IFERROR(__xludf.DUMMYFUNCTION("IMPORTRANGE(""https://docs.google.com/spreadsheets/d/11923uPwbBZFjjGgGUA6NLw09EwE0CqkOc4q9oUmW1yo/edit?usp=sharing"",""พิษณุโลก!J412"")"),0)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IFERROR(__xludf.DUMMYFUNCTION("IMPORTRANGE(""https://docs.google.com/spreadsheets/d/11923uPwbBZFjjGgGUA6NLw09EwE0CqkOc4q9oUmW1yo/edit?usp=sharing"",""พิษณุโลก!I413"")"),0)</f>
        <v>0</v>
      </c>
      <c r="J518" s="285">
        <f ca="1">IFERROR(__xludf.DUMMYFUNCTION("IMPORTRANGE(""https://docs.google.com/spreadsheets/d/11923uPwbBZFjjGgGUA6NLw09EwE0CqkOc4q9oUmW1yo/edit?usp=sharing"",""พิษณุโลก!J413"")"),0)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IFERROR(__xludf.DUMMYFUNCTION("IMPORTRANGE(""https://docs.google.com/spreadsheets/d/11923uPwbBZFjjGgGUA6NLw09EwE0CqkOc4q9oUmW1yo/edit?usp=sharing"",""พิษณุโลก!I414"")"),0)</f>
        <v>0</v>
      </c>
      <c r="J519" s="189">
        <f ca="1">IFERROR(__xludf.DUMMYFUNCTION("IMPORTRANGE(""https://docs.google.com/spreadsheets/d/11923uPwbBZFjjGgGUA6NLw09EwE0CqkOc4q9oUmW1yo/edit?usp=sharing"",""พิษณุโลก!J414"")"),0)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IFERROR(__xludf.DUMMYFUNCTION("IMPORTRANGE(""https://docs.google.com/spreadsheets/d/11923uPwbBZFjjGgGUA6NLw09EwE0CqkOc4q9oUmW1yo/edit?usp=sharing"",""พิษณุโลก!I415"")"),0)</f>
        <v>0</v>
      </c>
      <c r="J520" s="189">
        <f ca="1">IFERROR(__xludf.DUMMYFUNCTION("IMPORTRANGE(""https://docs.google.com/spreadsheets/d/11923uPwbBZFjjGgGUA6NLw09EwE0CqkOc4q9oUmW1yo/edit?usp=sharing"",""พิษณุโลก!J415"")"),0)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IFERROR(__xludf.DUMMYFUNCTION("IMPORTRANGE(""https://docs.google.com/spreadsheets/d/11923uPwbBZFjjGgGUA6NLw09EwE0CqkOc4q9oUmW1yo/edit?usp=sharing"",""พิษณุโลก!I416"")"),0)</f>
        <v>0</v>
      </c>
      <c r="J521" s="189">
        <f ca="1">IFERROR(__xludf.DUMMYFUNCTION("IMPORTRANGE(""https://docs.google.com/spreadsheets/d/11923uPwbBZFjjGgGUA6NLw09EwE0CqkOc4q9oUmW1yo/edit?usp=sharing"",""พิษณุโลก!J416"")"),0)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IFERROR(__xludf.DUMMYFUNCTION("IMPORTRANGE(""https://docs.google.com/spreadsheets/d/11923uPwbBZFjjGgGUA6NLw09EwE0CqkOc4q9oUmW1yo/edit?usp=sharing"",""พิษณุโลก!I417"")"),0)</f>
        <v>0</v>
      </c>
      <c r="J522" s="189">
        <f ca="1">IFERROR(__xludf.DUMMYFUNCTION("IMPORTRANGE(""https://docs.google.com/spreadsheets/d/11923uPwbBZFjjGgGUA6NLw09EwE0CqkOc4q9oUmW1yo/edit?usp=sharing"",""พิษณุโลก!J417"")"),0)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IFERROR(__xludf.DUMMYFUNCTION("IMPORTRANGE(""https://docs.google.com/spreadsheets/d/11923uPwbBZFjjGgGUA6NLw09EwE0CqkOc4q9oUmW1yo/edit?usp=sharing"",""พิษณุโลก!I418"")"),0)</f>
        <v>0</v>
      </c>
      <c r="J523" s="189">
        <f ca="1">IFERROR(__xludf.DUMMYFUNCTION("IMPORTRANGE(""https://docs.google.com/spreadsheets/d/11923uPwbBZFjjGgGUA6NLw09EwE0CqkOc4q9oUmW1yo/edit?usp=sharing"",""พิษณุโลก!J418"")"),22)</f>
        <v>22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IFERROR(__xludf.DUMMYFUNCTION("IMPORTRANGE(""https://docs.google.com/spreadsheets/d/11923uPwbBZFjjGgGUA6NLw09EwE0CqkOc4q9oUmW1yo/edit?usp=sharing"",""พิษณุโลก!I419"")"),0)</f>
        <v>0</v>
      </c>
      <c r="J524" s="189">
        <f ca="1">IFERROR(__xludf.DUMMYFUNCTION("IMPORTRANGE(""https://docs.google.com/spreadsheets/d/11923uPwbBZFjjGgGUA6NLw09EwE0CqkOc4q9oUmW1yo/edit?usp=sharing"",""พิษณุโลก!J419"")"),2)</f>
        <v>2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IFERROR(__xludf.DUMMYFUNCTION("IMPORTRANGE(""https://docs.google.com/spreadsheets/d/11923uPwbBZFjjGgGUA6NLw09EwE0CqkOc4q9oUmW1yo/edit?usp=sharing"",""พิษณุโลก!I420"")"),22)</f>
        <v>22</v>
      </c>
      <c r="J525" s="285">
        <f ca="1">IFERROR(__xludf.DUMMYFUNCTION("IMPORTRANGE(""https://docs.google.com/spreadsheets/d/11923uPwbBZFjjGgGUA6NLw09EwE0CqkOc4q9oUmW1yo/edit?usp=sharing"",""พิษณุโลก!J420"")"),0)</f>
        <v>0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IFERROR(__xludf.DUMMYFUNCTION("IMPORTRANGE(""https://docs.google.com/spreadsheets/d/11923uPwbBZFjjGgGUA6NLw09EwE0CqkOc4q9oUmW1yo/edit?usp=sharing"",""พิษณุโลก!I421"")"),2)</f>
        <v>2</v>
      </c>
      <c r="J526" s="285">
        <f ca="1">IFERROR(__xludf.DUMMYFUNCTION("IMPORTRANGE(""https://docs.google.com/spreadsheets/d/11923uPwbBZFjjGgGUA6NLw09EwE0CqkOc4q9oUmW1yo/edit?usp=sharing"",""พิษณุโลก!J421"")"),0)</f>
        <v>0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IFERROR(__xludf.DUMMYFUNCTION("IMPORTRANGE(""https://docs.google.com/spreadsheets/d/11923uPwbBZFjjGgGUA6NLw09EwE0CqkOc4q9oUmW1yo/edit?usp=sharing"",""พิษณุโลก!I422"")"),0)</f>
        <v>0</v>
      </c>
      <c r="J527" s="199">
        <f ca="1">IFERROR(__xludf.DUMMYFUNCTION("IMPORTRANGE(""https://docs.google.com/spreadsheets/d/11923uPwbBZFjjGgGUA6NLw09EwE0CqkOc4q9oUmW1yo/edit?usp=sharing"",""พิษณุโลก!J422"")"),0)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IFERROR(__xludf.DUMMYFUNCTION("IMPORTRANGE(""https://docs.google.com/spreadsheets/d/11923uPwbBZFjjGgGUA6NLw09EwE0CqkOc4q9oUmW1yo/edit?usp=sharing"",""พิษณุโลก!I423"")"),0)</f>
        <v>0</v>
      </c>
      <c r="J528" s="199">
        <f ca="1">IFERROR(__xludf.DUMMYFUNCTION("IMPORTRANGE(""https://docs.google.com/spreadsheets/d/11923uPwbBZFjjGgGUA6NLw09EwE0CqkOc4q9oUmW1yo/edit?usp=sharing"",""พิษณุโลก!J423"")"),0)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IFERROR(__xludf.DUMMYFUNCTION("IMPORTRANGE(""https://docs.google.com/spreadsheets/d/11923uPwbBZFjjGgGUA6NLw09EwE0CqkOc4q9oUmW1yo/edit?usp=sharing"",""พิษณุโลก!I424"")"),0)</f>
        <v>0</v>
      </c>
      <c r="J529" s="199">
        <f ca="1">IFERROR(__xludf.DUMMYFUNCTION("IMPORTRANGE(""https://docs.google.com/spreadsheets/d/11923uPwbBZFjjGgGUA6NLw09EwE0CqkOc4q9oUmW1yo/edit?usp=sharing"",""พิษณุโลก!J424"")"),0)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IFERROR(__xludf.DUMMYFUNCTION("IMPORTRANGE(""https://docs.google.com/spreadsheets/d/11923uPwbBZFjjGgGUA6NLw09EwE0CqkOc4q9oUmW1yo/edit?usp=sharing"",""พิษณุโลก!I425"")"),0)</f>
        <v>0</v>
      </c>
      <c r="J530" s="199">
        <f ca="1">IFERROR(__xludf.DUMMYFUNCTION("IMPORTRANGE(""https://docs.google.com/spreadsheets/d/11923uPwbBZFjjGgGUA6NLw09EwE0CqkOc4q9oUmW1yo/edit?usp=sharing"",""พิษณุโลก!J425"")"),0)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IFERROR(__xludf.DUMMYFUNCTION("IMPORTRANGE(""https://docs.google.com/spreadsheets/d/11923uPwbBZFjjGgGUA6NLw09EwE0CqkOc4q9oUmW1yo/edit?usp=sharing"",""พิษณุโลก!I426"")"),0)</f>
        <v>0</v>
      </c>
      <c r="J531" s="199">
        <f ca="1">IFERROR(__xludf.DUMMYFUNCTION("IMPORTRANGE(""https://docs.google.com/spreadsheets/d/11923uPwbBZFjjGgGUA6NLw09EwE0CqkOc4q9oUmW1yo/edit?usp=sharing"",""พิษณุโลก!J426"")"),0)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IFERROR(__xludf.DUMMYFUNCTION("IMPORTRANGE(""https://docs.google.com/spreadsheets/d/11923uPwbBZFjjGgGUA6NLw09EwE0CqkOc4q9oUmW1yo/edit?usp=sharing"",""พิษณุโลก!I427"")"),0)</f>
        <v>0</v>
      </c>
      <c r="J532" s="468">
        <f ca="1">IFERROR(__xludf.DUMMYFUNCTION("IMPORTRANGE(""https://docs.google.com/spreadsheets/d/11923uPwbBZFjjGgGUA6NLw09EwE0CqkOc4q9oUmW1yo/edit?usp=sharing"",""พิษณุโลก!J427"")"),0)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IFERROR(__xludf.DUMMYFUNCTION("IMPORTRANGE(""https://docs.google.com/spreadsheets/d/11923uPwbBZFjjGgGUA6NLw09EwE0CqkOc4q9oUmW1yo/edit?usp=sharing"",""พิษณุโลก!I428"")"),22)</f>
        <v>22</v>
      </c>
      <c r="J533" s="411">
        <f ca="1">IFERROR(__xludf.DUMMYFUNCTION("IMPORTRANGE(""https://docs.google.com/spreadsheets/d/11923uPwbBZFjjGgGUA6NLw09EwE0CqkOc4q9oUmW1yo/edit?usp=sharing"",""พิษณุโลก!J428"")"),22)</f>
        <v>22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IFERROR(__xludf.DUMMYFUNCTION("IMPORTRANGE(""https://docs.google.com/spreadsheets/d/11923uPwbBZFjjGgGUA6NLw09EwE0CqkOc4q9oUmW1yo/edit?usp=sharing"",""พิษณุโลก!L428"")"),34340)</f>
        <v>34340</v>
      </c>
      <c r="M533" s="413"/>
      <c r="N533" s="413">
        <f ca="1">IFERROR(__xludf.DUMMYFUNCTION("IMPORTRANGE(""https://docs.google.com/spreadsheets/d/11923uPwbBZFjjGgGUA6NLw09EwE0CqkOc4q9oUmW1yo/edit?usp=sharing"",""พิษณุโลก!M428"")"),29380)</f>
        <v>29380</v>
      </c>
      <c r="O533" s="413">
        <f t="shared" ref="O533:O537" ca="1" si="118">+IF(L533&gt;0,N533*100/L533,0)</f>
        <v>85.556202679091442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IFERROR(__xludf.DUMMYFUNCTION("IMPORTRANGE(""https://docs.google.com/spreadsheets/d/11923uPwbBZFjjGgGUA6NLw09EwE0CqkOc4q9oUmW1yo/edit?usp=sharing"",""พิษณุโลก!L429"")"),0)</f>
        <v>0</v>
      </c>
      <c r="M534" s="166"/>
      <c r="N534" s="170">
        <f ca="1">IFERROR(__xludf.DUMMYFUNCTION("IMPORTRANGE(""https://docs.google.com/spreadsheets/d/11923uPwbBZFjjGgGUA6NLw09EwE0CqkOc4q9oUmW1yo/edit?usp=sharing"",""พิษณุโลก!M429"")"),0)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IFERROR(__xludf.DUMMYFUNCTION("IMPORTRANGE(""https://docs.google.com/spreadsheets/d/11923uPwbBZFjjGgGUA6NLw09EwE0CqkOc4q9oUmW1yo/edit?usp=sharing"",""พิษณุโลก!L430"")"),34340)</f>
        <v>34340</v>
      </c>
      <c r="M535" s="167"/>
      <c r="N535" s="170">
        <f ca="1">IFERROR(__xludf.DUMMYFUNCTION("IMPORTRANGE(""https://docs.google.com/spreadsheets/d/11923uPwbBZFjjGgGUA6NLw09EwE0CqkOc4q9oUmW1yo/edit?usp=sharing"",""พิษณุโลก!M430"")"),29380)</f>
        <v>29380</v>
      </c>
      <c r="O535" s="170">
        <f t="shared" ca="1" si="118"/>
        <v>85.556202679091442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IFERROR(__xludf.DUMMYFUNCTION("IMPORTRANGE(""https://docs.google.com/spreadsheets/d/11923uPwbBZFjjGgGUA6NLw09EwE0CqkOc4q9oUmW1yo/edit?usp=sharing"",""พิษณุโลก!L431"")"),0)</f>
        <v>0</v>
      </c>
      <c r="M536" s="170"/>
      <c r="N536" s="170">
        <f ca="1">IFERROR(__xludf.DUMMYFUNCTION("IMPORTRANGE(""https://docs.google.com/spreadsheets/d/11923uPwbBZFjjGgGUA6NLw09EwE0CqkOc4q9oUmW1yo/edit?usp=sharing"",""พิษณุโลก!M431"")"),0)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IFERROR(__xludf.DUMMYFUNCTION("IMPORTRANGE(""https://docs.google.com/spreadsheets/d/11923uPwbBZFjjGgGUA6NLw09EwE0CqkOc4q9oUmW1yo/edit?usp=sharing"",""พิษณุโลก!L432"")"),34340)</f>
        <v>34340</v>
      </c>
      <c r="M537" s="170"/>
      <c r="N537" s="170">
        <f ca="1">IFERROR(__xludf.DUMMYFUNCTION("IMPORTRANGE(""https://docs.google.com/spreadsheets/d/11923uPwbBZFjjGgGUA6NLw09EwE0CqkOc4q9oUmW1yo/edit?usp=sharing"",""พิษณุโลก!M432"")"),29380)</f>
        <v>29380</v>
      </c>
      <c r="O537" s="170">
        <f t="shared" ca="1" si="118"/>
        <v>85.556202679091442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IFERROR(__xludf.DUMMYFUNCTION("IMPORTRANGE(""https://docs.google.com/spreadsheets/d/11923uPwbBZFjjGgGUA6NLw09EwE0CqkOc4q9oUmW1yo/edit?usp=sharing"",""พิษณุโลก!M433"")"),19880)</f>
        <v>19880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IFERROR(__xludf.DUMMYFUNCTION("IMPORTRANGE(""https://docs.google.com/spreadsheets/d/11923uPwbBZFjjGgGUA6NLw09EwE0CqkOc4q9oUmW1yo/edit?usp=sharing"",""พิษณุโลก!M434"")"),0)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IFERROR(__xludf.DUMMYFUNCTION("IMPORTRANGE(""https://docs.google.com/spreadsheets/d/11923uPwbBZFjjGgGUA6NLw09EwE0CqkOc4q9oUmW1yo/edit?usp=sharing"",""พิษณุโลก!M435"")"),0)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IFERROR(__xludf.DUMMYFUNCTION("IMPORTRANGE(""https://docs.google.com/spreadsheets/d/11923uPwbBZFjjGgGUA6NLw09EwE0CqkOc4q9oUmW1yo/edit?usp=sharing"",""พิษณุโลก!M436"")"),9500)</f>
        <v>9500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IFERROR(__xludf.DUMMYFUNCTION("IMPORTRANGE(""https://docs.google.com/spreadsheets/d/11923uPwbBZFjjGgGUA6NLw09EwE0CqkOc4q9oUmW1yo/edit?usp=sharing"",""พิษณุโลก!J438"")"),0)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IFERROR(__xludf.DUMMYFUNCTION("IMPORTRANGE(""https://docs.google.com/spreadsheets/d/11923uPwbBZFjjGgGUA6NLw09EwE0CqkOc4q9oUmW1yo/edit?usp=sharing"",""พิษณุโลก!J439"")"),1)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IFERROR(__xludf.DUMMYFUNCTION("IMPORTRANGE(""https://docs.google.com/spreadsheets/d/11923uPwbBZFjjGgGUA6NLw09EwE0CqkOc4q9oUmW1yo/edit?usp=sharing"",""พิษณุโลก!J440"")"),1)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IFERROR(__xludf.DUMMYFUNCTION("IMPORTRANGE(""https://docs.google.com/spreadsheets/d/11923uPwbBZFjjGgGUA6NLw09EwE0CqkOc4q9oUmW1yo/edit?usp=sharing"",""พิษณุโลก!J441"")"),1)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IFERROR(__xludf.DUMMYFUNCTION("IMPORTRANGE(""https://docs.google.com/spreadsheets/d/11923uPwbBZFjjGgGUA6NLw09EwE0CqkOc4q9oUmW1yo/edit?usp=sharing"",""พิษณุโลก!I442"")"),22)</f>
        <v>22</v>
      </c>
      <c r="J547" s="190">
        <f ca="1">IFERROR(__xludf.DUMMYFUNCTION("IMPORTRANGE(""https://docs.google.com/spreadsheets/d/11923uPwbBZFjjGgGUA6NLw09EwE0CqkOc4q9oUmW1yo/edit?usp=sharing"",""พิษณุโลก!J442"")"),22)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IFERROR(__xludf.DUMMYFUNCTION("IMPORTRANGE(""https://docs.google.com/spreadsheets/d/11923uPwbBZFjjGgGUA6NLw09EwE0CqkOc4q9oUmW1yo/edit?usp=sharing"",""พิษณุโลก!J166"")"),0)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IFERROR(__xludf.DUMMYFUNCTION("IMPORTRANGE(""https://docs.google.com/spreadsheets/d/11923uPwbBZFjjGgGUA6NLw09EwE0CqkOc4q9oUmW1yo/edit?usp=sharing"",""พิษณุโลก!J444"")"),0)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IFERROR(__xludf.DUMMYFUNCTION("IMPORTRANGE(""https://docs.google.com/spreadsheets/d/11923uPwbBZFjjGgGUA6NLw09EwE0CqkOc4q9oUmW1yo/edit?usp=sharing"",""พิษณุโลก!J445"")"),0)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IFERROR(__xludf.DUMMYFUNCTION("IMPORTRANGE(""https://docs.google.com/spreadsheets/d/11923uPwbBZFjjGgGUA6NLw09EwE0CqkOc4q9oUmW1yo/edit?usp=sharing"",""พิษณุโลก!I446"")"),9000)</f>
        <v>9000</v>
      </c>
      <c r="J551" s="411">
        <f ca="1">IFERROR(__xludf.DUMMYFUNCTION("IMPORTRANGE(""https://docs.google.com/spreadsheets/d/11923uPwbBZFjjGgGUA6NLw09EwE0CqkOc4q9oUmW1yo/edit?usp=sharing"",""พิษณุโลก!J446"")"),5280)</f>
        <v>5280</v>
      </c>
      <c r="K551" s="412">
        <f ca="1">IF(I551&gt;0,J551*100/I551,0)</f>
        <v>58.666666666666664</v>
      </c>
      <c r="L551" s="413">
        <f ca="1">IFERROR(__xludf.DUMMYFUNCTION("IMPORTRANGE(""https://docs.google.com/spreadsheets/d/11923uPwbBZFjjGgGUA6NLw09EwE0CqkOc4q9oUmW1yo/edit?usp=sharing"",""พิษณุโลก!L446"")"),534000)</f>
        <v>534000</v>
      </c>
      <c r="M551" s="413"/>
      <c r="N551" s="413">
        <f ca="1">IFERROR(__xludf.DUMMYFUNCTION("IMPORTRANGE(""https://docs.google.com/spreadsheets/d/11923uPwbBZFjjGgGUA6NLw09EwE0CqkOc4q9oUmW1yo/edit?usp=sharing"",""พิษณุโลก!M446"")"),169287.76)</f>
        <v>169287.76</v>
      </c>
      <c r="O551" s="413">
        <f t="shared" ref="O551:O555" ca="1" si="120">+IF(L551&gt;0,N551*100/L551,0)</f>
        <v>31.701827715355805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IFERROR(__xludf.DUMMYFUNCTION("IMPORTRANGE(""https://docs.google.com/spreadsheets/d/11923uPwbBZFjjGgGUA6NLw09EwE0CqkOc4q9oUmW1yo/edit?usp=sharing"",""พิษณุโลก!L447"")"),0)</f>
        <v>0</v>
      </c>
      <c r="M552" s="166"/>
      <c r="N552" s="170">
        <f ca="1">IFERROR(__xludf.DUMMYFUNCTION("IMPORTRANGE(""https://docs.google.com/spreadsheets/d/11923uPwbBZFjjGgGUA6NLw09EwE0CqkOc4q9oUmW1yo/edit?usp=sharing"",""พิษณุโลก!M447"")"),0)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IFERROR(__xludf.DUMMYFUNCTION("IMPORTRANGE(""https://docs.google.com/spreadsheets/d/11923uPwbBZFjjGgGUA6NLw09EwE0CqkOc4q9oUmW1yo/edit?usp=sharing"",""พิษณุโลก!L448"")"),534000)</f>
        <v>534000</v>
      </c>
      <c r="M553" s="167"/>
      <c r="N553" s="170">
        <f ca="1">IFERROR(__xludf.DUMMYFUNCTION("IMPORTRANGE(""https://docs.google.com/spreadsheets/d/11923uPwbBZFjjGgGUA6NLw09EwE0CqkOc4q9oUmW1yo/edit?usp=sharing"",""พิษณุโลก!M448"")"),169287.76)</f>
        <v>169287.76</v>
      </c>
      <c r="O553" s="170">
        <f t="shared" ca="1" si="120"/>
        <v>31.701827715355805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IFERROR(__xludf.DUMMYFUNCTION("IMPORTRANGE(""https://docs.google.com/spreadsheets/d/11923uPwbBZFjjGgGUA6NLw09EwE0CqkOc4q9oUmW1yo/edit?usp=sharing"",""พิษณุโลก!L449"")"),0)</f>
        <v>0</v>
      </c>
      <c r="M554" s="170"/>
      <c r="N554" s="170">
        <f ca="1">IFERROR(__xludf.DUMMYFUNCTION("IMPORTRANGE(""https://docs.google.com/spreadsheets/d/11923uPwbBZFjjGgGUA6NLw09EwE0CqkOc4q9oUmW1yo/edit?usp=sharing"",""พิษณุโลก!M449"")"),0)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IFERROR(__xludf.DUMMYFUNCTION("IMPORTRANGE(""https://docs.google.com/spreadsheets/d/11923uPwbBZFjjGgGUA6NLw09EwE0CqkOc4q9oUmW1yo/edit?usp=sharing"",""พิษณุโลก!L450"")"),534000)</f>
        <v>534000</v>
      </c>
      <c r="M555" s="170"/>
      <c r="N555" s="170">
        <f ca="1">IFERROR(__xludf.DUMMYFUNCTION("IMPORTRANGE(""https://docs.google.com/spreadsheets/d/11923uPwbBZFjjGgGUA6NLw09EwE0CqkOc4q9oUmW1yo/edit?usp=sharing"",""พิษณุโลก!M450"")"),169287.76)</f>
        <v>169287.76</v>
      </c>
      <c r="O555" s="170">
        <f t="shared" ca="1" si="120"/>
        <v>31.701827715355805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IFERROR(__xludf.DUMMYFUNCTION("IMPORTRANGE(""https://docs.google.com/spreadsheets/d/11923uPwbBZFjjGgGUA6NLw09EwE0CqkOc4q9oUmW1yo/edit?usp=sharing"",""พิษณุโลก!M451"")"),0)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IFERROR(__xludf.DUMMYFUNCTION("IMPORTRANGE(""https://docs.google.com/spreadsheets/d/11923uPwbBZFjjGgGUA6NLw09EwE0CqkOc4q9oUmW1yo/edit?usp=sharing"",""พิษณุโลก!M452"")"),0)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IFERROR(__xludf.DUMMYFUNCTION("IMPORTRANGE(""https://docs.google.com/spreadsheets/d/11923uPwbBZFjjGgGUA6NLw09EwE0CqkOc4q9oUmW1yo/edit?usp=sharing"",""พิษณุโลก!M453"")"),123367.76)</f>
        <v>123367.76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IFERROR(__xludf.DUMMYFUNCTION("IMPORTRANGE(""https://docs.google.com/spreadsheets/d/11923uPwbBZFjjGgGUA6NLw09EwE0CqkOc4q9oUmW1yo/edit?usp=sharing"",""พิษณุโลก!M454"")"),45920)</f>
        <v>45920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IFERROR(__xludf.DUMMYFUNCTION("IMPORTRANGE(""https://docs.google.com/spreadsheets/d/11923uPwbBZFjjGgGUA6NLw09EwE0CqkOc4q9oUmW1yo/edit?usp=sharing"",""พิษณุโลก!I455"")"),9000)</f>
        <v>9000</v>
      </c>
      <c r="J560" s="164">
        <f ca="1">IFERROR(__xludf.DUMMYFUNCTION("IMPORTRANGE(""https://docs.google.com/spreadsheets/d/11923uPwbBZFjjGgGUA6NLw09EwE0CqkOc4q9oUmW1yo/edit?usp=sharing"",""พิษณุโลก!J455"")"),5280)</f>
        <v>5280</v>
      </c>
      <c r="K560" s="225">
        <f t="shared" ref="K560:K561" ca="1" si="121">IF(I560&gt;0,J560*100/I560,0)</f>
        <v>58.666666666666664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IFERROR(__xludf.DUMMYFUNCTION("IMPORTRANGE(""https://docs.google.com/spreadsheets/d/11923uPwbBZFjjGgGUA6NLw09EwE0CqkOc4q9oUmW1yo/edit?usp=sharing"",""พิษณุโลก!I456"")"),0)</f>
        <v>0</v>
      </c>
      <c r="J561" s="205">
        <f ca="1">IFERROR(__xludf.DUMMYFUNCTION("IMPORTRANGE(""https://docs.google.com/spreadsheets/d/11923uPwbBZFjjGgGUA6NLw09EwE0CqkOc4q9oUmW1yo/edit?usp=sharing"",""พิษณุโลก!J456"")"),354)</f>
        <v>354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IFERROR(__xludf.DUMMYFUNCTION("IMPORTRANGE(""https://docs.google.com/spreadsheets/d/11923uPwbBZFjjGgGUA6NLw09EwE0CqkOc4q9oUmW1yo/edit?usp=sharing"",""พิษณุโลก!I459"")"),1500)</f>
        <v>1500</v>
      </c>
      <c r="J564" s="372">
        <f ca="1">IFERROR(__xludf.DUMMYFUNCTION("IMPORTRANGE(""https://docs.google.com/spreadsheets/d/11923uPwbBZFjjGgGUA6NLw09EwE0CqkOc4q9oUmW1yo/edit?usp=sharing"",""พิษณุโลก!J459"")"),1796)</f>
        <v>1796</v>
      </c>
      <c r="K564" s="373">
        <f ca="1">IF(I564&gt;0,J564*100/I564,0)</f>
        <v>119.73333333333333</v>
      </c>
      <c r="L564" s="374">
        <f ca="1">IFERROR(__xludf.DUMMYFUNCTION("IMPORTRANGE(""https://docs.google.com/spreadsheets/d/11923uPwbBZFjjGgGUA6NLw09EwE0CqkOc4q9oUmW1yo/edit?usp=sharing"",""พิษณุโลก!L459"")"),144240)</f>
        <v>144240</v>
      </c>
      <c r="M564" s="374"/>
      <c r="N564" s="374">
        <f ca="1">IFERROR(__xludf.DUMMYFUNCTION("IMPORTRANGE(""https://docs.google.com/spreadsheets/d/11923uPwbBZFjjGgGUA6NLw09EwE0CqkOc4q9oUmW1yo/edit?usp=sharing"",""พิษณุโลก!M459"")"),39628.26)</f>
        <v>39628.26</v>
      </c>
      <c r="O564" s="374">
        <f t="shared" ref="O564:O568" ca="1" si="122">+IF(L564&gt;0,N564*100/L564,0)</f>
        <v>27.473835274542431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IFERROR(__xludf.DUMMYFUNCTION("IMPORTRANGE(""https://docs.google.com/spreadsheets/d/11923uPwbBZFjjGgGUA6NLw09EwE0CqkOc4q9oUmW1yo/edit?usp=sharing"",""พิษณุโลก!L460"")"),0)</f>
        <v>0</v>
      </c>
      <c r="M565" s="166"/>
      <c r="N565" s="170">
        <f ca="1">IFERROR(__xludf.DUMMYFUNCTION("IMPORTRANGE(""https://docs.google.com/spreadsheets/d/11923uPwbBZFjjGgGUA6NLw09EwE0CqkOc4q9oUmW1yo/edit?usp=sharing"",""พิษณุโลก!M460"")"),0)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IFERROR(__xludf.DUMMYFUNCTION("IMPORTRANGE(""https://docs.google.com/spreadsheets/d/11923uPwbBZFjjGgGUA6NLw09EwE0CqkOc4q9oUmW1yo/edit?usp=sharing"",""พิษณุโลก!L461"")"),144240)</f>
        <v>144240</v>
      </c>
      <c r="M566" s="167"/>
      <c r="N566" s="170">
        <f ca="1">IFERROR(__xludf.DUMMYFUNCTION("IMPORTRANGE(""https://docs.google.com/spreadsheets/d/11923uPwbBZFjjGgGUA6NLw09EwE0CqkOc4q9oUmW1yo/edit?usp=sharing"",""พิษณุโลก!M461"")"),39628.26)</f>
        <v>39628.26</v>
      </c>
      <c r="O566" s="170">
        <f t="shared" ca="1" si="122"/>
        <v>27.473835274542431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IFERROR(__xludf.DUMMYFUNCTION("IMPORTRANGE(""https://docs.google.com/spreadsheets/d/11923uPwbBZFjjGgGUA6NLw09EwE0CqkOc4q9oUmW1yo/edit?usp=sharing"",""พิษณุโลก!L462"")"),0)</f>
        <v>0</v>
      </c>
      <c r="M567" s="170"/>
      <c r="N567" s="170">
        <f ca="1">IFERROR(__xludf.DUMMYFUNCTION("IMPORTRANGE(""https://docs.google.com/spreadsheets/d/11923uPwbBZFjjGgGUA6NLw09EwE0CqkOc4q9oUmW1yo/edit?usp=sharing"",""พิษณุโลก!M462"")"),0)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IFERROR(__xludf.DUMMYFUNCTION("IMPORTRANGE(""https://docs.google.com/spreadsheets/d/11923uPwbBZFjjGgGUA6NLw09EwE0CqkOc4q9oUmW1yo/edit?usp=sharing"",""พิษณุโลก!L463"")"),144240)</f>
        <v>144240</v>
      </c>
      <c r="M568" s="170"/>
      <c r="N568" s="170">
        <f ca="1">IFERROR(__xludf.DUMMYFUNCTION("IMPORTRANGE(""https://docs.google.com/spreadsheets/d/11923uPwbBZFjjGgGUA6NLw09EwE0CqkOc4q9oUmW1yo/edit?usp=sharing"",""พิษณุโลก!M463"")"),39628.26)</f>
        <v>39628.26</v>
      </c>
      <c r="O568" s="170">
        <f t="shared" ca="1" si="122"/>
        <v>27.473835274542431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IFERROR(__xludf.DUMMYFUNCTION("IMPORTRANGE(""https://docs.google.com/spreadsheets/d/11923uPwbBZFjjGgGUA6NLw09EwE0CqkOc4q9oUmW1yo/edit?usp=sharing"",""พิษณุโลก!M464"")"),0)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IFERROR(__xludf.DUMMYFUNCTION("IMPORTRANGE(""https://docs.google.com/spreadsheets/d/11923uPwbBZFjjGgGUA6NLw09EwE0CqkOc4q9oUmW1yo/edit?usp=sharing"",""พิษณุโลก!M465"")"),0)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IFERROR(__xludf.DUMMYFUNCTION("IMPORTRANGE(""https://docs.google.com/spreadsheets/d/11923uPwbBZFjjGgGUA6NLw09EwE0CqkOc4q9oUmW1yo/edit?usp=sharing"",""พิษณุโลก!M466"")"),38128.26)</f>
        <v>38128.26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IFERROR(__xludf.DUMMYFUNCTION("IMPORTRANGE(""https://docs.google.com/spreadsheets/d/11923uPwbBZFjjGgGUA6NLw09EwE0CqkOc4q9oUmW1yo/edit?usp=sharing"",""พิษณุโลก!M467"")"),1500)</f>
        <v>1500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IFERROR(__xludf.DUMMYFUNCTION("IMPORTRANGE(""https://docs.google.com/spreadsheets/d/11923uPwbBZFjjGgGUA6NLw09EwE0CqkOc4q9oUmW1yo/edit?usp=sharing"",""พิษณุโลก!I468"")"),1500)</f>
        <v>1500</v>
      </c>
      <c r="J573" s="422">
        <f ca="1">IFERROR(__xludf.DUMMYFUNCTION("IMPORTRANGE(""https://docs.google.com/spreadsheets/d/11923uPwbBZFjjGgGUA6NLw09EwE0CqkOc4q9oUmW1yo/edit?usp=sharing"",""พิษณุโลก!J468"")"),1796)</f>
        <v>1796</v>
      </c>
      <c r="K573" s="203">
        <f ca="1">IF(I573&gt;0,J573*100/I573,0)</f>
        <v>119.73333333333333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IFERROR(__xludf.DUMMYFUNCTION("IMPORTRANGE(""https://docs.google.com/spreadsheets/d/11923uPwbBZFjjGgGUA6NLw09EwE0CqkOc4q9oUmW1yo/edit?usp=sharing"",""พิษณุโลก!I470"")"),0)</f>
        <v>0</v>
      </c>
      <c r="J575" s="199">
        <f ca="1">IFERROR(__xludf.DUMMYFUNCTION("IMPORTRANGE(""https://docs.google.com/spreadsheets/d/11923uPwbBZFjjGgGUA6NLw09EwE0CqkOc4q9oUmW1yo/edit?usp=sharing"",""พิษณุโลก!J470"")"),5)</f>
        <v>5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IFERROR(__xludf.DUMMYFUNCTION("IMPORTRANGE(""https://docs.google.com/spreadsheets/d/11923uPwbBZFjjGgGUA6NLw09EwE0CqkOc4q9oUmW1yo/edit?usp=sharing"",""พิษณุโลก!I471"")"),0)</f>
        <v>0</v>
      </c>
      <c r="J576" s="199">
        <f ca="1">IFERROR(__xludf.DUMMYFUNCTION("IMPORTRANGE(""https://docs.google.com/spreadsheets/d/11923uPwbBZFjjGgGUA6NLw09EwE0CqkOc4q9oUmW1yo/edit?usp=sharing"",""พิษณุโลก!J471"")"),206)</f>
        <v>206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IFERROR(__xludf.DUMMYFUNCTION("IMPORTRANGE(""https://docs.google.com/spreadsheets/d/11923uPwbBZFjjGgGUA6NLw09EwE0CqkOc4q9oUmW1yo/edit?usp=sharing"",""พิษณุโลก!I472"")"),0)</f>
        <v>0</v>
      </c>
      <c r="J577" s="190">
        <f ca="1">IFERROR(__xludf.DUMMYFUNCTION("IMPORTRANGE(""https://docs.google.com/spreadsheets/d/11923uPwbBZFjjGgGUA6NLw09EwE0CqkOc4q9oUmW1yo/edit?usp=sharing"",""พิษณุโลก!J472"")"),1577)</f>
        <v>1577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IFERROR(__xludf.DUMMYFUNCTION("IMPORTRANGE(""https://docs.google.com/spreadsheets/d/11923uPwbBZFjjGgGUA6NLw09EwE0CqkOc4q9oUmW1yo/edit?usp=sharing"",""พิษณุโลก!I473"")"),0)</f>
        <v>0</v>
      </c>
      <c r="J578" s="199">
        <f ca="1">IFERROR(__xludf.DUMMYFUNCTION("IMPORTRANGE(""https://docs.google.com/spreadsheets/d/11923uPwbBZFjjGgGUA6NLw09EwE0CqkOc4q9oUmW1yo/edit?usp=sharing"",""พิษณุโลก!J473"")"),13)</f>
        <v>13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IFERROR(__xludf.DUMMYFUNCTION("IMPORTRANGE(""https://docs.google.com/spreadsheets/d/11923uPwbBZFjjGgGUA6NLw09EwE0CqkOc4q9oUmW1yo/edit?usp=sharing"",""พิษณุโลก!I474"")"),0)</f>
        <v>0</v>
      </c>
      <c r="J579" s="199">
        <f ca="1">IFERROR(__xludf.DUMMYFUNCTION("IMPORTRANGE(""https://docs.google.com/spreadsheets/d/11923uPwbBZFjjGgGUA6NLw09EwE0CqkOc4q9oUmW1yo/edit?usp=sharing"",""พิษณุโลก!J474"")"),0)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IFERROR(__xludf.DUMMYFUNCTION("IMPORTRANGE(""https://docs.google.com/spreadsheets/d/11923uPwbBZFjjGgGUA6NLw09EwE0CqkOc4q9oUmW1yo/edit?usp=sharing"",""พิษณุโลก!I475"")"),24)</f>
        <v>24</v>
      </c>
      <c r="J580" s="372">
        <f ca="1">IFERROR(__xludf.DUMMYFUNCTION("IMPORTRANGE(""https://docs.google.com/spreadsheets/d/11923uPwbBZFjjGgGUA6NLw09EwE0CqkOc4q9oUmW1yo/edit?usp=sharing"",""พิษณุโลก!J475"")"),3)</f>
        <v>3</v>
      </c>
      <c r="K580" s="373">
        <f ca="1">IF(I580&gt;0,J580*100/I580,0)</f>
        <v>12.5</v>
      </c>
      <c r="L580" s="374">
        <f ca="1">IFERROR(__xludf.DUMMYFUNCTION("IMPORTRANGE(""https://docs.google.com/spreadsheets/d/11923uPwbBZFjjGgGUA6NLw09EwE0CqkOc4q9oUmW1yo/edit?usp=sharing"",""พิษณุโลก!L475"")"),127824)</f>
        <v>127824</v>
      </c>
      <c r="M580" s="374"/>
      <c r="N580" s="374">
        <f ca="1">IFERROR(__xludf.DUMMYFUNCTION("IMPORTRANGE(""https://docs.google.com/spreadsheets/d/11923uPwbBZFjjGgGUA6NLw09EwE0CqkOc4q9oUmW1yo/edit?usp=sharing"",""พิษณุโลก!M475"")"),1220)</f>
        <v>1220</v>
      </c>
      <c r="O580" s="374">
        <f t="shared" ref="O580:O584" ca="1" si="124">+IF(L580&gt;0,N580*100/L580,0)</f>
        <v>0.95443735135811736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IFERROR(__xludf.DUMMYFUNCTION("IMPORTRANGE(""https://docs.google.com/spreadsheets/d/11923uPwbBZFjjGgGUA6NLw09EwE0CqkOc4q9oUmW1yo/edit?usp=sharing"",""พิษณุโลก!L476"")"),0)</f>
        <v>0</v>
      </c>
      <c r="M581" s="166"/>
      <c r="N581" s="170">
        <f ca="1">IFERROR(__xludf.DUMMYFUNCTION("IMPORTRANGE(""https://docs.google.com/spreadsheets/d/11923uPwbBZFjjGgGUA6NLw09EwE0CqkOc4q9oUmW1yo/edit?usp=sharing"",""พิษณุโลก!M476"")"),0)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IFERROR(__xludf.DUMMYFUNCTION("IMPORTRANGE(""https://docs.google.com/spreadsheets/d/11923uPwbBZFjjGgGUA6NLw09EwE0CqkOc4q9oUmW1yo/edit?usp=sharing"",""พิษณุโลก!L477"")"),127824)</f>
        <v>127824</v>
      </c>
      <c r="M582" s="167"/>
      <c r="N582" s="170">
        <f ca="1">IFERROR(__xludf.DUMMYFUNCTION("IMPORTRANGE(""https://docs.google.com/spreadsheets/d/11923uPwbBZFjjGgGUA6NLw09EwE0CqkOc4q9oUmW1yo/edit?usp=sharing"",""พิษณุโลก!M477"")"),1220)</f>
        <v>1220</v>
      </c>
      <c r="O582" s="170">
        <f t="shared" ca="1" si="124"/>
        <v>0.95443735135811736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IFERROR(__xludf.DUMMYFUNCTION("IMPORTRANGE(""https://docs.google.com/spreadsheets/d/11923uPwbBZFjjGgGUA6NLw09EwE0CqkOc4q9oUmW1yo/edit?usp=sharing"",""พิษณุโลก!L478"")"),0)</f>
        <v>0</v>
      </c>
      <c r="M583" s="170"/>
      <c r="N583" s="170">
        <f ca="1">IFERROR(__xludf.DUMMYFUNCTION("IMPORTRANGE(""https://docs.google.com/spreadsheets/d/11923uPwbBZFjjGgGUA6NLw09EwE0CqkOc4q9oUmW1yo/edit?usp=sharing"",""พิษณุโลก!M478"")"),0)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IFERROR(__xludf.DUMMYFUNCTION("IMPORTRANGE(""https://docs.google.com/spreadsheets/d/11923uPwbBZFjjGgGUA6NLw09EwE0CqkOc4q9oUmW1yo/edit?usp=sharing"",""พิษณุโลก!L479"")"),127824)</f>
        <v>127824</v>
      </c>
      <c r="M584" s="170"/>
      <c r="N584" s="170">
        <f ca="1">IFERROR(__xludf.DUMMYFUNCTION("IMPORTRANGE(""https://docs.google.com/spreadsheets/d/11923uPwbBZFjjGgGUA6NLw09EwE0CqkOc4q9oUmW1yo/edit?usp=sharing"",""พิษณุโลก!M479"")"),1220)</f>
        <v>1220</v>
      </c>
      <c r="O584" s="170">
        <f t="shared" ca="1" si="124"/>
        <v>0.95443735135811736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IFERROR(__xludf.DUMMYFUNCTION("IMPORTRANGE(""https://docs.google.com/spreadsheets/d/11923uPwbBZFjjGgGUA6NLw09EwE0CqkOc4q9oUmW1yo/edit?usp=sharing"",""พิษณุโลก!M480"")"),0)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IFERROR(__xludf.DUMMYFUNCTION("IMPORTRANGE(""https://docs.google.com/spreadsheets/d/11923uPwbBZFjjGgGUA6NLw09EwE0CqkOc4q9oUmW1yo/edit?usp=sharing"",""พิษณุโลก!M481"")"),0)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IFERROR(__xludf.DUMMYFUNCTION("IMPORTRANGE(""https://docs.google.com/spreadsheets/d/11923uPwbBZFjjGgGUA6NLw09EwE0CqkOc4q9oUmW1yo/edit?usp=sharing"",""พิษณุโลก!M482"")"),0)</f>
        <v>0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IFERROR(__xludf.DUMMYFUNCTION("IMPORTRANGE(""https://docs.google.com/spreadsheets/d/11923uPwbBZFjjGgGUA6NLw09EwE0CqkOc4q9oUmW1yo/edit?usp=sharing"",""พิษณุโลก!M483"")"),1220)</f>
        <v>1220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IFERROR(__xludf.DUMMYFUNCTION("IMPORTRANGE(""https://docs.google.com/spreadsheets/d/11923uPwbBZFjjGgGUA6NLw09EwE0CqkOc4q9oUmW1yo/edit?usp=sharing"",""พิษณุโลก!I484"")"),24)</f>
        <v>24</v>
      </c>
      <c r="J589" s="189">
        <f ca="1">IFERROR(__xludf.DUMMYFUNCTION("IMPORTRANGE(""https://docs.google.com/spreadsheets/d/11923uPwbBZFjjGgGUA6NLw09EwE0CqkOc4q9oUmW1yo/edit?usp=sharing"",""พิษณุโลก!J484"")"),5)</f>
        <v>5</v>
      </c>
      <c r="K589" s="165">
        <f t="shared" ref="K589:K596" ca="1" si="125">IF(I589&gt;0,J589*100/I589,0)</f>
        <v>20.833333333333332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IFERROR(__xludf.DUMMYFUNCTION("IMPORTRANGE(""https://docs.google.com/spreadsheets/d/11923uPwbBZFjjGgGUA6NLw09EwE0CqkOc4q9oUmW1yo/edit?usp=sharing"",""พิษณุโลก!I485"")"),0)</f>
        <v>0</v>
      </c>
      <c r="J590" s="189">
        <f ca="1">IFERROR(__xludf.DUMMYFUNCTION("IMPORTRANGE(""https://docs.google.com/spreadsheets/d/11923uPwbBZFjjGgGUA6NLw09EwE0CqkOc4q9oUmW1yo/edit?usp=sharing"",""พิษณุโลก!J485"")"),28.33)</f>
        <v>28.33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IFERROR(__xludf.DUMMYFUNCTION("IMPORTRANGE(""https://docs.google.com/spreadsheets/d/11923uPwbBZFjjGgGUA6NLw09EwE0CqkOc4q9oUmW1yo/edit?usp=sharing"",""พิษณุโลก!I486"")"),24)</f>
        <v>24</v>
      </c>
      <c r="J591" s="189">
        <f ca="1">IFERROR(__xludf.DUMMYFUNCTION("IMPORTRANGE(""https://docs.google.com/spreadsheets/d/11923uPwbBZFjjGgGUA6NLw09EwE0CqkOc4q9oUmW1yo/edit?usp=sharing"",""พิษณุโลก!J486"")"),3)</f>
        <v>3</v>
      </c>
      <c r="K591" s="165">
        <f t="shared" ca="1" si="125"/>
        <v>12.5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IFERROR(__xludf.DUMMYFUNCTION("IMPORTRANGE(""https://docs.google.com/spreadsheets/d/11923uPwbBZFjjGgGUA6NLw09EwE0CqkOc4q9oUmW1yo/edit?usp=sharing"",""พิษณุโลก!I487"")"),0)</f>
        <v>0</v>
      </c>
      <c r="J592" s="189">
        <f ca="1">IFERROR(__xludf.DUMMYFUNCTION("IMPORTRANGE(""https://docs.google.com/spreadsheets/d/11923uPwbBZFjjGgGUA6NLw09EwE0CqkOc4q9oUmW1yo/edit?usp=sharing"",""พิษณุโลก!J487"")"),4.76)</f>
        <v>4.76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IFERROR(__xludf.DUMMYFUNCTION("IMPORTRANGE(""https://docs.google.com/spreadsheets/d/11923uPwbBZFjjGgGUA6NLw09EwE0CqkOc4q9oUmW1yo/edit?usp=sharing"",""พิษณุโลก!I488"")"),24)</f>
        <v>24</v>
      </c>
      <c r="J593" s="189">
        <f ca="1">IFERROR(__xludf.DUMMYFUNCTION("IMPORTRANGE(""https://docs.google.com/spreadsheets/d/11923uPwbBZFjjGgGUA6NLw09EwE0CqkOc4q9oUmW1yo/edit?usp=sharing"",""พิษณุโลก!J488"")"),0)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IFERROR(__xludf.DUMMYFUNCTION("IMPORTRANGE(""https://docs.google.com/spreadsheets/d/11923uPwbBZFjjGgGUA6NLw09EwE0CqkOc4q9oUmW1yo/edit?usp=sharing"",""พิษณุโลก!I489"")"),0)</f>
        <v>0</v>
      </c>
      <c r="J594" s="189">
        <f ca="1">IFERROR(__xludf.DUMMYFUNCTION("IMPORTRANGE(""https://docs.google.com/spreadsheets/d/11923uPwbBZFjjGgGUA6NLw09EwE0CqkOc4q9oUmW1yo/edit?usp=sharing"",""พิษณุโลก!J489"")"),0)</f>
        <v>0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IFERROR(__xludf.DUMMYFUNCTION("IMPORTRANGE(""https://docs.google.com/spreadsheets/d/11923uPwbBZFjjGgGUA6NLw09EwE0CqkOc4q9oUmW1yo/edit?usp=sharing"",""พิษณุโลก!I490"")"),24)</f>
        <v>24</v>
      </c>
      <c r="J595" s="189">
        <f ca="1">IFERROR(__xludf.DUMMYFUNCTION("IMPORTRANGE(""https://docs.google.com/spreadsheets/d/11923uPwbBZFjjGgGUA6NLw09EwE0CqkOc4q9oUmW1yo/edit?usp=sharing"",""พิษณุโลก!J490"")"),3)</f>
        <v>3</v>
      </c>
      <c r="K595" s="165">
        <f t="shared" ca="1" si="125"/>
        <v>12.5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IFERROR(__xludf.DUMMYFUNCTION("IMPORTRANGE(""https://docs.google.com/spreadsheets/d/11923uPwbBZFjjGgGUA6NLw09EwE0CqkOc4q9oUmW1yo/edit?usp=sharing"",""พิษณุโลก!I491"")"),0)</f>
        <v>0</v>
      </c>
      <c r="J596" s="242">
        <f ca="1">IFERROR(__xludf.DUMMYFUNCTION("IMPORTRANGE(""https://docs.google.com/spreadsheets/d/11923uPwbBZFjjGgGUA6NLw09EwE0CqkOc4q9oUmW1yo/edit?usp=sharing"",""พิษณุโลก!J491"")"),4.76)</f>
        <v>4.76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IFERROR(__xludf.DUMMYFUNCTION("IMPORTRANGE(""https://docs.google.com/spreadsheets/d/11923uPwbBZFjjGgGUA6NLw09EwE0CqkOc4q9oUmW1yo/edit?usp=sharing"",""พิษณุโลก!I492"")"),50)</f>
        <v>50</v>
      </c>
      <c r="J597" s="489">
        <f ca="1">IFERROR(__xludf.DUMMYFUNCTION("IMPORTRANGE(""https://docs.google.com/spreadsheets/d/11923uPwbBZFjjGgGUA6NLw09EwE0CqkOc4q9oUmW1yo/edit?usp=sharing"",""พิษณุโลก!J492"")"),0)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IFERROR(__xludf.DUMMYFUNCTION("IMPORTRANGE(""https://docs.google.com/spreadsheets/d/11923uPwbBZFjjGgGUA6NLw09EwE0CqkOc4q9oUmW1yo/edit?usp=sharing"",""พิษณุโลก!L492"")"),4550)</f>
        <v>4550</v>
      </c>
      <c r="M597" s="413"/>
      <c r="N597" s="413">
        <f ca="1">IFERROR(__xludf.DUMMYFUNCTION("IMPORTRANGE(""https://docs.google.com/spreadsheets/d/11923uPwbBZFjjGgGUA6NLw09EwE0CqkOc4q9oUmW1yo/edit?usp=sharing"",""พิษณุโลก!M492"")"),400)</f>
        <v>400</v>
      </c>
      <c r="O597" s="413">
        <f t="shared" ref="O597:O601" ca="1" si="126">+IF(L597&gt;0,N597*100/L597,0)</f>
        <v>8.791208791208792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IFERROR(__xludf.DUMMYFUNCTION("IMPORTRANGE(""https://docs.google.com/spreadsheets/d/11923uPwbBZFjjGgGUA6NLw09EwE0CqkOc4q9oUmW1yo/edit?usp=sharing"",""พิษณุโลก!L493"")"),0)</f>
        <v>0</v>
      </c>
      <c r="M598" s="166"/>
      <c r="N598" s="170">
        <f ca="1">IFERROR(__xludf.DUMMYFUNCTION("IMPORTRANGE(""https://docs.google.com/spreadsheets/d/11923uPwbBZFjjGgGUA6NLw09EwE0CqkOc4q9oUmW1yo/edit?usp=sharing"",""พิษณุโลก!M493"")"),0)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IFERROR(__xludf.DUMMYFUNCTION("IMPORTRANGE(""https://docs.google.com/spreadsheets/d/11923uPwbBZFjjGgGUA6NLw09EwE0CqkOc4q9oUmW1yo/edit?usp=sharing"",""พิษณุโลก!L494"")"),4550)</f>
        <v>4550</v>
      </c>
      <c r="M599" s="167"/>
      <c r="N599" s="170">
        <f ca="1">IFERROR(__xludf.DUMMYFUNCTION("IMPORTRANGE(""https://docs.google.com/spreadsheets/d/11923uPwbBZFjjGgGUA6NLw09EwE0CqkOc4q9oUmW1yo/edit?usp=sharing"",""พิษณุโลก!M494"")"),400)</f>
        <v>400</v>
      </c>
      <c r="O599" s="170">
        <f t="shared" ca="1" si="126"/>
        <v>8.791208791208792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IFERROR(__xludf.DUMMYFUNCTION("IMPORTRANGE(""https://docs.google.com/spreadsheets/d/11923uPwbBZFjjGgGUA6NLw09EwE0CqkOc4q9oUmW1yo/edit?usp=sharing"",""พิษณุโลก!L495"")"),0)</f>
        <v>0</v>
      </c>
      <c r="M600" s="170"/>
      <c r="N600" s="170">
        <f ca="1">IFERROR(__xludf.DUMMYFUNCTION("IMPORTRANGE(""https://docs.google.com/spreadsheets/d/11923uPwbBZFjjGgGUA6NLw09EwE0CqkOc4q9oUmW1yo/edit?usp=sharing"",""พิษณุโลก!M495"")"),0)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IFERROR(__xludf.DUMMYFUNCTION("IMPORTRANGE(""https://docs.google.com/spreadsheets/d/11923uPwbBZFjjGgGUA6NLw09EwE0CqkOc4q9oUmW1yo/edit?usp=sharing"",""พิษณุโลก!L496"")"),4550)</f>
        <v>4550</v>
      </c>
      <c r="M601" s="170"/>
      <c r="N601" s="170">
        <f ca="1">IFERROR(__xludf.DUMMYFUNCTION("IMPORTRANGE(""https://docs.google.com/spreadsheets/d/11923uPwbBZFjjGgGUA6NLw09EwE0CqkOc4q9oUmW1yo/edit?usp=sharing"",""พิษณุโลก!M496"")"),400)</f>
        <v>400</v>
      </c>
      <c r="O601" s="170">
        <f t="shared" ca="1" si="126"/>
        <v>8.791208791208792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IFERROR(__xludf.DUMMYFUNCTION("IMPORTRANGE(""https://docs.google.com/spreadsheets/d/11923uPwbBZFjjGgGUA6NLw09EwE0CqkOc4q9oUmW1yo/edit?usp=sharing"",""พิษณุโลก!M497"")"),0)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IFERROR(__xludf.DUMMYFUNCTION("IMPORTRANGE(""https://docs.google.com/spreadsheets/d/11923uPwbBZFjjGgGUA6NLw09EwE0CqkOc4q9oUmW1yo/edit?usp=sharing"",""พิษณุโลก!M498"")"),0)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IFERROR(__xludf.DUMMYFUNCTION("IMPORTRANGE(""https://docs.google.com/spreadsheets/d/11923uPwbBZFjjGgGUA6NLw09EwE0CqkOc4q9oUmW1yo/edit?usp=sharing"",""พิษณุโลก!M499"")"),0)</f>
        <v>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IFERROR(__xludf.DUMMYFUNCTION("IMPORTRANGE(""https://docs.google.com/spreadsheets/d/11923uPwbBZFjjGgGUA6NLw09EwE0CqkOc4q9oUmW1yo/edit?usp=sharing"",""พิษณุโลก!M500"")"),400)</f>
        <v>400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IFERROR(__xludf.DUMMYFUNCTION("IMPORTRANGE(""https://docs.google.com/spreadsheets/d/11923uPwbBZFjjGgGUA6NLw09EwE0CqkOc4q9oUmW1yo/edit?usp=sharing"",""พิษณุโลก!J502"")"),0)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IFERROR(__xludf.DUMMYFUNCTION("IMPORTRANGE(""https://docs.google.com/spreadsheets/d/11923uPwbBZFjjGgGUA6NLw09EwE0CqkOc4q9oUmW1yo/edit?usp=sharing"",""พิษณุโลก!J503"")"),1)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IFERROR(__xludf.DUMMYFUNCTION("IMPORTRANGE(""https://docs.google.com/spreadsheets/d/11923uPwbBZFjjGgGUA6NLw09EwE0CqkOc4q9oUmW1yo/edit?usp=sharing"",""พิษณุโลก!J166"")"),0)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IFERROR(__xludf.DUMMYFUNCTION("IMPORTRANGE(""https://docs.google.com/spreadsheets/d/11923uPwbBZFjjGgGUA6NLw09EwE0CqkOc4q9oUmW1yo/edit?usp=sharing"",""พิษณุโลก!J166"")"),0)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IFERROR(__xludf.DUMMYFUNCTION("IMPORTRANGE(""https://docs.google.com/spreadsheets/d/11923uPwbBZFjjGgGUA6NLw09EwE0CqkOc4q9oUmW1yo/edit?usp=sharing"",""พิษณุโลก!I506"")"),50)</f>
        <v>50</v>
      </c>
      <c r="J611" s="164">
        <f ca="1">IFERROR(__xludf.DUMMYFUNCTION("IMPORTRANGE(""https://docs.google.com/spreadsheets/d/11923uPwbBZFjjGgGUA6NLw09EwE0CqkOc4q9oUmW1yo/edit?usp=sharing"",""พิษณุโลก!J506"")"),0)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IFERROR(__xludf.DUMMYFUNCTION("IMPORTRANGE(""https://docs.google.com/spreadsheets/d/11923uPwbBZFjjGgGUA6NLw09EwE0CqkOc4q9oUmW1yo/edit?usp=sharing"",""พิษณุโลก!I507"")"),0)</f>
        <v>0</v>
      </c>
      <c r="J612" s="199">
        <f ca="1">IFERROR(__xludf.DUMMYFUNCTION("IMPORTRANGE(""https://docs.google.com/spreadsheets/d/11923uPwbBZFjjGgGUA6NLw09EwE0CqkOc4q9oUmW1yo/edit?usp=sharing"",""พิษณุโลก!J507"")"),41)</f>
        <v>41</v>
      </c>
      <c r="K612" s="165">
        <f t="shared" ca="1" si="127"/>
        <v>82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IFERROR(__xludf.DUMMYFUNCTION("IMPORTRANGE(""https://docs.google.com/spreadsheets/d/11923uPwbBZFjjGgGUA6NLw09EwE0CqkOc4q9oUmW1yo/edit?usp=sharing"",""พิษณุโลก!I508"")"),0)</f>
        <v>0</v>
      </c>
      <c r="J613" s="199">
        <f ca="1">IFERROR(__xludf.DUMMYFUNCTION("IMPORTRANGE(""https://docs.google.com/spreadsheets/d/11923uPwbBZFjjGgGUA6NLw09EwE0CqkOc4q9oUmW1yo/edit?usp=sharing"",""พิษณุโลก!J508"")"),41)</f>
        <v>41</v>
      </c>
      <c r="K613" s="165">
        <f t="shared" ca="1" si="127"/>
        <v>82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IFERROR(__xludf.DUMMYFUNCTION("IMPORTRANGE(""https://docs.google.com/spreadsheets/d/11923uPwbBZFjjGgGUA6NLw09EwE0CqkOc4q9oUmW1yo/edit?usp=sharing"",""พิษณุโลก!I509"")"),0)</f>
        <v>0</v>
      </c>
      <c r="J614" s="199">
        <f ca="1">IFERROR(__xludf.DUMMYFUNCTION("IMPORTRANGE(""https://docs.google.com/spreadsheets/d/11923uPwbBZFjjGgGUA6NLw09EwE0CqkOc4q9oUmW1yo/edit?usp=sharing"",""พิษณุโลก!J509"")"),41)</f>
        <v>41</v>
      </c>
      <c r="K614" s="165">
        <f t="shared" ca="1" si="127"/>
        <v>82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IFERROR(__xludf.DUMMYFUNCTION("IMPORTRANGE(""https://docs.google.com/spreadsheets/d/11923uPwbBZFjjGgGUA6NLw09EwE0CqkOc4q9oUmW1yo/edit?usp=sharing"",""พิษณุโลก!I510"")"),0)</f>
        <v>0</v>
      </c>
      <c r="J615" s="199">
        <f ca="1">IFERROR(__xludf.DUMMYFUNCTION("IMPORTRANGE(""https://docs.google.com/spreadsheets/d/11923uPwbBZFjjGgGUA6NLw09EwE0CqkOc4q9oUmW1yo/edit?usp=sharing"",""พิษณุโลก!J510"")"),41)</f>
        <v>41</v>
      </c>
      <c r="K615" s="165">
        <f t="shared" ca="1" si="127"/>
        <v>82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IFERROR(__xludf.DUMMYFUNCTION("IMPORTRANGE(""https://docs.google.com/spreadsheets/d/11923uPwbBZFjjGgGUA6NLw09EwE0CqkOc4q9oUmW1yo/edit?usp=sharing"",""พิษณุโลก!I511"")"),0)</f>
        <v>0</v>
      </c>
      <c r="J616" s="199">
        <f ca="1">IFERROR(__xludf.DUMMYFUNCTION("IMPORTRANGE(""https://docs.google.com/spreadsheets/d/11923uPwbBZFjjGgGUA6NLw09EwE0CqkOc4q9oUmW1yo/edit?usp=sharing"",""พิษณุโลก!J511"")"),0)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IFERROR(__xludf.DUMMYFUNCTION("IMPORTRANGE(""https://docs.google.com/spreadsheets/d/11923uPwbBZFjjGgGUA6NLw09EwE0CqkOc4q9oUmW1yo/edit?usp=sharing"",""พิษณุโลก!I512"")"),0)</f>
        <v>0</v>
      </c>
      <c r="J617" s="189">
        <f ca="1">IFERROR(__xludf.DUMMYFUNCTION("IMPORTRANGE(""https://docs.google.com/spreadsheets/d/11923uPwbBZFjjGgGUA6NLw09EwE0CqkOc4q9oUmW1yo/edit?usp=sharing"",""พิษณุโลก!J512"")"),0)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IFERROR(__xludf.DUMMYFUNCTION("IMPORTRANGE(""https://docs.google.com/spreadsheets/d/11923uPwbBZFjjGgGUA6NLw09EwE0CqkOc4q9oUmW1yo/edit?usp=sharing"",""พิษณุโลก!I513"")"),0)</f>
        <v>0</v>
      </c>
      <c r="J618" s="190">
        <f ca="1">IFERROR(__xludf.DUMMYFUNCTION("IMPORTRANGE(""https://docs.google.com/spreadsheets/d/11923uPwbBZFjjGgGUA6NLw09EwE0CqkOc4q9oUmW1yo/edit?usp=sharing"",""พิษณุโลก!J513"")"),0)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IFERROR(__xludf.DUMMYFUNCTION("IMPORTRANGE(""https://docs.google.com/spreadsheets/d/11923uPwbBZFjjGgGUA6NLw09EwE0CqkOc4q9oUmW1yo/edit?usp=sharing"",""พิษณุโลก!I514"")"),0)</f>
        <v>0</v>
      </c>
      <c r="J619" s="190">
        <f ca="1">IFERROR(__xludf.DUMMYFUNCTION("IMPORTRANGE(""https://docs.google.com/spreadsheets/d/11923uPwbBZFjjGgGUA6NLw09EwE0CqkOc4q9oUmW1yo/edit?usp=sharing"",""พิษณุโลก!J514"")"),0)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IFERROR(__xludf.DUMMYFUNCTION("IMPORTRANGE(""https://docs.google.com/spreadsheets/d/11923uPwbBZFjjGgGUA6NLw09EwE0CqkOc4q9oUmW1yo/edit?usp=sharing"",""พิษณุโลก!I515"")"),32)</f>
        <v>32</v>
      </c>
      <c r="J620" s="204">
        <f ca="1">IFERROR(__xludf.DUMMYFUNCTION("IMPORTRANGE(""https://docs.google.com/spreadsheets/d/11923uPwbBZFjjGgGUA6NLw09EwE0CqkOc4q9oUmW1yo/edit?usp=sharing"",""พิษณุโลก!J515"")"),0)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IFERROR(__xludf.DUMMYFUNCTION("IMPORTRANGE(""https://docs.google.com/spreadsheets/d/11923uPwbBZFjjGgGUA6NLw09EwE0CqkOc4q9oUmW1yo/edit?usp=sharing"",""พิษณุโลก!I516"")"),0)</f>
        <v>0</v>
      </c>
      <c r="J621" s="204">
        <f ca="1">IFERROR(__xludf.DUMMYFUNCTION("IMPORTRANGE(""https://docs.google.com/spreadsheets/d/11923uPwbBZFjjGgGUA6NLw09EwE0CqkOc4q9oUmW1yo/edit?usp=sharing"",""พิษณุโลก!J516"")"),0)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IFERROR(__xludf.DUMMYFUNCTION("IMPORTRANGE(""https://docs.google.com/spreadsheets/d/11923uPwbBZFjjGgGUA6NLw09EwE0CqkOc4q9oUmW1yo/edit?usp=sharing"",""พิษณุโลก!I517"")"),0)</f>
        <v>0</v>
      </c>
      <c r="J622" s="190">
        <f ca="1">IFERROR(__xludf.DUMMYFUNCTION("IMPORTRANGE(""https://docs.google.com/spreadsheets/d/11923uPwbBZFjjGgGUA6NLw09EwE0CqkOc4q9oUmW1yo/edit?usp=sharing"",""พิษณุโลก!J517"")"),0)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IFERROR(__xludf.DUMMYFUNCTION("IMPORTRANGE(""https://docs.google.com/spreadsheets/d/11923uPwbBZFjjGgGUA6NLw09EwE0CqkOc4q9oUmW1yo/edit?usp=sharing"",""พิษณุโลก!I518"")"),0)</f>
        <v>0</v>
      </c>
      <c r="J623" s="190">
        <f ca="1">IFERROR(__xludf.DUMMYFUNCTION("IMPORTRANGE(""https://docs.google.com/spreadsheets/d/11923uPwbBZFjjGgGUA6NLw09EwE0CqkOc4q9oUmW1yo/edit?usp=sharing"",""พิษณุโลก!J518"")"),0)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IFERROR(__xludf.DUMMYFUNCTION("IMPORTRANGE(""https://docs.google.com/spreadsheets/d/11923uPwbBZFjjGgGUA6NLw09EwE0CqkOc4q9oUmW1yo/edit?usp=sharing"",""พิษณุโลก!I519"")"),0)</f>
        <v>0</v>
      </c>
      <c r="J624" s="189">
        <f ca="1">IFERROR(__xludf.DUMMYFUNCTION("IMPORTRANGE(""https://docs.google.com/spreadsheets/d/11923uPwbBZFjjGgGUA6NLw09EwE0CqkOc4q9oUmW1yo/edit?usp=sharing"",""พิษณุโลก!J519"")"),0)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IFERROR(__xludf.DUMMYFUNCTION("IMPORTRANGE(""https://docs.google.com/spreadsheets/d/11923uPwbBZFjjGgGUA6NLw09EwE0CqkOc4q9oUmW1yo/edit?usp=sharing"",""พิษณุโลก!I520"")"),0)</f>
        <v>0</v>
      </c>
      <c r="J625" s="190">
        <f ca="1">IFERROR(__xludf.DUMMYFUNCTION("IMPORTRANGE(""https://docs.google.com/spreadsheets/d/11923uPwbBZFjjGgGUA6NLw09EwE0CqkOc4q9oUmW1yo/edit?usp=sharing"",""พิษณุโลก!J520"")"),0)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IFERROR(__xludf.DUMMYFUNCTION("IMPORTRANGE(""https://docs.google.com/spreadsheets/d/11923uPwbBZFjjGgGUA6NLw09EwE0CqkOc4q9oUmW1yo/edit?usp=sharing"",""พิษณุโลก!I521"")"),0)</f>
        <v>0</v>
      </c>
      <c r="J626" s="190">
        <f ca="1">IFERROR(__xludf.DUMMYFUNCTION("IMPORTRANGE(""https://docs.google.com/spreadsheets/d/11923uPwbBZFjjGgGUA6NLw09EwE0CqkOc4q9oUmW1yo/edit?usp=sharing"",""พิษณุโลก!J521"")"),0)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42">
        <f ca="1">IFERROR(__xludf.DUMMYFUNCTION("IMPORTRANGE(""https://docs.google.com/spreadsheets/d/11923uPwbBZFjjGgGUA6NLw09EwE0CqkOc4q9oUmW1yo/edit?usp=sharing"",""พิษณุโลก!J523"")"),2033107.52)</f>
        <v>2033107.52</v>
      </c>
      <c r="K628" s="343">
        <f t="shared" ref="K628:K635" ca="1" si="129">IF(I628&gt;0,J628*100/I628,0)</f>
        <v>52.262253139526734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IFERROR(__xludf.DUMMYFUNCTION("IMPORTRANGE(""https://docs.google.com/spreadsheets/d/11923uPwbBZFjjGgGUA6NLw09EwE0CqkOc4q9oUmW1yo/edit?usp=sharing"",""พิษณุโลก!I524"")"),290)</f>
        <v>290</v>
      </c>
      <c r="J629" s="342">
        <f ca="1">IFERROR(__xludf.DUMMYFUNCTION("IMPORTRANGE(""https://docs.google.com/spreadsheets/d/11923uPwbBZFjjGgGUA6NLw09EwE0CqkOc4q9oUmW1yo/edit?usp=sharing"",""พิษณุโลก!J524"")"),152)</f>
        <v>152</v>
      </c>
      <c r="K629" s="343">
        <f t="shared" ca="1" si="129"/>
        <v>52.413793103448278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42">
        <f ca="1">IFERROR(__xludf.DUMMYFUNCTION("IMPORTRANGE(""https://docs.google.com/spreadsheets/d/11923uPwbBZFjjGgGUA6NLw09EwE0CqkOc4q9oUmW1yo/edit?usp=sharing"",""พิษณุโลก!J525"")"),490245.02)</f>
        <v>490245.02</v>
      </c>
      <c r="K630" s="343">
        <f t="shared" ca="1" si="129"/>
        <v>19.137246233194443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IFERROR(__xludf.DUMMYFUNCTION("IMPORTRANGE(""https://docs.google.com/spreadsheets/d/11923uPwbBZFjjGgGUA6NLw09EwE0CqkOc4q9oUmW1yo/edit?usp=sharing"",""พิษณุโลก!I526"")"),116)</f>
        <v>116</v>
      </c>
      <c r="J631" s="342">
        <f ca="1">IFERROR(__xludf.DUMMYFUNCTION("IMPORTRANGE(""https://docs.google.com/spreadsheets/d/11923uPwbBZFjjGgGUA6NLw09EwE0CqkOc4q9oUmW1yo/edit?usp=sharing"",""พิษณุโลก!J526"")"),90)</f>
        <v>90</v>
      </c>
      <c r="K631" s="343">
        <f t="shared" ca="1" si="129"/>
        <v>77.58620689655173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IFERROR(__xludf.DUMMYFUNCTION("IMPORTRANGE(""https://docs.google.com/spreadsheets/d/11923uPwbBZFjjGgGUA6NLw09EwE0CqkOc4q9oUmW1yo/edit?usp=sharing"",""พิษณุโลก!I527"")"),0)</f>
        <v>0</v>
      </c>
      <c r="J632" s="342">
        <f ca="1">IFERROR(__xludf.DUMMYFUNCTION("IMPORTRANGE(""https://docs.google.com/spreadsheets/d/11923uPwbBZFjjGgGUA6NLw09EwE0CqkOc4q9oUmW1yo/edit?usp=sharing"",""พิษณุโลก!J527"")"),0)</f>
        <v>0</v>
      </c>
      <c r="K632" s="343">
        <f t="shared" ca="1" si="129"/>
        <v>0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IFERROR(__xludf.DUMMYFUNCTION("IMPORTRANGE(""https://docs.google.com/spreadsheets/d/11923uPwbBZFjjGgGUA6NLw09EwE0CqkOc4q9oUmW1yo/edit?usp=sharing"",""พิษณุโลก!I528"")"),0)</f>
        <v>0</v>
      </c>
      <c r="J633" s="342">
        <f ca="1">IFERROR(__xludf.DUMMYFUNCTION("IMPORTRANGE(""https://docs.google.com/spreadsheets/d/11923uPwbBZFjjGgGUA6NLw09EwE0CqkOc4q9oUmW1yo/edit?usp=sharing"",""พิษณุโลก!J528"")"),0)</f>
        <v>0</v>
      </c>
      <c r="K633" s="343">
        <f t="shared" ca="1" si="129"/>
        <v>0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IFERROR(__xludf.DUMMYFUNCTION("IMPORTRANGE(""https://docs.google.com/spreadsheets/d/11923uPwbBZFjjGgGUA6NLw09EwE0CqkOc4q9oUmW1yo/edit?usp=sharing"",""พิษณุโลก!I529"")"),4000000)</f>
        <v>4000000</v>
      </c>
      <c r="J634" s="342">
        <f ca="1">IFERROR(__xludf.DUMMYFUNCTION("IMPORTRANGE(""https://docs.google.com/spreadsheets/d/11923uPwbBZFjjGgGUA6NLw09EwE0CqkOc4q9oUmW1yo/edit?usp=sharing"",""พิษณุโลก!J529"")"),2260000)</f>
        <v>2260000</v>
      </c>
      <c r="K634" s="343">
        <f t="shared" ca="1" si="129"/>
        <v>56.5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IFERROR(__xludf.DUMMYFUNCTION("IMPORTRANGE(""https://docs.google.com/spreadsheets/d/11923uPwbBZFjjGgGUA6NLw09EwE0CqkOc4q9oUmW1yo/edit?usp=sharing"",""พิษณุโลก!I530"")"),100)</f>
        <v>100</v>
      </c>
      <c r="J635" s="506">
        <f ca="1">IFERROR(__xludf.DUMMYFUNCTION("IMPORTRANGE(""https://docs.google.com/spreadsheets/d/11923uPwbBZFjjGgGUA6NLw09EwE0CqkOc4q9oUmW1yo/edit?usp=sharing"",""พิษณุโลก!J530"")"),61)</f>
        <v>61</v>
      </c>
      <c r="K635" s="488">
        <f t="shared" ca="1" si="129"/>
        <v>61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IFERROR(__xludf.DUMMYFUNCTION("IMPORTRANGE(""https://docs.google.com/spreadsheets/d/11923uPwbBZFjjGgGUA6NLw09EwE0CqkOc4q9oUmW1yo/edit?usp=sharing"",""พิษณุโลก!J541"")"),0)</f>
        <v>0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IFERROR(__xludf.DUMMYFUNCTION("IMPORTRANGE(""https://docs.google.com/spreadsheets/d/11923uPwbBZFjjGgGUA6NLw09EwE0CqkOc4q9oUmW1yo/edit?usp=sharing"",""พิษณุโลก!J542"")"),0)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IFERROR(__xludf.DUMMYFUNCTION("IMPORTRANGE(""https://docs.google.com/spreadsheets/d/11923uPwbBZFjjGgGUA6NLw09EwE0CqkOc4q9oUmW1yo/edit?usp=sharing"",""พิษณุโลก!I543"")"),0)</f>
        <v>0</v>
      </c>
      <c r="J648" s="537">
        <f ca="1">IFERROR(__xludf.DUMMYFUNCTION("IMPORTRANGE(""https://docs.google.com/spreadsheets/d/11923uPwbBZFjjGgGUA6NLw09EwE0CqkOc4q9oUmW1yo/edit?usp=sharing"",""พิษณุโลก!J543"")"),0)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IFERROR(__xludf.DUMMYFUNCTION("IMPORTRANGE(""https://docs.google.com/spreadsheets/d/11923uPwbBZFjjGgGUA6NLw09EwE0CqkOc4q9oUmW1yo/edit?usp=sharing"",""พิษณุโลก!L543"")"),0)</f>
        <v>0</v>
      </c>
      <c r="M648" s="522"/>
      <c r="N648" s="539">
        <f ca="1">IFERROR(__xludf.DUMMYFUNCTION("IMPORTRANGE(""https://docs.google.com/spreadsheets/d/11923uPwbBZFjjGgGUA6NLw09EwE0CqkOc4q9oUmW1yo/edit?usp=sharing"",""พิษณุโลก!M543"")"),0)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IFERROR(__xludf.DUMMYFUNCTION("IMPORTRANGE(""https://docs.google.com/spreadsheets/d/11923uPwbBZFjjGgGUA6NLw09EwE0CqkOc4q9oUmW1yo/edit?usp=sharing"",""พิษณุโลก!I544"")"),0)</f>
        <v>0</v>
      </c>
      <c r="J649" s="537">
        <f ca="1">IFERROR(__xludf.DUMMYFUNCTION("IMPORTRANGE(""https://docs.google.com/spreadsheets/d/11923uPwbBZFjjGgGUA6NLw09EwE0CqkOc4q9oUmW1yo/edit?usp=sharing"",""พิษณุโลก!J544"")"),0)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IFERROR(__xludf.DUMMYFUNCTION("IMPORTRANGE(""https://docs.google.com/spreadsheets/d/11923uPwbBZFjjGgGUA6NLw09EwE0CqkOc4q9oUmW1yo/edit?usp=sharing"",""พิษณุโลก!L544"")"),0)</f>
        <v>0</v>
      </c>
      <c r="M649" s="522"/>
      <c r="N649" s="539">
        <f ca="1">IFERROR(__xludf.DUMMYFUNCTION("IMPORTRANGE(""https://docs.google.com/spreadsheets/d/11923uPwbBZFjjGgGUA6NLw09EwE0CqkOc4q9oUmW1yo/edit?usp=sharing"",""พิษณุโลก!M544"")"),0)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IFERROR(__xludf.DUMMYFUNCTION("IMPORTRANGE(""https://docs.google.com/spreadsheets/d/11923uPwbBZFjjGgGUA6NLw09EwE0CqkOc4q9oUmW1yo/edit?usp=sharing"",""พิษณุโลก!I545"")"),0)</f>
        <v>0</v>
      </c>
      <c r="J650" s="537">
        <f ca="1">IFERROR(__xludf.DUMMYFUNCTION("IMPORTRANGE(""https://docs.google.com/spreadsheets/d/11923uPwbBZFjjGgGUA6NLw09EwE0CqkOc4q9oUmW1yo/edit?usp=sharing"",""พิษณุโลก!J545"")"),0)</f>
        <v>0</v>
      </c>
      <c r="K650" s="538">
        <f t="shared" ca="1" si="131"/>
        <v>0</v>
      </c>
      <c r="L650" s="523">
        <f ca="1">IFERROR(__xludf.DUMMYFUNCTION("IMPORTRANGE(""https://docs.google.com/spreadsheets/d/11923uPwbBZFjjGgGUA6NLw09EwE0CqkOc4q9oUmW1yo/edit?usp=sharing"",""พิษณุโลก!L545"")"),0)</f>
        <v>0</v>
      </c>
      <c r="M650" s="522"/>
      <c r="N650" s="539">
        <f ca="1">IFERROR(__xludf.DUMMYFUNCTION("IMPORTRANGE(""https://docs.google.com/spreadsheets/d/11923uPwbBZFjjGgGUA6NLw09EwE0CqkOc4q9oUmW1yo/edit?usp=sharing"",""พิษณุโลก!M545"")"),0)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IFERROR(__xludf.DUMMYFUNCTION("IMPORTRANGE(""https://docs.google.com/spreadsheets/d/11923uPwbBZFjjGgGUA6NLw09EwE0CqkOc4q9oUmW1yo/edit?usp=sharing"",""พิษณุโลก!I546"")"),0)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IFERROR(__xludf.DUMMYFUNCTION("IMPORTRANGE(""https://docs.google.com/spreadsheets/d/11923uPwbBZFjjGgGUA6NLw09EwE0CqkOc4q9oUmW1yo/edit?usp=sharing"",""พิษณุโลก!L546"")"),0)</f>
        <v>0</v>
      </c>
      <c r="M651" s="522"/>
      <c r="N651" s="539">
        <f ca="1">IFERROR(__xludf.DUMMYFUNCTION("IMPORTRANGE(""https://docs.google.com/spreadsheets/d/11923uPwbBZFjjGgGUA6NLw09EwE0CqkOc4q9oUmW1yo/edit?usp=sharing"",""พิษณุโลก!M546"")"),0)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IFERROR(__xludf.DUMMYFUNCTION("IMPORTRANGE(""https://docs.google.com/spreadsheets/d/11923uPwbBZFjjGgGUA6NLw09EwE0CqkOc4q9oUmW1yo/edit?usp=sharing"",""พิษณุโลก!J547"")"),0)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IFERROR(__xludf.DUMMYFUNCTION("IMPORTRANGE(""https://docs.google.com/spreadsheets/d/11923uPwbBZFjjGgGUA6NLw09EwE0CqkOc4q9oUmW1yo/edit?usp=sharing"",""พิษณุโลก!J548"")"),0)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IFERROR(__xludf.DUMMYFUNCTION("IMPORTRANGE(""https://docs.google.com/spreadsheets/d/11923uPwbBZFjjGgGUA6NLw09EwE0CqkOc4q9oUmW1yo/edit?usp=sharing"",""พิษณุโลก!J550"")"),0)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IFERROR(__xludf.DUMMYFUNCTION("IMPORTRANGE(""https://docs.google.com/spreadsheets/d/11923uPwbBZFjjGgGUA6NLw09EwE0CqkOc4q9oUmW1yo/edit?usp=sharing"",""พิษณุโลก!J551"")"),0)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IFERROR(__xludf.DUMMYFUNCTION("IMPORTRANGE(""https://docs.google.com/spreadsheets/d/11923uPwbBZFjjGgGUA6NLw09EwE0CqkOc4q9oUmW1yo/edit?usp=sharing"",""พิษณุโลก!J552"")"),0)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IFERROR(__xludf.DUMMYFUNCTION("IMPORTRANGE(""https://docs.google.com/spreadsheets/d/11923uPwbBZFjjGgGUA6NLw09EwE0CqkOc4q9oUmW1yo/edit?usp=sharing"",""พิษณุโลก!J553"")"),0)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IFERROR(__xludf.DUMMYFUNCTION("IMPORTRANGE(""https://docs.google.com/spreadsheets/d/11923uPwbBZFjjGgGUA6NLw09EwE0CqkOc4q9oUmW1yo/edit?usp=sharing"",""พิษณุโลก!J554"")"),0)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IFERROR(__xludf.DUMMYFUNCTION("IMPORTRANGE(""https://docs.google.com/spreadsheets/d/11923uPwbBZFjjGgGUA6NLw09EwE0CqkOc4q9oUmW1yo/edit?usp=sharing"",""พิษณุโลก!J555"")"),0)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IFERROR(__xludf.DUMMYFUNCTION("IMPORTRANGE(""https://docs.google.com/spreadsheets/d/11923uPwbBZFjjGgGUA6NLw09EwE0CqkOc4q9oUmW1yo/edit?usp=sharing"",""พิษณุโลก!J556"")"),0)</f>
        <v>0</v>
      </c>
      <c r="K661" s="538"/>
      <c r="L661" s="523">
        <f ca="1">IFERROR(__xludf.DUMMYFUNCTION("IMPORTRANGE(""https://docs.google.com/spreadsheets/d/11923uPwbBZFjjGgGUA6NLw09EwE0CqkOc4q9oUmW1yo/edit?usp=sharing"",""พิษณุโลก!L556"")"),0)</f>
        <v>0</v>
      </c>
      <c r="M661" s="522"/>
      <c r="N661" s="539">
        <f ca="1">IFERROR(__xludf.DUMMYFUNCTION("IMPORTRANGE(""https://docs.google.com/spreadsheets/d/11923uPwbBZFjjGgGUA6NLw09EwE0CqkOc4q9oUmW1yo/edit?usp=sharing"",""พิษณุโลก!M556"")"),0)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IFERROR(__xludf.DUMMYFUNCTION("IMPORTRANGE(""https://docs.google.com/spreadsheets/d/11923uPwbBZFjjGgGUA6NLw09EwE0CqkOc4q9oUmW1yo/edit?usp=sharing"",""พิษณุโลก!J557"")"),0)</f>
        <v>0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IFERROR(__xludf.DUMMYFUNCTION("IMPORTRANGE(""https://docs.google.com/spreadsheets/d/11923uPwbBZFjjGgGUA6NLw09EwE0CqkOc4q9oUmW1yo/edit?usp=sharing"",""พิษณุโลก!I558"")"),0)</f>
        <v>0</v>
      </c>
      <c r="J663" s="537">
        <f ca="1">IFERROR(__xludf.DUMMYFUNCTION("IMPORTRANGE(""https://docs.google.com/spreadsheets/d/11923uPwbBZFjjGgGUA6NLw09EwE0CqkOc4q9oUmW1yo/edit?usp=sharing"",""พิษณุโลก!J558"")"),0)</f>
        <v>0</v>
      </c>
      <c r="K663" s="538">
        <f ca="1">IF(I663&gt;0,J663*100/I663,0)</f>
        <v>0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IFERROR(__xludf.DUMMYFUNCTION("IMPORTRANGE(""https://docs.google.com/spreadsheets/d/11923uPwbBZFjjGgGUA6NLw09EwE0CqkOc4q9oUmW1yo/edit?usp=sharing"",""พิษณุโลก!I560"")"),0)</f>
        <v>0</v>
      </c>
      <c r="J665" s="537">
        <f ca="1">IFERROR(__xludf.DUMMYFUNCTION("IMPORTRANGE(""https://docs.google.com/spreadsheets/d/11923uPwbBZFjjGgGUA6NLw09EwE0CqkOc4q9oUmW1yo/edit?usp=sharing"",""พิษณุโลก!J560"")"),0)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IFERROR(__xludf.DUMMYFUNCTION("IMPORTRANGE(""https://docs.google.com/spreadsheets/d/11923uPwbBZFjjGgGUA6NLw09EwE0CqkOc4q9oUmW1yo/edit?usp=sharing"",""พิษณุโลก!L560"")"),0)</f>
        <v>0</v>
      </c>
      <c r="M665" s="522"/>
      <c r="N665" s="539">
        <f ca="1">IFERROR(__xludf.DUMMYFUNCTION("IMPORTRANGE(""https://docs.google.com/spreadsheets/d/11923uPwbBZFjjGgGUA6NLw09EwE0CqkOc4q9oUmW1yo/edit?usp=sharing"",""พิษณุโลก!M560"")"),0)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IFERROR(__xludf.DUMMYFUNCTION("IMPORTRANGE(""https://docs.google.com/spreadsheets/d/11923uPwbBZFjjGgGUA6NLw09EwE0CqkOc4q9oUmW1yo/edit?usp=sharing"",""พิษณุโลก!J561"")"),0)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IFERROR(__xludf.DUMMYFUNCTION("IMPORTRANGE(""https://docs.google.com/spreadsheets/d/11923uPwbBZFjjGgGUA6NLw09EwE0CqkOc4q9oUmW1yo/edit?usp=sharing"",""พิษณุโลก!J562"")"),0)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IFERROR(__xludf.DUMMYFUNCTION("IMPORTRANGE(""https://docs.google.com/spreadsheets/d/11923uPwbBZFjjGgGUA6NLw09EwE0CqkOc4q9oUmW1yo/edit?usp=sharing"",""พิษณุโลก!I563"")"),0)</f>
        <v>0</v>
      </c>
      <c r="J668" s="537">
        <f ca="1">IFERROR(__xludf.DUMMYFUNCTION("IMPORTRANGE(""https://docs.google.com/spreadsheets/d/11923uPwbBZFjjGgGUA6NLw09EwE0CqkOc4q9oUmW1yo/edit?usp=sharing"",""พิษณุโลก!J563"")"),0)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IFERROR(__xludf.DUMMYFUNCTION("IMPORTRANGE(""https://docs.google.com/spreadsheets/d/11923uPwbBZFjjGgGUA6NLw09EwE0CqkOc4q9oUmW1yo/edit?usp=sharing"",""พิษณุโลก!L563"")"),0)</f>
        <v>0</v>
      </c>
      <c r="M668" s="522"/>
      <c r="N668" s="539">
        <f ca="1">IFERROR(__xludf.DUMMYFUNCTION("IMPORTRANGE(""https://docs.google.com/spreadsheets/d/11923uPwbBZFjjGgGUA6NLw09EwE0CqkOc4q9oUmW1yo/edit?usp=sharing"",""พิษณุโลก!M563"")"),0)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IFERROR(__xludf.DUMMYFUNCTION("IMPORTRANGE(""https://docs.google.com/spreadsheets/d/11923uPwbBZFjjGgGUA6NLw09EwE0CqkOc4q9oUmW1yo/edit?usp=sharing"",""พิษณุโลก!J564"")"),0)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IFERROR(__xludf.DUMMYFUNCTION("IMPORTRANGE(""https://docs.google.com/spreadsheets/d/11923uPwbBZFjjGgGUA6NLw09EwE0CqkOc4q9oUmW1yo/edit?usp=sharing"",""พิษณุโลก!J565"")"),0)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IFERROR(__xludf.DUMMYFUNCTION("IMPORTRANGE(""https://docs.google.com/spreadsheets/d/11923uPwbBZFjjGgGUA6NLw09EwE0CqkOc4q9oUmW1yo/edit?usp=sharing"",""พิษณุโลก!I566"")"),0)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IFERROR(__xludf.DUMMYFUNCTION("IMPORTRANGE(""https://docs.google.com/spreadsheets/d/11923uPwbBZFjjGgGUA6NLw09EwE0CqkOc4q9oUmW1yo/edit?usp=sharing"",""พิษณุโลก!L566"")"),0)</f>
        <v>0</v>
      </c>
      <c r="M671" s="522"/>
      <c r="N671" s="539">
        <f ca="1">IFERROR(__xludf.DUMMYFUNCTION("IMPORTRANGE(""https://docs.google.com/spreadsheets/d/11923uPwbBZFjjGgGUA6NLw09EwE0CqkOc4q9oUmW1yo/edit?usp=sharing"",""พิษณุโลก!M566"")"),0)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IFERROR(__xludf.DUMMYFUNCTION("IMPORTRANGE(""https://docs.google.com/spreadsheets/d/11923uPwbBZFjjGgGUA6NLw09EwE0CqkOc4q9oUmW1yo/edit?usp=sharing"",""พิษณุโลก!J567"")"),0)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IFERROR(__xludf.DUMMYFUNCTION("IMPORTRANGE(""https://docs.google.com/spreadsheets/d/11923uPwbBZFjjGgGUA6NLw09EwE0CqkOc4q9oUmW1yo/edit?usp=sharing"",""พิษณุโลก!J568"")"),0)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IFERROR(__xludf.DUMMYFUNCTION("IMPORTRANGE(""https://docs.google.com/spreadsheets/d/11923uPwbBZFjjGgGUA6NLw09EwE0CqkOc4q9oUmW1yo/edit?usp=sharing"",""พิษณุโลก!J569"")"),0)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IFERROR(__xludf.DUMMYFUNCTION("IMPORTRANGE(""https://docs.google.com/spreadsheets/d/11923uPwbBZFjjGgGUA6NLw09EwE0CqkOc4q9oUmW1yo/edit?usp=sharing"",""พิษณุโลก!J570"")"),0)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IFERROR(__xludf.DUMMYFUNCTION("IMPORTRANGE(""https://docs.google.com/spreadsheets/d/11923uPwbBZFjjGgGUA6NLw09EwE0CqkOc4q9oUmW1yo/edit?usp=sharing"",""พิษณุโลก!J571"")"),0)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IFERROR(__xludf.DUMMYFUNCTION("IMPORTRANGE(""https://docs.google.com/spreadsheets/d/11923uPwbBZFjjGgGUA6NLw09EwE0CqkOc4q9oUmW1yo/edit?usp=sharing"",""พิษณุโลก!J572"")"),0)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278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7036561</v>
      </c>
      <c r="M8" s="25">
        <f t="shared" ca="1" si="0"/>
        <v>3103630</v>
      </c>
      <c r="N8" s="25">
        <f t="shared" ca="1" si="0"/>
        <v>3587368.15</v>
      </c>
      <c r="O8" s="24">
        <f t="shared" ref="O8:O16" ca="1" si="1">IF(L8&gt;0,N8*100/L8,0)</f>
        <v>50.981838287197398</v>
      </c>
      <c r="P8" s="24">
        <f t="shared" ref="P8:P16" ca="1" si="2">IF(M8&gt;0,N8*100/M8,0)</f>
        <v>115.58620550774415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7036561</v>
      </c>
      <c r="M10" s="32">
        <f t="shared" ca="1" si="4"/>
        <v>3103630</v>
      </c>
      <c r="N10" s="32">
        <f t="shared" ca="1" si="4"/>
        <v>3587368.15</v>
      </c>
      <c r="O10" s="31">
        <f t="shared" ca="1" si="1"/>
        <v>50.981838287197398</v>
      </c>
      <c r="P10" s="31">
        <f t="shared" ca="1" si="2"/>
        <v>115.58620550774415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6803261</v>
      </c>
      <c r="M12" s="41">
        <f t="shared" ca="1" si="6"/>
        <v>2870330</v>
      </c>
      <c r="N12" s="41">
        <f t="shared" ca="1" si="6"/>
        <v>3354068.15</v>
      </c>
      <c r="O12" s="41">
        <f t="shared" ca="1" si="1"/>
        <v>49.300888941347395</v>
      </c>
      <c r="P12" s="41">
        <f t="shared" ca="1" si="2"/>
        <v>116.85304999773545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1991600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4811661</v>
      </c>
      <c r="M14" s="41">
        <f t="shared" si="8"/>
        <v>0</v>
      </c>
      <c r="N14" s="41">
        <f t="shared" ca="1" si="8"/>
        <v>1188820.96</v>
      </c>
      <c r="O14" s="41">
        <f t="shared" ca="1" si="1"/>
        <v>24.707080569474865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233300</v>
      </c>
      <c r="M16" s="41">
        <f t="shared" ca="1" si="10"/>
        <v>233300</v>
      </c>
      <c r="N16" s="41">
        <f t="shared" ca="1" si="10"/>
        <v>233300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3960805</v>
      </c>
      <c r="M18" s="25">
        <f t="shared" ca="1" si="11"/>
        <v>3103630</v>
      </c>
      <c r="N18" s="25">
        <f t="shared" ca="1" si="11"/>
        <v>2398547.19</v>
      </c>
      <c r="O18" s="24">
        <f t="shared" ref="O18:O20" ca="1" si="12">IF(L18&gt;0,N18*100/L18,0)</f>
        <v>60.557063273753691</v>
      </c>
      <c r="P18" s="24">
        <f t="shared" ref="P18:P26" ca="1" si="13">IF(M18&gt;0,N18*100/M18,0)</f>
        <v>77.281995276498805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3960805</v>
      </c>
      <c r="M20" s="32">
        <f t="shared" ca="1" si="15"/>
        <v>3103630</v>
      </c>
      <c r="N20" s="32">
        <f t="shared" ca="1" si="15"/>
        <v>2398547.19</v>
      </c>
      <c r="O20" s="31">
        <f t="shared" ca="1" si="12"/>
        <v>60.557063273753691</v>
      </c>
      <c r="P20" s="31">
        <f t="shared" ca="1" si="13"/>
        <v>77.281995276498805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3727505</v>
      </c>
      <c r="M22" s="44">
        <f t="shared" ca="1" si="18"/>
        <v>2870330</v>
      </c>
      <c r="N22" s="41">
        <f t="shared" ca="1" si="18"/>
        <v>2165247.19</v>
      </c>
      <c r="O22" s="41">
        <f t="shared" ca="1" si="17"/>
        <v>58.088377882792912</v>
      </c>
      <c r="P22" s="41">
        <f t="shared" ca="1" si="13"/>
        <v>75.435479195771919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1991600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1735905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233300</v>
      </c>
      <c r="M26" s="52">
        <f t="shared" ca="1" si="22"/>
        <v>233300</v>
      </c>
      <c r="N26" s="52">
        <f t="shared" ca="1" si="22"/>
        <v>233300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3075756</v>
      </c>
      <c r="M28" s="25">
        <f t="shared" si="23"/>
        <v>0</v>
      </c>
      <c r="N28" s="25">
        <f t="shared" ca="1" si="23"/>
        <v>1188820.96</v>
      </c>
      <c r="O28" s="24">
        <f t="shared" ref="O28:O30" ca="1" si="24">IF(L28&gt;0,N28*100/L28,0)</f>
        <v>38.651341653889318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3075756</v>
      </c>
      <c r="M30" s="32">
        <f t="shared" si="27"/>
        <v>0</v>
      </c>
      <c r="N30" s="32">
        <f t="shared" ca="1" si="27"/>
        <v>1188820.96</v>
      </c>
      <c r="O30" s="31">
        <f t="shared" ca="1" si="24"/>
        <v>38.651341653889318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3075756</v>
      </c>
      <c r="M32" s="41">
        <f t="shared" si="30"/>
        <v>0</v>
      </c>
      <c r="N32" s="41">
        <f t="shared" ca="1" si="30"/>
        <v>1188820.96</v>
      </c>
      <c r="O32" s="41">
        <f t="shared" ca="1" si="29"/>
        <v>38.651341653889318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3075756</v>
      </c>
      <c r="M34" s="41">
        <f t="shared" si="32"/>
        <v>0</v>
      </c>
      <c r="N34" s="41">
        <f t="shared" ca="1" si="32"/>
        <v>1188820.96</v>
      </c>
      <c r="O34" s="41">
        <f t="shared" ca="1" si="29"/>
        <v>38.651341653889318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3960805</v>
      </c>
      <c r="M37" s="57">
        <f t="shared" ca="1" si="33"/>
        <v>3103630</v>
      </c>
      <c r="N37" s="57">
        <f t="shared" ca="1" si="33"/>
        <v>2398547.19</v>
      </c>
      <c r="O37" s="58">
        <f t="shared" ca="1" si="29"/>
        <v>60.557063273753691</v>
      </c>
      <c r="P37" s="58">
        <f t="shared" ca="1" si="25"/>
        <v>77.281995276498805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978600</v>
      </c>
      <c r="M41" s="81">
        <f t="shared" ca="1" si="34"/>
        <v>776100</v>
      </c>
      <c r="N41" s="81">
        <f t="shared" ca="1" si="34"/>
        <v>617044.41999999993</v>
      </c>
      <c r="O41" s="80">
        <f t="shared" ref="O41:O43" ca="1" si="35">IF(L41&gt;0,N41*100/L41,0)</f>
        <v>63.053793173921925</v>
      </c>
      <c r="P41" s="80">
        <f t="shared" ref="P41:P43" ca="1" si="36">IF(M41&gt;0,N41*100/M41,0)</f>
        <v>79.505787913928614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978600</v>
      </c>
      <c r="M43" s="81">
        <f t="shared" ca="1" si="38"/>
        <v>776100</v>
      </c>
      <c r="N43" s="81">
        <f t="shared" ca="1" si="38"/>
        <v>617044.41999999993</v>
      </c>
      <c r="O43" s="80">
        <f t="shared" ca="1" si="35"/>
        <v>63.053793173921925</v>
      </c>
      <c r="P43" s="80">
        <f t="shared" ca="1" si="36"/>
        <v>79.505787913928614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810100</v>
      </c>
      <c r="M45" s="52">
        <f ca="1">IFERROR(__xludf.DUMMYFUNCTION("IMPORTRANGE(""https://docs.google.com/spreadsheets/d/1Yj_ptqi66GCucihVvJfMjLAmec39IyEx_6qawtMGysU/edit?usp=sharing"",""สบก!Q29"")"),607600)</f>
        <v>607600</v>
      </c>
      <c r="N45" s="52">
        <f ca="1">IFERROR(__xludf.DUMMYFUNCTION("IMPORTRANGE(""https://docs.google.com/spreadsheets/d/1Yj_ptqi66GCucihVvJfMjLAmec39IyEx_6qawtMGysU/edit?usp=sharing"",""สบก!R29"")"),448544.42)</f>
        <v>448544.42</v>
      </c>
      <c r="O45" s="41">
        <f ca="1">IF(L45&gt;0,N45*100/L45,0)</f>
        <v>55.369018639674117</v>
      </c>
      <c r="P45" s="41">
        <f ca="1">IF(M45&gt;0,N45*100/M45,0)</f>
        <v>73.822320605661616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IFERROR(__xludf.DUMMYFUNCTION("IMPORTRANGE(""https://docs.google.com/spreadsheets/d/1Yj_ptqi66GCucihVvJfMjLAmec39IyEx_6qawtMGysU/edit?usp=sharing"",""สบก!M29"")"),810100)</f>
        <v>810100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IFERROR(__xludf.DUMMYFUNCTION("IMPORTRANGE(""https://docs.google.com/spreadsheets/d/1Yj_ptqi66GCucihVvJfMjLAmec39IyEx_6qawtMGysU/edit?usp=sharing"",""สบก!N29"")"),0)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IFERROR(__xludf.DUMMYFUNCTION("IMPORTRANGE(""https://docs.google.com/spreadsheets/d/1Yj_ptqi66GCucihVvJfMjLAmec39IyEx_6qawtMGysU/edit?usp=sharing"",""สบก!O29"")"),168500)</f>
        <v>168500</v>
      </c>
      <c r="M49" s="52">
        <f ca="1">L49</f>
        <v>168500</v>
      </c>
      <c r="N49" s="52">
        <f ca="1">IFERROR(__xludf.DUMMYFUNCTION("IMPORTRANGE(""https://docs.google.com/spreadsheets/d/1Yj_ptqi66GCucihVvJfMjLAmec39IyEx_6qawtMGysU/edit?usp=sharing"",""สบก!S29"")"),168500)</f>
        <v>168500</v>
      </c>
      <c r="O49" s="52">
        <f ca="1">IF(L49&gt;0,N49*100/L49,0)</f>
        <v>100</v>
      </c>
      <c r="P49" s="52">
        <f ca="1">IF(M49&gt;0,N49*100/M49,0)</f>
        <v>100</v>
      </c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564000</v>
      </c>
      <c r="M53" s="123">
        <f t="shared" ca="1" si="39"/>
        <v>450440</v>
      </c>
      <c r="N53" s="123">
        <f t="shared" ca="1" si="39"/>
        <v>329626</v>
      </c>
      <c r="O53" s="122">
        <f t="shared" ref="O53:O55" ca="1" si="40">IF(L53&gt;0,N53*100/L53,0)</f>
        <v>58.444326241134753</v>
      </c>
      <c r="P53" s="122">
        <f t="shared" ref="P53:P55" ca="1" si="41">IF(M53&gt;0,N53*100/M53,0)</f>
        <v>73.17866974513808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564000</v>
      </c>
      <c r="M55" s="123">
        <f t="shared" ca="1" si="43"/>
        <v>450440</v>
      </c>
      <c r="N55" s="123">
        <f t="shared" ca="1" si="43"/>
        <v>329626</v>
      </c>
      <c r="O55" s="122">
        <f t="shared" ca="1" si="40"/>
        <v>58.444326241134753</v>
      </c>
      <c r="P55" s="122">
        <f t="shared" ca="1" si="41"/>
        <v>73.17866974513808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564000</v>
      </c>
      <c r="M57" s="52">
        <f ca="1">IFERROR(__xludf.DUMMYFUNCTION("IMPORTRANGE(""https://docs.google.com/spreadsheets/d/1Yj_ptqi66GCucihVvJfMjLAmec39IyEx_6qawtMGysU/edit?usp=sharing"",""สบก!Z29"")"),450440)</f>
        <v>450440</v>
      </c>
      <c r="N57" s="52">
        <f ca="1">IFERROR(__xludf.DUMMYFUNCTION("IMPORTRANGE(""https://docs.google.com/spreadsheets/d/1Yj_ptqi66GCucihVvJfMjLAmec39IyEx_6qawtMGysU/edit?usp=sharing"",""สบก!AA29"")"),329626)</f>
        <v>329626</v>
      </c>
      <c r="O57" s="41">
        <f ca="1">IF(L57&gt;0,N57*100/L57,0)</f>
        <v>58.444326241134753</v>
      </c>
      <c r="P57" s="41">
        <f ca="1">IF(M57&gt;0,N57*100/M57,0)</f>
        <v>73.17866974513808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IFERROR(__xludf.DUMMYFUNCTION("IMPORTRANGE(""https://docs.google.com/spreadsheets/d/1Yj_ptqi66GCucihVvJfMjLAmec39IyEx_6qawtMGysU/edit?usp=sharing"",""สบก!V29"")"),564000)</f>
        <v>564000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IFERROR(__xludf.DUMMYFUNCTION("IMPORTRANGE(""https://docs.google.com/spreadsheets/d/1Yj_ptqi66GCucihVvJfMjLAmec39IyEx_6qawtMGysU/edit?usp=sharing"",""สบก!W29"")"),0)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IFERROR(__xludf.DUMMYFUNCTION("IMPORTRANGE(""https://docs.google.com/spreadsheets/d/1Yj_ptqi66GCucihVvJfMjLAmec39IyEx_6qawtMGysU/edit?usp=sharing"",""สบก!X29"")"),0)</f>
        <v>0</v>
      </c>
      <c r="M61" s="52"/>
      <c r="N61" s="52">
        <f ca="1">IFERROR(__xludf.DUMMYFUNCTION("IMPORTRANGE(""https://docs.google.com/spreadsheets/d/1Yj_ptqi66GCucihVvJfMjLAmec39IyEx_6qawtMGysU/edit?usp=sharing"",""สบก!AB29"")"),0)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IFERROR(__xludf.DUMMYFUNCTION("IMPORTRANGE(""https://docs.google.com/spreadsheets/d/11923uPwbBZFjjGgGUA6NLw09EwE0CqkOc4q9oUmW1yo/edit?usp=sharing"",""เพชรบูรณ์!I9"")"),1)</f>
        <v>1</v>
      </c>
      <c r="J64" s="144">
        <f ca="1">IFERROR(__xludf.DUMMYFUNCTION("IMPORTRANGE(""https://docs.google.com/spreadsheets/d/11923uPwbBZFjjGgGUA6NLw09EwE0CqkOc4q9oUmW1yo/edit?usp=sharing"",""เพชรบูรณ์!J9"")"),1)</f>
        <v>1</v>
      </c>
      <c r="K64" s="145">
        <f t="shared" ref="K64:K65" ca="1" si="44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IFERROR(__xludf.DUMMYFUNCTION("IMPORTRANGE(""https://docs.google.com/spreadsheets/d/11923uPwbBZFjjGgGUA6NLw09EwE0CqkOc4q9oUmW1yo/edit?usp=sharing"",""เพชรบูรณ์!I10"")"),35)</f>
        <v>35</v>
      </c>
      <c r="J65" s="144">
        <f ca="1">IFERROR(__xludf.DUMMYFUNCTION("IMPORTRANGE(""https://docs.google.com/spreadsheets/d/11923uPwbBZFjjGgGUA6NLw09EwE0CqkOc4q9oUmW1yo/edit?usp=sharing"",""เพชรบูรณ์!J10"")"),35)</f>
        <v>35</v>
      </c>
      <c r="K65" s="145">
        <f t="shared" ca="1" si="44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577500</v>
      </c>
      <c r="M66" s="154">
        <f t="shared" ca="1" si="45"/>
        <v>470320</v>
      </c>
      <c r="N66" s="154">
        <f t="shared" ca="1" si="45"/>
        <v>341572.77</v>
      </c>
      <c r="O66" s="153">
        <f t="shared" ref="O66:O68" ca="1" si="46">IF(L66&gt;0,N66*100/L66,0)</f>
        <v>59.146799999999999</v>
      </c>
      <c r="P66" s="153">
        <f t="shared" ref="P66:P68" ca="1" si="47">IF(M66&gt;0,N66*100/M66,0)</f>
        <v>72.625610222827007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577500</v>
      </c>
      <c r="M68" s="90">
        <f t="shared" ca="1" si="49"/>
        <v>470320</v>
      </c>
      <c r="N68" s="90">
        <f t="shared" ca="1" si="49"/>
        <v>341572.77</v>
      </c>
      <c r="O68" s="158">
        <f t="shared" ca="1" si="46"/>
        <v>59.146799999999999</v>
      </c>
      <c r="P68" s="158">
        <f t="shared" ca="1" si="47"/>
        <v>72.625610222827007</v>
      </c>
    </row>
    <row r="69" spans="1:16" ht="21.75" customHeight="1">
      <c r="A69" s="159"/>
      <c r="B69" s="160"/>
      <c r="C69" s="160" t="s">
        <v>16</v>
      </c>
      <c r="D69" s="570" t="s">
        <v>20</v>
      </c>
      <c r="E69" s="565"/>
      <c r="F69" s="565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577500</v>
      </c>
      <c r="M70" s="169">
        <f ca="1">IFERROR(__xludf.DUMMYFUNCTION("IMPORTRANGE(""https://docs.google.com/spreadsheets/d/1Yj_ptqi66GCucihVvJfMjLAmec39IyEx_6qawtMGysU/edit?usp=sharing"",""สบก!AI29"")"),470320)</f>
        <v>470320</v>
      </c>
      <c r="N70" s="170">
        <f ca="1">IFERROR(__xludf.DUMMYFUNCTION("IMPORTRANGE(""https://docs.google.com/spreadsheets/d/1Yj_ptqi66GCucihVvJfMjLAmec39IyEx_6qawtMGysU/edit?usp=sharing"",""สบก!AJ29"")"),341572.77)</f>
        <v>341572.77</v>
      </c>
      <c r="O70" s="170">
        <f ca="1">IF(L70&gt;0,N70*100/L70,0)</f>
        <v>59.146799999999999</v>
      </c>
      <c r="P70" s="170">
        <f ca="1">IF(M70&gt;0,N70*100/M70,0)</f>
        <v>72.625610222827007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IFERROR(__xludf.DUMMYFUNCTION("IMPORTRANGE(""https://docs.google.com/spreadsheets/d/1Yj_ptqi66GCucihVvJfMjLAmec39IyEx_6qawtMGysU/edit?usp=sharing"",""สบก!AE29"")"),179500)</f>
        <v>179500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IFERROR(__xludf.DUMMYFUNCTION("IMPORTRANGE(""https://docs.google.com/spreadsheets/d/1Yj_ptqi66GCucihVvJfMjLAmec39IyEx_6qawtMGysU/edit?usp=sharing"",""สบก!AF29"")"),398000)</f>
        <v>398000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IFERROR(__xludf.DUMMYFUNCTION("IMPORTRANGE(""https://docs.google.com/spreadsheets/d/1Yj_ptqi66GCucihVvJfMjLAmec39IyEx_6qawtMGysU/edit?usp=sharing"",""สบก!AG29"")"),0)</f>
        <v>0</v>
      </c>
      <c r="M74" s="52"/>
      <c r="N74" s="52">
        <f ca="1">IFERROR(__xludf.DUMMYFUNCTION("IMPORTRANGE(""https://docs.google.com/spreadsheets/d/1Yj_ptqi66GCucihVvJfMjLAmec39IyEx_6qawtMGysU/edit?usp=sharing"",""สบก!AK29"")"),0)</f>
        <v>0</v>
      </c>
      <c r="O74" s="52">
        <f ca="1">IF(L74&gt;0,N74*100/L74,0)</f>
        <v>0</v>
      </c>
      <c r="P74" s="52"/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IFERROR(__xludf.DUMMYFUNCTION("IMPORTRANGE(""https://docs.google.com/spreadsheets/d/11923uPwbBZFjjGgGUA6NLw09EwE0CqkOc4q9oUmW1yo/edit?usp=sharing"",""เพชรบูรณ์!J16"")"),0)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IFERROR(__xludf.DUMMYFUNCTION("IMPORTRANGE(""https://docs.google.com/spreadsheets/d/11923uPwbBZFjjGgGUA6NLw09EwE0CqkOc4q9oUmW1yo/edit?usp=sharing"",""เพชรบูรณ์!J17"")"),1)</f>
        <v>1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IFERROR(__xludf.DUMMYFUNCTION("IMPORTRANGE(""https://docs.google.com/spreadsheets/d/11923uPwbBZFjjGgGUA6NLw09EwE0CqkOc4q9oUmW1yo/edit?usp=sharing"",""เพชรบูรณ์!J18"")"),1)</f>
        <v>1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IFERROR(__xludf.DUMMYFUNCTION("IMPORTRANGE(""https://docs.google.com/spreadsheets/d/11923uPwbBZFjjGgGUA6NLw09EwE0CqkOc4q9oUmW1yo/edit?usp=sharing"",""เพชรบูรณ์!J19"")"),1)</f>
        <v>1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IFERROR(__xludf.DUMMYFUNCTION("IMPORTRANGE(""https://docs.google.com/spreadsheets/d/11923uPwbBZFjjGgGUA6NLw09EwE0CqkOc4q9oUmW1yo/edit?usp=sharing"",""เพชรบูรณ์!I20"")"),1)</f>
        <v>1</v>
      </c>
      <c r="J80" s="202">
        <f ca="1">IFERROR(__xludf.DUMMYFUNCTION("IMPORTRANGE(""https://docs.google.com/spreadsheets/d/11923uPwbBZFjjGgGUA6NLw09EwE0CqkOc4q9oUmW1yo/edit?usp=sharing"",""เพชรบูรณ์!J20"")"),1)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IFERROR(__xludf.DUMMYFUNCTION("IMPORTRANGE(""https://docs.google.com/spreadsheets/d/11923uPwbBZFjjGgGUA6NLw09EwE0CqkOc4q9oUmW1yo/edit?usp=sharing"",""เพชรบูรณ์!I21"")"),35)</f>
        <v>35</v>
      </c>
      <c r="J81" s="202">
        <f ca="1">IFERROR(__xludf.DUMMYFUNCTION("IMPORTRANGE(""https://docs.google.com/spreadsheets/d/11923uPwbBZFjjGgGUA6NLw09EwE0CqkOc4q9oUmW1yo/edit?usp=sharing"",""เพชรบูรณ์!J21"")"),35)</f>
        <v>35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IFERROR(__xludf.DUMMYFUNCTION("IMPORTRANGE(""https://docs.google.com/spreadsheets/d/11923uPwbBZFjjGgGUA6NLw09EwE0CqkOc4q9oUmW1yo/edit?usp=sharing"",""เพชรบูรณ์!I22"")"),0)</f>
        <v>0</v>
      </c>
      <c r="J82" s="205">
        <f ca="1">IFERROR(__xludf.DUMMYFUNCTION("IMPORTRANGE(""https://docs.google.com/spreadsheets/d/11923uPwbBZFjjGgGUA6NLw09EwE0CqkOc4q9oUmW1yo/edit?usp=sharing"",""เพชรบูรณ์!J22"")"),0)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IFERROR(__xludf.DUMMYFUNCTION("IMPORTRANGE(""https://docs.google.com/spreadsheets/d/11923uPwbBZFjjGgGUA6NLw09EwE0CqkOc4q9oUmW1yo/edit?usp=sharing"",""เพชรบูรณ์!I23"")"),0)</f>
        <v>0</v>
      </c>
      <c r="J83" s="205">
        <f ca="1">IFERROR(__xludf.DUMMYFUNCTION("IMPORTRANGE(""https://docs.google.com/spreadsheets/d/11923uPwbBZFjjGgGUA6NLw09EwE0CqkOc4q9oUmW1yo/edit?usp=sharing"",""เพชรบูรณ์!J23"")"),0)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IFERROR(__xludf.DUMMYFUNCTION("IMPORTRANGE(""https://docs.google.com/spreadsheets/d/11923uPwbBZFjjGgGUA6NLw09EwE0CqkOc4q9oUmW1yo/edit?usp=sharing"",""เพชรบูรณ์!I24"")"),1)</f>
        <v>1</v>
      </c>
      <c r="J84" s="190">
        <f ca="1">IFERROR(__xludf.DUMMYFUNCTION("IMPORTRANGE(""https://docs.google.com/spreadsheets/d/11923uPwbBZFjjGgGUA6NLw09EwE0CqkOc4q9oUmW1yo/edit?usp=sharing"",""เพชรบูรณ์!J24"")"),1)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IFERROR(__xludf.DUMMYFUNCTION("IMPORTRANGE(""https://docs.google.com/spreadsheets/d/11923uPwbBZFjjGgGUA6NLw09EwE0CqkOc4q9oUmW1yo/edit?usp=sharing"",""เพชรบูรณ์!I25"")"),35)</f>
        <v>35</v>
      </c>
      <c r="J85" s="190">
        <f ca="1">IFERROR(__xludf.DUMMYFUNCTION("IMPORTRANGE(""https://docs.google.com/spreadsheets/d/11923uPwbBZFjjGgGUA6NLw09EwE0CqkOc4q9oUmW1yo/edit?usp=sharing"",""เพชรบูรณ์!J25"")"),35)</f>
        <v>35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IFERROR(__xludf.DUMMYFUNCTION("IMPORTRANGE(""https://docs.google.com/spreadsheets/d/11923uPwbBZFjjGgGUA6NLw09EwE0CqkOc4q9oUmW1yo/edit?usp=sharing"",""เพชรบูรณ์!I26"")"),0)</f>
        <v>0</v>
      </c>
      <c r="J86" s="205">
        <f ca="1">IFERROR(__xludf.DUMMYFUNCTION("IMPORTRANGE(""https://docs.google.com/spreadsheets/d/11923uPwbBZFjjGgGUA6NLw09EwE0CqkOc4q9oUmW1yo/edit?usp=sharing"",""เพชรบูรณ์!J26"")"),0)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IFERROR(__xludf.DUMMYFUNCTION("IMPORTRANGE(""https://docs.google.com/spreadsheets/d/11923uPwbBZFjjGgGUA6NLw09EwE0CqkOc4q9oUmW1yo/edit?usp=sharing"",""เพชรบูรณ์!I27"")"),0)</f>
        <v>0</v>
      </c>
      <c r="J87" s="205">
        <f ca="1">IFERROR(__xludf.DUMMYFUNCTION("IMPORTRANGE(""https://docs.google.com/spreadsheets/d/11923uPwbBZFjjGgGUA6NLw09EwE0CqkOc4q9oUmW1yo/edit?usp=sharing"",""เพชรบูรณ์!J27"")"),0)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IFERROR(__xludf.DUMMYFUNCTION("IMPORTRANGE(""https://docs.google.com/spreadsheets/d/11923uPwbBZFjjGgGUA6NLw09EwE0CqkOc4q9oUmW1yo/edit?usp=sharing"",""เพชรบูรณ์!I28"")"),0)</f>
        <v>0</v>
      </c>
      <c r="J88" s="205">
        <f ca="1">IFERROR(__xludf.DUMMYFUNCTION("IMPORTRANGE(""https://docs.google.com/spreadsheets/d/11923uPwbBZFjjGgGUA6NLw09EwE0CqkOc4q9oUmW1yo/edit?usp=sharing"",""เพชรบูรณ์!J28"")"),0)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IFERROR(__xludf.DUMMYFUNCTION("IMPORTRANGE(""https://docs.google.com/spreadsheets/d/11923uPwbBZFjjGgGUA6NLw09EwE0CqkOc4q9oUmW1yo/edit?usp=sharing"",""เพชรบูรณ์!J29"")"),0)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IFERROR(__xludf.DUMMYFUNCTION("IMPORTRANGE(""https://docs.google.com/spreadsheets/d/11923uPwbBZFjjGgGUA6NLw09EwE0CqkOc4q9oUmW1yo/edit?usp=sharing"",""เพชรบูรณ์!J30"")"),0)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IFERROR(__xludf.DUMMYFUNCTION("IMPORTRANGE(""https://docs.google.com/spreadsheets/d/11923uPwbBZFjjGgGUA6NLw09EwE0CqkOc4q9oUmW1yo/edit?usp=sharing"",""เพชรบูรณ์!I32"")"),0)</f>
        <v>0</v>
      </c>
      <c r="J92" s="144">
        <f ca="1">IFERROR(__xludf.DUMMYFUNCTION("IMPORTRANGE(""https://docs.google.com/spreadsheets/d/11923uPwbBZFjjGgGUA6NLw09EwE0CqkOc4q9oUmW1yo/edit?usp=sharing"",""เพชรบูรณ์!J32"")"),0)</f>
        <v>0</v>
      </c>
      <c r="K92" s="145">
        <f t="shared" ref="K92:K93" ca="1" si="51">IF(I92&gt;0,J92*100/I92,0)</f>
        <v>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IFERROR(__xludf.DUMMYFUNCTION("IMPORTRANGE(""https://docs.google.com/spreadsheets/d/11923uPwbBZFjjGgGUA6NLw09EwE0CqkOc4q9oUmW1yo/edit?usp=sharing"",""เพชรบูรณ์!I33"")"),0)</f>
        <v>0</v>
      </c>
      <c r="J93" s="144">
        <f ca="1">IFERROR(__xludf.DUMMYFUNCTION("IMPORTRANGE(""https://docs.google.com/spreadsheets/d/11923uPwbBZFjjGgGUA6NLw09EwE0CqkOc4q9oUmW1yo/edit?usp=sharing"",""เพชรบูรณ์!J33"")"),0)</f>
        <v>0</v>
      </c>
      <c r="K93" s="145">
        <f t="shared" ca="1" si="51"/>
        <v>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0</v>
      </c>
      <c r="M96" s="90">
        <f t="shared" ca="1" si="56"/>
        <v>0</v>
      </c>
      <c r="N96" s="90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59"/>
      <c r="B97" s="160"/>
      <c r="C97" s="160" t="s">
        <v>16</v>
      </c>
      <c r="D97" s="570" t="s">
        <v>20</v>
      </c>
      <c r="E97" s="565"/>
      <c r="F97" s="565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IFERROR(__xludf.DUMMYFUNCTION("IMPORTRANGE(""https://docs.google.com/spreadsheets/d/1Yj_ptqi66GCucihVvJfMjLAmec39IyEx_6qawtMGysU/edit?usp=sharing"",""สบก!AR29"")"),0)</f>
        <v>0</v>
      </c>
      <c r="N98" s="170">
        <f ca="1">IFERROR(__xludf.DUMMYFUNCTION("IMPORTRANGE(""https://docs.google.com/spreadsheets/d/1Yj_ptqi66GCucihVvJfMjLAmec39IyEx_6qawtMGysU/edit?usp=sharing"",""สบก!AS29"")"),0)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IFERROR(__xludf.DUMMYFUNCTION("IMPORTRANGE(""https://docs.google.com/spreadsheets/d/1Yj_ptqi66GCucihVvJfMjLAmec39IyEx_6qawtMGysU/edit?usp=sharing"",""สบก!AN29"")"),0)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IFERROR(__xludf.DUMMYFUNCTION("IMPORTRANGE(""https://docs.google.com/spreadsheets/d/1Yj_ptqi66GCucihVvJfMjLAmec39IyEx_6qawtMGysU/edit?usp=sharing"",""สบก!AO29"")"),0)</f>
        <v>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IFERROR(__xludf.DUMMYFUNCTION("IMPORTRANGE(""https://docs.google.com/spreadsheets/d/1Yj_ptqi66GCucihVvJfMjLAmec39IyEx_6qawtMGysU/edit?usp=sharing"",""สบก!AP29"")"),0)</f>
        <v>0</v>
      </c>
      <c r="M102" s="52"/>
      <c r="N102" s="52">
        <f ca="1">IFERROR(__xludf.DUMMYFUNCTION("IMPORTRANGE(""https://docs.google.com/spreadsheets/d/1Yj_ptqi66GCucihVvJfMjLAmec39IyEx_6qawtMGysU/edit?usp=sharing"",""สบก!AT29"")"),0)</f>
        <v>0</v>
      </c>
      <c r="O102" s="52">
        <f ca="1">IF(L102&gt;0,N102*100/L102,0)</f>
        <v>0</v>
      </c>
      <c r="P102" s="52"/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IFERROR(__xludf.DUMMYFUNCTION("IMPORTRANGE(""https://docs.google.com/spreadsheets/d/11923uPwbBZFjjGgGUA6NLw09EwE0CqkOc4q9oUmW1yo/edit?usp=sharing"",""เพชรบูรณ์!J39"")"),0)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IFERROR(__xludf.DUMMYFUNCTION("IMPORTRANGE(""https://docs.google.com/spreadsheets/d/11923uPwbBZFjjGgGUA6NLw09EwE0CqkOc4q9oUmW1yo/edit?usp=sharing"",""เพชรบูรณ์!J40"")"),0)</f>
        <v>0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IFERROR(__xludf.DUMMYFUNCTION("IMPORTRANGE(""https://docs.google.com/spreadsheets/d/11923uPwbBZFjjGgGUA6NLw09EwE0CqkOc4q9oUmW1yo/edit?usp=sharing"",""เพชรบูรณ์!J41"")"),0)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IFERROR(__xludf.DUMMYFUNCTION("IMPORTRANGE(""https://docs.google.com/spreadsheets/d/11923uPwbBZFjjGgGUA6NLw09EwE0CqkOc4q9oUmW1yo/edit?usp=sharing"",""เพชรบูรณ์!J42"")"),0)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IFERROR(__xludf.DUMMYFUNCTION("IMPORTRANGE(""https://docs.google.com/spreadsheets/d/11923uPwbBZFjjGgGUA6NLw09EwE0CqkOc4q9oUmW1yo/edit?usp=sharing"",""เพชรบูรณ์!I43"")"),0)</f>
        <v>0</v>
      </c>
      <c r="J108" s="205">
        <f ca="1">IFERROR(__xludf.DUMMYFUNCTION("IMPORTRANGE(""https://docs.google.com/spreadsheets/d/11923uPwbBZFjjGgGUA6NLw09EwE0CqkOc4q9oUmW1yo/edit?usp=sharing"",""เพชรบูรณ์!J43"")"),0)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IFERROR(__xludf.DUMMYFUNCTION("IMPORTRANGE(""https://docs.google.com/spreadsheets/d/11923uPwbBZFjjGgGUA6NLw09EwE0CqkOc4q9oUmW1yo/edit?usp=sharing"",""เพชรบูรณ์!I44"")"),0)</f>
        <v>0</v>
      </c>
      <c r="J109" s="205">
        <f ca="1">IFERROR(__xludf.DUMMYFUNCTION("IMPORTRANGE(""https://docs.google.com/spreadsheets/d/11923uPwbBZFjjGgGUA6NLw09EwE0CqkOc4q9oUmW1yo/edit?usp=sharing"",""เพชรบูรณ์!J44"")"),0)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IFERROR(__xludf.DUMMYFUNCTION("IMPORTRANGE(""https://docs.google.com/spreadsheets/d/11923uPwbBZFjjGgGUA6NLw09EwE0CqkOc4q9oUmW1yo/edit?usp=sharing"",""เพชรบูรณ์!I45"")"),0)</f>
        <v>0</v>
      </c>
      <c r="J110" s="205">
        <f ca="1">IFERROR(__xludf.DUMMYFUNCTION("IMPORTRANGE(""https://docs.google.com/spreadsheets/d/11923uPwbBZFjjGgGUA6NLw09EwE0CqkOc4q9oUmW1yo/edit?usp=sharing"",""เพชรบูรณ์!J45"")"),0)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IFERROR(__xludf.DUMMYFUNCTION("IMPORTRANGE(""https://docs.google.com/spreadsheets/d/11923uPwbBZFjjGgGUA6NLw09EwE0CqkOc4q9oUmW1yo/edit?usp=sharing"",""เพชรบูรณ์!I46"")"),0)</f>
        <v>0</v>
      </c>
      <c r="J111" s="205">
        <f ca="1">IFERROR(__xludf.DUMMYFUNCTION("IMPORTRANGE(""https://docs.google.com/spreadsheets/d/11923uPwbBZFjjGgGUA6NLw09EwE0CqkOc4q9oUmW1yo/edit?usp=sharing"",""เพชรบูรณ์!J46"")"),0)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IFERROR(__xludf.DUMMYFUNCTION("IMPORTRANGE(""https://docs.google.com/spreadsheets/d/11923uPwbBZFjjGgGUA6NLw09EwE0CqkOc4q9oUmW1yo/edit?usp=sharing"",""เพชรบูรณ์!I47"")"),0)</f>
        <v>0</v>
      </c>
      <c r="J112" s="205">
        <f ca="1">IFERROR(__xludf.DUMMYFUNCTION("IMPORTRANGE(""https://docs.google.com/spreadsheets/d/11923uPwbBZFjjGgGUA6NLw09EwE0CqkOc4q9oUmW1yo/edit?usp=sharing"",""เพชรบูรณ์!J47"")"),0)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IFERROR(__xludf.DUMMYFUNCTION("IMPORTRANGE(""https://docs.google.com/spreadsheets/d/11923uPwbBZFjjGgGUA6NLw09EwE0CqkOc4q9oUmW1yo/edit?usp=sharing"",""เพชรบูรณ์!I48"")"),0)</f>
        <v>0</v>
      </c>
      <c r="J113" s="205">
        <f ca="1">IFERROR(__xludf.DUMMYFUNCTION("IMPORTRANGE(""https://docs.google.com/spreadsheets/d/11923uPwbBZFjjGgGUA6NLw09EwE0CqkOc4q9oUmW1yo/edit?usp=sharing"",""เพชรบูรณ์!J48"")"),0)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IFERROR(__xludf.DUMMYFUNCTION("IMPORTRANGE(""https://docs.google.com/spreadsheets/d/11923uPwbBZFjjGgGUA6NLw09EwE0CqkOc4q9oUmW1yo/edit?usp=sharing"",""เพชรบูรณ์!J49"")"),0)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IFERROR(__xludf.DUMMYFUNCTION("IMPORTRANGE(""https://docs.google.com/spreadsheets/d/11923uPwbBZFjjGgGUA6NLw09EwE0CqkOc4q9oUmW1yo/edit?usp=sharing"",""เพชรบูรณ์!J50"")"),0)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IFERROR(__xludf.DUMMYFUNCTION("IMPORTRANGE(""https://docs.google.com/spreadsheets/d/11923uPwbBZFjjGgGUA6NLw09EwE0CqkOc4q9oUmW1yo/edit?usp=sharing"",""เพชรบูรณ์!I52"")"),20)</f>
        <v>20</v>
      </c>
      <c r="J117" s="144">
        <f ca="1">IFERROR(__xludf.DUMMYFUNCTION("IMPORTRANGE(""https://docs.google.com/spreadsheets/d/11923uPwbBZFjjGgGUA6NLw09EwE0CqkOc4q9oUmW1yo/edit?usp=sharing"",""เพชรบูรณ์!J52"")"),20)</f>
        <v>20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82440</v>
      </c>
      <c r="M118" s="154">
        <f t="shared" ca="1" si="58"/>
        <v>82440</v>
      </c>
      <c r="N118" s="154">
        <f t="shared" ca="1" si="58"/>
        <v>66410</v>
      </c>
      <c r="O118" s="153">
        <f t="shared" ref="O118:O120" ca="1" si="59">IF(L118&gt;0,N118*100/L118,0)</f>
        <v>80.555555555555557</v>
      </c>
      <c r="P118" s="153">
        <f t="shared" ref="P118:P120" ca="1" si="60">IF(M118&gt;0,N118*100/M118,0)</f>
        <v>80.555555555555557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82440</v>
      </c>
      <c r="M120" s="90">
        <f t="shared" ca="1" si="62"/>
        <v>82440</v>
      </c>
      <c r="N120" s="90">
        <f t="shared" ca="1" si="62"/>
        <v>66410</v>
      </c>
      <c r="O120" s="158">
        <f t="shared" ca="1" si="59"/>
        <v>80.555555555555557</v>
      </c>
      <c r="P120" s="158">
        <f t="shared" ca="1" si="60"/>
        <v>80.555555555555557</v>
      </c>
    </row>
    <row r="121" spans="1:16" ht="21.75" customHeight="1">
      <c r="A121" s="159"/>
      <c r="B121" s="160"/>
      <c r="C121" s="160" t="s">
        <v>16</v>
      </c>
      <c r="D121" s="570" t="s">
        <v>20</v>
      </c>
      <c r="E121" s="565"/>
      <c r="F121" s="565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IFERROR(__xludf.DUMMYFUNCTION("IMPORTRANGE(""https://docs.google.com/spreadsheets/d/1Yj_ptqi66GCucihVvJfMjLAmec39IyEx_6qawtMGysU/edit?usp=sharing"",""สบก!BA29"")"),82440)</f>
        <v>82440</v>
      </c>
      <c r="N122" s="170">
        <f ca="1">IFERROR(__xludf.DUMMYFUNCTION("IMPORTRANGE(""https://docs.google.com/spreadsheets/d/1Yj_ptqi66GCucihVvJfMjLAmec39IyEx_6qawtMGysU/edit?usp=sharing"",""สบก!BB29"")"),66410)</f>
        <v>66410</v>
      </c>
      <c r="O122" s="170">
        <f ca="1">IF(L122&gt;0,N122*100/L122,0)</f>
        <v>80.555555555555557</v>
      </c>
      <c r="P122" s="170">
        <f ca="1">IF(M122&gt;0,N122*100/M122,0)</f>
        <v>80.555555555555557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IFERROR(__xludf.DUMMYFUNCTION("IMPORTRANGE(""https://docs.google.com/spreadsheets/d/1Yj_ptqi66GCucihVvJfMjLAmec39IyEx_6qawtMGysU/edit?usp=sharing"",""สบก!AW29"")"),0)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IFERROR(__xludf.DUMMYFUNCTION("IMPORTRANGE(""https://docs.google.com/spreadsheets/d/1Yj_ptqi66GCucihVvJfMjLAmec39IyEx_6qawtMGysU/edit?usp=sharing"",""สบก!AX29"")"),82440)</f>
        <v>82440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IFERROR(__xludf.DUMMYFUNCTION("IMPORTRANGE(""https://docs.google.com/spreadsheets/d/1Yj_ptqi66GCucihVvJfMjLAmec39IyEx_6qawtMGysU/edit?usp=sharing"",""สบก!AY29"")"),0)</f>
        <v>0</v>
      </c>
      <c r="M126" s="52"/>
      <c r="N126" s="52">
        <f ca="1">IFERROR(__xludf.DUMMYFUNCTION("IMPORTRANGE(""https://docs.google.com/spreadsheets/d/1Yj_ptqi66GCucihVvJfMjLAmec39IyEx_6qawtMGysU/edit?usp=sharing"",""สบก!BC29"")"),0)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279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IFERROR(__xludf.DUMMYFUNCTION("IMPORTRANGE(""https://docs.google.com/spreadsheets/d/11923uPwbBZFjjGgGUA6NLw09EwE0CqkOc4q9oUmW1yo/edit?usp=sharing"",""เพชรบูรณ์!J58"")"),0)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IFERROR(__xludf.DUMMYFUNCTION("IMPORTRANGE(""https://docs.google.com/spreadsheets/d/11923uPwbBZFjjGgGUA6NLw09EwE0CqkOc4q9oUmW1yo/edit?usp=sharing"",""เพชรบูรณ์!J59"")"),1)</f>
        <v>1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IFERROR(__xludf.DUMMYFUNCTION("IMPORTRANGE(""https://docs.google.com/spreadsheets/d/11923uPwbBZFjjGgGUA6NLw09EwE0CqkOc4q9oUmW1yo/edit?usp=sharing"",""เพชรบูรณ์!J60"")"),1)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IFERROR(__xludf.DUMMYFUNCTION("IMPORTRANGE(""https://docs.google.com/spreadsheets/d/11923uPwbBZFjjGgGUA6NLw09EwE0CqkOc4q9oUmW1yo/edit?usp=sharing"",""เพชรบูรณ์!J61"")"),0)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IFERROR(__xludf.DUMMYFUNCTION("IMPORTRANGE(""https://docs.google.com/spreadsheets/d/11923uPwbBZFjjGgGUA6NLw09EwE0CqkOc4q9oUmW1yo/edit?usp=sharing"",""เพชรบูรณ์!I62"")"),20)</f>
        <v>20</v>
      </c>
      <c r="J132" s="205">
        <f ca="1">IFERROR(__xludf.DUMMYFUNCTION("IMPORTRANGE(""https://docs.google.com/spreadsheets/d/11923uPwbBZFjjGgGUA6NLw09EwE0CqkOc4q9oUmW1yo/edit?usp=sharing"",""เพชรบูรณ์!J62"")"),20)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IFERROR(__xludf.DUMMYFUNCTION("IMPORTRANGE(""https://docs.google.com/spreadsheets/d/11923uPwbBZFjjGgGUA6NLw09EwE0CqkOc4q9oUmW1yo/edit?usp=sharing"",""เพชรบูรณ์!I63"")"),20)</f>
        <v>20</v>
      </c>
      <c r="J133" s="205">
        <f ca="1">IFERROR(__xludf.DUMMYFUNCTION("IMPORTRANGE(""https://docs.google.com/spreadsheets/d/11923uPwbBZFjjGgGUA6NLw09EwE0CqkOc4q9oUmW1yo/edit?usp=sharing"",""เพชรบูรณ์!J63"")"),20)</f>
        <v>20</v>
      </c>
      <c r="K133" s="225">
        <f t="shared" ca="1" si="63"/>
        <v>100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IFERROR(__xludf.DUMMYFUNCTION("IMPORTRANGE(""https://docs.google.com/spreadsheets/d/11923uPwbBZFjjGgGUA6NLw09EwE0CqkOc4q9oUmW1yo/edit?usp=sharing"",""เพชรบูรณ์!J64"")"),0)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IFERROR(__xludf.DUMMYFUNCTION("IMPORTRANGE(""https://docs.google.com/spreadsheets/d/11923uPwbBZFjjGgGUA6NLw09EwE0CqkOc4q9oUmW1yo/edit?usp=sharing"",""เพชรบูรณ์!J65"")"),0)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IFERROR(__xludf.DUMMYFUNCTION("IMPORTRANGE(""https://docs.google.com/spreadsheets/d/11923uPwbBZFjjGgGUA6NLw09EwE0CqkOc4q9oUmW1yo/edit?usp=sharing"",""เพชรบูรณ์!I68"")"),15)</f>
        <v>15</v>
      </c>
      <c r="J138" s="268">
        <f ca="1">IFERROR(__xludf.DUMMYFUNCTION("IMPORTRANGE(""https://docs.google.com/spreadsheets/d/11923uPwbBZFjjGgGUA6NLw09EwE0CqkOc4q9oUmW1yo/edit?usp=sharing"",""เพชรบูรณ์!J68"")"),15)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254700</v>
      </c>
      <c r="M140" s="154">
        <f t="shared" ca="1" si="64"/>
        <v>185625</v>
      </c>
      <c r="N140" s="154">
        <f t="shared" ca="1" si="64"/>
        <v>143730</v>
      </c>
      <c r="O140" s="153">
        <f t="shared" ref="O140:O142" ca="1" si="65">IF(L140&gt;0,N140*100/L140,0)</f>
        <v>56.431095406360427</v>
      </c>
      <c r="P140" s="153">
        <f t="shared" ref="P140:P142" ca="1" si="66">IF(M140&gt;0,N140*100/M140,0)</f>
        <v>77.430303030303037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254700</v>
      </c>
      <c r="M142" s="90">
        <f t="shared" ca="1" si="68"/>
        <v>185625</v>
      </c>
      <c r="N142" s="90">
        <f t="shared" ca="1" si="68"/>
        <v>143730</v>
      </c>
      <c r="O142" s="158">
        <f t="shared" ca="1" si="65"/>
        <v>56.431095406360427</v>
      </c>
      <c r="P142" s="158">
        <f t="shared" ca="1" si="66"/>
        <v>77.430303030303037</v>
      </c>
    </row>
    <row r="143" spans="1:16" ht="21.75" customHeight="1">
      <c r="A143" s="159"/>
      <c r="B143" s="160"/>
      <c r="C143" s="160" t="s">
        <v>16</v>
      </c>
      <c r="D143" s="570" t="s">
        <v>20</v>
      </c>
      <c r="E143" s="565"/>
      <c r="F143" s="565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254700</v>
      </c>
      <c r="M144" s="169">
        <f ca="1">IFERROR(__xludf.DUMMYFUNCTION("IMPORTRANGE(""https://docs.google.com/spreadsheets/d/1Yj_ptqi66GCucihVvJfMjLAmec39IyEx_6qawtMGysU/edit?usp=sharing"",""สบก!BJ29"")"),185625)</f>
        <v>185625</v>
      </c>
      <c r="N144" s="170">
        <f ca="1">IFERROR(__xludf.DUMMYFUNCTION("IMPORTRANGE(""https://docs.google.com/spreadsheets/d/1Yj_ptqi66GCucihVvJfMjLAmec39IyEx_6qawtMGysU/edit?usp=sharing"",""สบก!BK29"")"),143730)</f>
        <v>143730</v>
      </c>
      <c r="O144" s="170">
        <f ca="1">IF(L144&gt;0,N144*100/L144,0)</f>
        <v>56.431095406360427</v>
      </c>
      <c r="P144" s="170">
        <f ca="1">IF(M144&gt;0,N144*100/M144,0)</f>
        <v>77.430303030303037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IFERROR(__xludf.DUMMYFUNCTION("IMPORTRANGE(""https://docs.google.com/spreadsheets/d/1Yj_ptqi66GCucihVvJfMjLAmec39IyEx_6qawtMGysU/edit?usp=sharing"",""สบก!BF29"")"),132000)</f>
        <v>132000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IFERROR(__xludf.DUMMYFUNCTION("IMPORTRANGE(""https://docs.google.com/spreadsheets/d/1Yj_ptqi66GCucihVvJfMjLAmec39IyEx_6qawtMGysU/edit?usp=sharing"",""สบก!BG29"")"),122700)</f>
        <v>122700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IFERROR(__xludf.DUMMYFUNCTION("IMPORTRANGE(""https://docs.google.com/spreadsheets/d/1Yj_ptqi66GCucihVvJfMjLAmec39IyEx_6qawtMGysU/edit?usp=sharing"",""สบก!BH29"")"),0)</f>
        <v>0</v>
      </c>
      <c r="M148" s="52"/>
      <c r="N148" s="52">
        <f ca="1">IFERROR(__xludf.DUMMYFUNCTION("IMPORTRANGE(""https://docs.google.com/spreadsheets/d/1Yj_ptqi66GCucihVvJfMjLAmec39IyEx_6qawtMGysU/edit?usp=sharing"",""สบก!BL29"")"),0)</f>
        <v>0</v>
      </c>
      <c r="O148" s="52">
        <f ca="1">IF(L148&gt;0,N148*100/L148,0)</f>
        <v>0</v>
      </c>
      <c r="P148" s="52"/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IFERROR(__xludf.DUMMYFUNCTION("IMPORTRANGE(""https://docs.google.com/spreadsheets/d/11923uPwbBZFjjGgGUA6NLw09EwE0CqkOc4q9oUmW1yo/edit?usp=sharing"",""เพชรบูรณ์!I74"")"),4)</f>
        <v>4</v>
      </c>
      <c r="J149" s="276">
        <f ca="1">IFERROR(__xludf.DUMMYFUNCTION("IMPORTRANGE(""https://docs.google.com/spreadsheets/d/11923uPwbBZFjjGgGUA6NLw09EwE0CqkOc4q9oUmW1yo/edit?usp=sharing"",""เพชรบูรณ์!J74"")"),2)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IFERROR(__xludf.DUMMYFUNCTION("IMPORTRANGE(""https://docs.google.com/spreadsheets/d/11923uPwbBZFjjGgGUA6NLw09EwE0CqkOc4q9oUmW1yo/edit?usp=sharing"",""เพชรบูรณ์!J79"")"),0)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IFERROR(__xludf.DUMMYFUNCTION("IMPORTRANGE(""https://docs.google.com/spreadsheets/d/11923uPwbBZFjjGgGUA6NLw09EwE0CqkOc4q9oUmW1yo/edit?usp=sharing"",""เพชรบูรณ์!J80"")"),1)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IFERROR(__xludf.DUMMYFUNCTION("IMPORTRANGE(""https://docs.google.com/spreadsheets/d/11923uPwbBZFjjGgGUA6NLw09EwE0CqkOc4q9oUmW1yo/edit?usp=sharing"",""เพชรบูรณ์!J81"")"),1)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IFERROR(__xludf.DUMMYFUNCTION("IMPORTRANGE(""https://docs.google.com/spreadsheets/d/11923uPwbBZFjjGgGUA6NLw09EwE0CqkOc4q9oUmW1yo/edit?usp=sharing"",""เพชรบูรณ์!J82"")"),1)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IFERROR(__xludf.DUMMYFUNCTION("IMPORTRANGE(""https://docs.google.com/spreadsheets/d/11923uPwbBZFjjGgGUA6NLw09EwE0CqkOc4q9oUmW1yo/edit?usp=sharing"",""เพชรบูรณ์!I83"")"),4)</f>
        <v>4</v>
      </c>
      <c r="J158" s="190">
        <f ca="1">IFERROR(__xludf.DUMMYFUNCTION("IMPORTRANGE(""https://docs.google.com/spreadsheets/d/11923uPwbBZFjjGgGUA6NLw09EwE0CqkOc4q9oUmW1yo/edit?usp=sharing"",""เพชรบูรณ์!J83"")"),2)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IFERROR(__xludf.DUMMYFUNCTION("IMPORTRANGE(""https://docs.google.com/spreadsheets/d/11923uPwbBZFjjGgGUA6NLw09EwE0CqkOc4q9oUmW1yo/edit?usp=sharing"",""เพชรบูรณ์!J84"")"),123)</f>
        <v>123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IFERROR(__xludf.DUMMYFUNCTION("IMPORTRANGE(""https://docs.google.com/spreadsheets/d/11923uPwbBZFjjGgGUA6NLw09EwE0CqkOc4q9oUmW1yo/edit?usp=sharing"",""เพชรบูรณ์!J85"")"),123)</f>
        <v>123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IFERROR(__xludf.DUMMYFUNCTION("IMPORTRANGE(""https://docs.google.com/spreadsheets/d/11923uPwbBZFjjGgGUA6NLw09EwE0CqkOc4q9oUmW1yo/edit?usp=sharing"",""เพชรบูรณ์!J86"")"),0)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IFERROR(__xludf.DUMMYFUNCTION("IMPORTRANGE(""https://docs.google.com/spreadsheets/d/11923uPwbBZFjjGgGUA6NLw09EwE0CqkOc4q9oUmW1yo/edit?usp=sharing"",""เพชรบูรณ์!J87"")"),0)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IFERROR(__xludf.DUMMYFUNCTION("IMPORTRANGE(""https://docs.google.com/spreadsheets/d/11923uPwbBZFjjGgGUA6NLw09EwE0CqkOc4q9oUmW1yo/edit?usp=sharing"",""เพชรบูรณ์!J88"")"),0)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IFERROR(__xludf.DUMMYFUNCTION("IMPORTRANGE(""https://docs.google.com/spreadsheets/d/11923uPwbBZFjjGgGUA6NLw09EwE0CqkOc4q9oUmW1yo/edit?usp=sharing"",""เพชรบูรณ์!I89"")"),2)</f>
        <v>2</v>
      </c>
      <c r="J164" s="285">
        <f ca="1">IFERROR(__xludf.DUMMYFUNCTION("IMPORTRANGE(""https://docs.google.com/spreadsheets/d/11923uPwbBZFjjGgGUA6NLw09EwE0CqkOc4q9oUmW1yo/edit?usp=sharing"",""เพชรบูรณ์!J89"")"),2)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IFERROR(__xludf.DUMMYFUNCTION("IMPORTRANGE(""https://docs.google.com/spreadsheets/d/11923uPwbBZFjjGgGUA6NLw09EwE0CqkOc4q9oUmW1yo/edit?usp=sharing"",""เพชรบูรณ์!J94"")"),0)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IFERROR(__xludf.DUMMYFUNCTION("IMPORTRANGE(""https://docs.google.com/spreadsheets/d/11923uPwbBZFjjGgGUA6NLw09EwE0CqkOc4q9oUmW1yo/edit?usp=sharing"",""เพชรบูรณ์!J95"")"),0)</f>
        <v>0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IFERROR(__xludf.DUMMYFUNCTION("IMPORTRANGE(""https://docs.google.com/spreadsheets/d/11923uPwbBZFjjGgGUA6NLw09EwE0CqkOc4q9oUmW1yo/edit?usp=sharing"",""เพชรบูรณ์!J96"")"),0)</f>
        <v>0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IFERROR(__xludf.DUMMYFUNCTION("IMPORTRANGE(""https://docs.google.com/spreadsheets/d/11923uPwbBZFjjGgGUA6NLw09EwE0CqkOc4q9oUmW1yo/edit?usp=sharing"",""เพชรบูรณ์!J97"")"),0)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IFERROR(__xludf.DUMMYFUNCTION("IMPORTRANGE(""https://docs.google.com/spreadsheets/d/11923uPwbBZFjjGgGUA6NLw09EwE0CqkOc4q9oUmW1yo/edit?usp=sharing"",""เพชรบูรณ์!I98"")"),2)</f>
        <v>2</v>
      </c>
      <c r="J173" s="190">
        <f ca="1">IFERROR(__xludf.DUMMYFUNCTION("IMPORTRANGE(""https://docs.google.com/spreadsheets/d/11923uPwbBZFjjGgGUA6NLw09EwE0CqkOc4q9oUmW1yo/edit?usp=sharing"",""เพชรบูรณ์!J98"")"),2)</f>
        <v>2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IFERROR(__xludf.DUMMYFUNCTION("IMPORTRANGE(""https://docs.google.com/spreadsheets/d/11923uPwbBZFjjGgGUA6NLw09EwE0CqkOc4q9oUmW1yo/edit?usp=sharing"",""เพชรบูรณ์!J99"")"),0)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IFERROR(__xludf.DUMMYFUNCTION("IMPORTRANGE(""https://docs.google.com/spreadsheets/d/11923uPwbBZFjjGgGUA6NLw09EwE0CqkOc4q9oUmW1yo/edit?usp=sharing"",""เพชรบูรณ์!J100"")"),1)</f>
        <v>1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IFERROR(__xludf.DUMMYFUNCTION("IMPORTRANGE(""https://docs.google.com/spreadsheets/d/11923uPwbBZFjjGgGUA6NLw09EwE0CqkOc4q9oUmW1yo/edit?usp=sharing"",""เพชรบูรณ์!I101"")"),2)</f>
        <v>2</v>
      </c>
      <c r="J176" s="285">
        <f ca="1">IFERROR(__xludf.DUMMYFUNCTION("IMPORTRANGE(""https://docs.google.com/spreadsheets/d/11923uPwbBZFjjGgGUA6NLw09EwE0CqkOc4q9oUmW1yo/edit?usp=sharing"",""เพชรบูรณ์!J101"")"),1)</f>
        <v>1</v>
      </c>
      <c r="K176" s="286">
        <f ca="1">IF(I176&gt;0,J176*100/I176,0)</f>
        <v>50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IFERROR(__xludf.DUMMYFUNCTION("IMPORTRANGE(""https://docs.google.com/spreadsheets/d/11923uPwbBZFjjGgGUA6NLw09EwE0CqkOc4q9oUmW1yo/edit?usp=sharing"",""เพชรบูรณ์!J106"")"),0)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IFERROR(__xludf.DUMMYFUNCTION("IMPORTRANGE(""https://docs.google.com/spreadsheets/d/11923uPwbBZFjjGgGUA6NLw09EwE0CqkOc4q9oUmW1yo/edit?usp=sharing"",""เพชรบูรณ์!J107"")"),1)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IFERROR(__xludf.DUMMYFUNCTION("IMPORTRANGE(""https://docs.google.com/spreadsheets/d/11923uPwbBZFjjGgGUA6NLw09EwE0CqkOc4q9oUmW1yo/edit?usp=sharing"",""เพชรบูรณ์!J108"")"),0)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IFERROR(__xludf.DUMMYFUNCTION("IMPORTRANGE(""https://docs.google.com/spreadsheets/d/11923uPwbBZFjjGgGUA6NLw09EwE0CqkOc4q9oUmW1yo/edit?usp=sharing"",""เพชรบูรณ์!J109"")"),0)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IFERROR(__xludf.DUMMYFUNCTION("IMPORTRANGE(""https://docs.google.com/spreadsheets/d/11923uPwbBZFjjGgGUA6NLw09EwE0CqkOc4q9oUmW1yo/edit?usp=sharing"",""เพชรบูรณ์!I110"")"),2)</f>
        <v>2</v>
      </c>
      <c r="J185" s="205">
        <f ca="1">IFERROR(__xludf.DUMMYFUNCTION("IMPORTRANGE(""https://docs.google.com/spreadsheets/d/11923uPwbBZFjjGgGUA6NLw09EwE0CqkOc4q9oUmW1yo/edit?usp=sharing"",""เพชรบูรณ์!J110"")"),1)</f>
        <v>1</v>
      </c>
      <c r="K185" s="225">
        <f t="shared" ref="K185:K186" ca="1" si="69">IF(I185&gt;0,J185*100/I185,0)</f>
        <v>50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IFERROR(__xludf.DUMMYFUNCTION("IMPORTRANGE(""https://docs.google.com/spreadsheets/d/11923uPwbBZFjjGgGUA6NLw09EwE0CqkOc4q9oUmW1yo/edit?usp=sharing"",""เพชรบูรณ์!I111"")"),2)</f>
        <v>2</v>
      </c>
      <c r="J186" s="205">
        <f ca="1">IFERROR(__xludf.DUMMYFUNCTION("IMPORTRANGE(""https://docs.google.com/spreadsheets/d/11923uPwbBZFjjGgGUA6NLw09EwE0CqkOc4q9oUmW1yo/edit?usp=sharing"",""เพชรบูรณ์!J111"")"),1)</f>
        <v>1</v>
      </c>
      <c r="K186" s="225">
        <f t="shared" ca="1" si="69"/>
        <v>50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IFERROR(__xludf.DUMMYFUNCTION("IMPORTRANGE(""https://docs.google.com/spreadsheets/d/11923uPwbBZFjjGgGUA6NLw09EwE0CqkOc4q9oUmW1yo/edit?usp=sharing"",""เพชรบูรณ์!J112"")"),0)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IFERROR(__xludf.DUMMYFUNCTION("IMPORTRANGE(""https://docs.google.com/spreadsheets/d/11923uPwbBZFjjGgGUA6NLw09EwE0CqkOc4q9oUmW1yo/edit?usp=sharing"",""เพชรบูรณ์!J113"")"),0)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IFERROR(__xludf.DUMMYFUNCTION("IMPORTRANGE(""https://docs.google.com/spreadsheets/d/11923uPwbBZFjjGgGUA6NLw09EwE0CqkOc4q9oUmW1yo/edit?usp=sharing"",""เพชรบูรณ์!I114"")"),128000)</f>
        <v>128000</v>
      </c>
      <c r="J189" s="285">
        <f ca="1">IFERROR(__xludf.DUMMYFUNCTION("IMPORTRANGE(""https://docs.google.com/spreadsheets/d/11923uPwbBZFjjGgGUA6NLw09EwE0CqkOc4q9oUmW1yo/edit?usp=sharing"",""เพชรบูรณ์!J114"")"),0)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IFERROR(__xludf.DUMMYFUNCTION("IMPORTRANGE(""https://docs.google.com/spreadsheets/d/11923uPwbBZFjjGgGUA6NLw09EwE0CqkOc4q9oUmW1yo/edit?usp=sharing"",""เพชรบูรณ์!J119"")"),0)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IFERROR(__xludf.DUMMYFUNCTION("IMPORTRANGE(""https://docs.google.com/spreadsheets/d/11923uPwbBZFjjGgGUA6NLw09EwE0CqkOc4q9oUmW1yo/edit?usp=sharing"",""เพชรบูรณ์!J120"")"),1)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IFERROR(__xludf.DUMMYFUNCTION("IMPORTRANGE(""https://docs.google.com/spreadsheets/d/11923uPwbBZFjjGgGUA6NLw09EwE0CqkOc4q9oUmW1yo/edit?usp=sharing"",""เพชรบูรณ์!J121"")"),1)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IFERROR(__xludf.DUMMYFUNCTION("IMPORTRANGE(""https://docs.google.com/spreadsheets/d/11923uPwbBZFjjGgGUA6NLw09EwE0CqkOc4q9oUmW1yo/edit?usp=sharing"",""เพชรบูรณ์!J122"")"),1)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IFERROR(__xludf.DUMMYFUNCTION("IMPORTRANGE(""https://docs.google.com/spreadsheets/d/11923uPwbBZFjjGgGUA6NLw09EwE0CqkOc4q9oUmW1yo/edit?usp=sharing"",""เพชรบูรณ์!I124"")"),128000)</f>
        <v>128000</v>
      </c>
      <c r="J199" s="190">
        <f ca="1">IFERROR(__xludf.DUMMYFUNCTION("IMPORTRANGE(""https://docs.google.com/spreadsheets/d/11923uPwbBZFjjGgGUA6NLw09EwE0CqkOc4q9oUmW1yo/edit?usp=sharing"",""เพชรบูรณ์!J124"")"),128000)</f>
        <v>128000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IFERROR(__xludf.DUMMYFUNCTION("IMPORTRANGE(""https://docs.google.com/spreadsheets/d/11923uPwbBZFjjGgGUA6NLw09EwE0CqkOc4q9oUmW1yo/edit?usp=sharing"",""เพชรบูรณ์!I125"")"),128000)</f>
        <v>128000</v>
      </c>
      <c r="J200" s="190">
        <f ca="1">IFERROR(__xludf.DUMMYFUNCTION("IMPORTRANGE(""https://docs.google.com/spreadsheets/d/11923uPwbBZFjjGgGUA6NLw09EwE0CqkOc4q9oUmW1yo/edit?usp=sharing"",""เพชรบูรณ์!J125"")"),0)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IFERROR(__xludf.DUMMYFUNCTION("IMPORTRANGE(""https://docs.google.com/spreadsheets/d/11923uPwbBZFjjGgGUA6NLw09EwE0CqkOc4q9oUmW1yo/edit?usp=sharing"",""เพชรบูรณ์!I126"")"),15)</f>
        <v>15</v>
      </c>
      <c r="J201" s="190">
        <f ca="1">IFERROR(__xludf.DUMMYFUNCTION("IMPORTRANGE(""https://docs.google.com/spreadsheets/d/11923uPwbBZFjjGgGUA6NLw09EwE0CqkOc4q9oUmW1yo/edit?usp=sharing"",""เพชรบูรณ์!J126"")"),15)</f>
        <v>15</v>
      </c>
      <c r="K201" s="165">
        <f t="shared" ca="1" si="70"/>
        <v>100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IFERROR(__xludf.DUMMYFUNCTION("IMPORTRANGE(""https://docs.google.com/spreadsheets/d/11923uPwbBZFjjGgGUA6NLw09EwE0CqkOc4q9oUmW1yo/edit?usp=sharing"",""เพชรบูรณ์!J127"")"),0)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IFERROR(__xludf.DUMMYFUNCTION("IMPORTRANGE(""https://docs.google.com/spreadsheets/d/11923uPwbBZFjjGgGUA6NLw09EwE0CqkOc4q9oUmW1yo/edit?usp=sharing"",""เพชรบูรณ์!J128"")"),0)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IFERROR(__xludf.DUMMYFUNCTION("IMPORTRANGE(""https://docs.google.com/spreadsheets/d/11923uPwbBZFjjGgGUA6NLw09EwE0CqkOc4q9oUmW1yo/edit?usp=sharing"",""เพชรบูรณ์!I129"")"),0)</f>
        <v>0</v>
      </c>
      <c r="J204" s="285">
        <f ca="1">IFERROR(__xludf.DUMMYFUNCTION("IMPORTRANGE(""https://docs.google.com/spreadsheets/d/11923uPwbBZFjjGgGUA6NLw09EwE0CqkOc4q9oUmW1yo/edit?usp=sharing"",""เพชรบูรณ์!J129"")"),0)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IFERROR(__xludf.DUMMYFUNCTION("IMPORTRANGE(""https://docs.google.com/spreadsheets/d/11923uPwbBZFjjGgGUA6NLw09EwE0CqkOc4q9oUmW1yo/edit?usp=sharing"",""เพชรบูรณ์!J134"")"),0)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IFERROR(__xludf.DUMMYFUNCTION("IMPORTRANGE(""https://docs.google.com/spreadsheets/d/11923uPwbBZFjjGgGUA6NLw09EwE0CqkOc4q9oUmW1yo/edit?usp=sharing"",""เพชรบูรณ์!J135"")"),0)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IFERROR(__xludf.DUMMYFUNCTION("IMPORTRANGE(""https://docs.google.com/spreadsheets/d/11923uPwbBZFjjGgGUA6NLw09EwE0CqkOc4q9oUmW1yo/edit?usp=sharing"",""เพชรบูรณ์!J136"")"),0)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IFERROR(__xludf.DUMMYFUNCTION("IMPORTRANGE(""https://docs.google.com/spreadsheets/d/11923uPwbBZFjjGgGUA6NLw09EwE0CqkOc4q9oUmW1yo/edit?usp=sharing"",""เพชรบูรณ์!J137"")"),0)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IFERROR(__xludf.DUMMYFUNCTION("IMPORTRANGE(""https://docs.google.com/spreadsheets/d/11923uPwbBZFjjGgGUA6NLw09EwE0CqkOc4q9oUmW1yo/edit?usp=sharing"",""เพชรบูรณ์!I138"")"),0)</f>
        <v>0</v>
      </c>
      <c r="J213" s="205">
        <f ca="1">IFERROR(__xludf.DUMMYFUNCTION("IMPORTRANGE(""https://docs.google.com/spreadsheets/d/11923uPwbBZFjjGgGUA6NLw09EwE0CqkOc4q9oUmW1yo/edit?usp=sharing"",""เพชรบูรณ์!J138"")"),0)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IFERROR(__xludf.DUMMYFUNCTION("IMPORTRANGE(""https://docs.google.com/spreadsheets/d/11923uPwbBZFjjGgGUA6NLw09EwE0CqkOc4q9oUmW1yo/edit?usp=sharing"",""เพชรบูรณ์!I140"")"),0)</f>
        <v>0</v>
      </c>
      <c r="J215" s="205">
        <f ca="1">IFERROR(__xludf.DUMMYFUNCTION("IMPORTRANGE(""https://docs.google.com/spreadsheets/d/11923uPwbBZFjjGgGUA6NLw09EwE0CqkOc4q9oUmW1yo/edit?usp=sharing"",""เพชรบูรณ์!J140"")"),0)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IFERROR(__xludf.DUMMYFUNCTION("IMPORTRANGE(""https://docs.google.com/spreadsheets/d/11923uPwbBZFjjGgGUA6NLw09EwE0CqkOc4q9oUmW1yo/edit?usp=sharing"",""เพชรบูรณ์!I141"")"),0)</f>
        <v>0</v>
      </c>
      <c r="J216" s="205">
        <f ca="1">IFERROR(__xludf.DUMMYFUNCTION("IMPORTRANGE(""https://docs.google.com/spreadsheets/d/11923uPwbBZFjjGgGUA6NLw09EwE0CqkOc4q9oUmW1yo/edit?usp=sharing"",""เพชรบูรณ์!J141"")"),0)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IFERROR(__xludf.DUMMYFUNCTION("IMPORTRANGE(""https://docs.google.com/spreadsheets/d/11923uPwbBZFjjGgGUA6NLw09EwE0CqkOc4q9oUmW1yo/edit?usp=sharing"",""เพชรบูรณ์!J142"")"),0)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IFERROR(__xludf.DUMMYFUNCTION("IMPORTRANGE(""https://docs.google.com/spreadsheets/d/11923uPwbBZFjjGgGUA6NLw09EwE0CqkOc4q9oUmW1yo/edit?usp=sharing"",""เพชรบูรณ์!J143"")"),0)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IFERROR(__xludf.DUMMYFUNCTION("IMPORTRANGE(""https://docs.google.com/spreadsheets/d/11923uPwbBZFjjGgGUA6NLw09EwE0CqkOc4q9oUmW1yo/edit?usp=sharing"",""เพชรบูรณ์!I144"")"),15)</f>
        <v>15</v>
      </c>
      <c r="J219" s="268">
        <f ca="1">IFERROR(__xludf.DUMMYFUNCTION("IMPORTRANGE(""https://docs.google.com/spreadsheets/d/11923uPwbBZFjjGgGUA6NLw09EwE0CqkOc4q9oUmW1yo/edit?usp=sharing"",""เพชรบูรณ์!J144"")"),15)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21125</v>
      </c>
      <c r="M222" s="90">
        <f t="shared" ca="1" si="76"/>
        <v>21125</v>
      </c>
      <c r="N222" s="90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59"/>
      <c r="B223" s="160"/>
      <c r="C223" s="160" t="s">
        <v>16</v>
      </c>
      <c r="D223" s="570" t="s">
        <v>20</v>
      </c>
      <c r="E223" s="565"/>
      <c r="F223" s="565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IFERROR(__xludf.DUMMYFUNCTION("IMPORTRANGE(""https://docs.google.com/spreadsheets/d/1Yj_ptqi66GCucihVvJfMjLAmec39IyEx_6qawtMGysU/edit?usp=sharing"",""สบก!BS29"")"),21125)</f>
        <v>21125</v>
      </c>
      <c r="N224" s="170">
        <f ca="1">IFERROR(__xludf.DUMMYFUNCTION("IMPORTRANGE(""https://docs.google.com/spreadsheets/d/1Yj_ptqi66GCucihVvJfMjLAmec39IyEx_6qawtMGysU/edit?usp=sharing"",""สบก!BT29"")"),21125)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IFERROR(__xludf.DUMMYFUNCTION("IMPORTRANGE(""https://docs.google.com/spreadsheets/d/1Yj_ptqi66GCucihVvJfMjLAmec39IyEx_6qawtMGysU/edit?usp=sharing"",""สบก!BO29"")"),0)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IFERROR(__xludf.DUMMYFUNCTION("IMPORTRANGE(""https://docs.google.com/spreadsheets/d/1Yj_ptqi66GCucihVvJfMjLAmec39IyEx_6qawtMGysU/edit?usp=sharing"",""สบก!BP29"")"),21125)</f>
        <v>21125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IFERROR(__xludf.DUMMYFUNCTION("IMPORTRANGE(""https://docs.google.com/spreadsheets/d/1Yj_ptqi66GCucihVvJfMjLAmec39IyEx_6qawtMGysU/edit?usp=sharing"",""สบก!BQ29"")"),0)</f>
        <v>0</v>
      </c>
      <c r="M228" s="52"/>
      <c r="N228" s="52">
        <f ca="1">IFERROR(__xludf.DUMMYFUNCTION("IMPORTRANGE(""https://docs.google.com/spreadsheets/d/1Yj_ptqi66GCucihVvJfMjLAmec39IyEx_6qawtMGysU/edit?usp=sharing"",""สบก!BU29"")"),0)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IFERROR(__xludf.DUMMYFUNCTION("IMPORTRANGE(""https://docs.google.com/spreadsheets/d/11923uPwbBZFjjGgGUA6NLw09EwE0CqkOc4q9oUmW1yo/edit?usp=sharing"",""เพชรบูรณ์!I149"")"),15)</f>
        <v>15</v>
      </c>
      <c r="J229" s="268">
        <f ca="1">IFERROR(__xludf.DUMMYFUNCTION("IMPORTRANGE(""https://docs.google.com/spreadsheets/d/11923uPwbBZFjjGgGUA6NLw09EwE0CqkOc4q9oUmW1yo/edit?usp=sharing"",""เพชรบูรณ์!J149"")"),15)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IFERROR(__xludf.DUMMYFUNCTION("IMPORTRANGE(""https://docs.google.com/spreadsheets/d/11923uPwbBZFjjGgGUA6NLw09EwE0CqkOc4q9oUmW1yo/edit?usp=sharing"",""เพชรบูรณ์!J151"")"),0)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IFERROR(__xludf.DUMMYFUNCTION("IMPORTRANGE(""https://docs.google.com/spreadsheets/d/11923uPwbBZFjjGgGUA6NLw09EwE0CqkOc4q9oUmW1yo/edit?usp=sharing"",""เพชรบูรณ์!J152"")"),0)</f>
        <v>0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IFERROR(__xludf.DUMMYFUNCTION("IMPORTRANGE(""https://docs.google.com/spreadsheets/d/11923uPwbBZFjjGgGUA6NLw09EwE0CqkOc4q9oUmW1yo/edit?usp=sharing"",""เพชรบูรณ์!J153"")"),1)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IFERROR(__xludf.DUMMYFUNCTION("IMPORTRANGE(""https://docs.google.com/spreadsheets/d/11923uPwbBZFjjGgGUA6NLw09EwE0CqkOc4q9oUmW1yo/edit?usp=sharing"",""เพชรบูรณ์!J154"")"),1)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IFERROR(__xludf.DUMMYFUNCTION("IMPORTRANGE(""https://docs.google.com/spreadsheets/d/11923uPwbBZFjjGgGUA6NLw09EwE0CqkOc4q9oUmW1yo/edit?usp=sharing"",""เพชรบูรณ์!I155"")"),15)</f>
        <v>15</v>
      </c>
      <c r="J235" s="190">
        <f ca="1">IFERROR(__xludf.DUMMYFUNCTION("IMPORTRANGE(""https://docs.google.com/spreadsheets/d/11923uPwbBZFjjGgGUA6NLw09EwE0CqkOc4q9oUmW1yo/edit?usp=sharing"",""เพชรบูรณ์!J155"")"),15)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IFERROR(__xludf.DUMMYFUNCTION("IMPORTRANGE(""https://docs.google.com/spreadsheets/d/11923uPwbBZFjjGgGUA6NLw09EwE0CqkOc4q9oUmW1yo/edit?usp=sharing"",""เพชรบูรณ์!J156"")"),0)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IFERROR(__xludf.DUMMYFUNCTION("IMPORTRANGE(""https://docs.google.com/spreadsheets/d/11923uPwbBZFjjGgGUA6NLw09EwE0CqkOc4q9oUmW1yo/edit?usp=sharing"",""เพชรบูรณ์!J157"")"),1)</f>
        <v>1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IFERROR(__xludf.DUMMYFUNCTION("IMPORTRANGE(""https://docs.google.com/spreadsheets/d/11923uPwbBZFjjGgGUA6NLw09EwE0CqkOc4q9oUmW1yo/edit?usp=sharing"",""เพชรบูรณ์!I158"")"),0)</f>
        <v>0</v>
      </c>
      <c r="J238" s="268">
        <f ca="1">IFERROR(__xludf.DUMMYFUNCTION("IMPORTRANGE(""https://docs.google.com/spreadsheets/d/11923uPwbBZFjjGgGUA6NLw09EwE0CqkOc4q9oUmW1yo/edit?usp=sharing"",""เพชรบูรณ์!J158"")"),0)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IFERROR(__xludf.DUMMYFUNCTION("IMPORTRANGE(""https://docs.google.com/spreadsheets/d/11923uPwbBZFjjGgGUA6NLw09EwE0CqkOc4q9oUmW1yo/edit?usp=sharing"",""เพชรบูรณ์!J159"")"),"")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IFERROR(__xludf.DUMMYFUNCTION("IMPORTRANGE(""https://docs.google.com/spreadsheets/d/11923uPwbBZFjjGgGUA6NLw09EwE0CqkOc4q9oUmW1yo/edit?usp=sharing"",""เพชรบูรณ์!J161"")"),0)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IFERROR(__xludf.DUMMYFUNCTION("IMPORTRANGE(""https://docs.google.com/spreadsheets/d/11923uPwbBZFjjGgGUA6NLw09EwE0CqkOc4q9oUmW1yo/edit?usp=sharing"",""เพชรบูรณ์!J162"")"),0)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IFERROR(__xludf.DUMMYFUNCTION("IMPORTRANGE(""https://docs.google.com/spreadsheets/d/11923uPwbBZFjjGgGUA6NLw09EwE0CqkOc4q9oUmW1yo/edit?usp=sharing"",""เพชรบูรณ์!J163"")"),0)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IFERROR(__xludf.DUMMYFUNCTION("IMPORTRANGE(""https://docs.google.com/spreadsheets/d/11923uPwbBZFjjGgGUA6NLw09EwE0CqkOc4q9oUmW1yo/edit?usp=sharing"",""เพชรบูรณ์!I164"")"),0)</f>
        <v>0</v>
      </c>
      <c r="J244" s="189">
        <f ca="1">IFERROR(__xludf.DUMMYFUNCTION("IMPORTRANGE(""https://docs.google.com/spreadsheets/d/11923uPwbBZFjjGgGUA6NLw09EwE0CqkOc4q9oUmW1yo/edit?usp=sharing"",""เพชรบูรณ์!J164"")"),0)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IFERROR(__xludf.DUMMYFUNCTION("IMPORTRANGE(""https://docs.google.com/spreadsheets/d/11923uPwbBZFjjGgGUA6NLw09EwE0CqkOc4q9oUmW1yo/edit?usp=sharing"",""เพชรบูรณ์!J165"")"),0)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IFERROR(__xludf.DUMMYFUNCTION("IMPORTRANGE(""https://docs.google.com/spreadsheets/d/11923uPwbBZFjjGgGUA6NLw09EwE0CqkOc4q9oUmW1yo/edit?usp=sharing"",""เพชรบูรณ์!J166"")"),0)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IFERROR(__xludf.DUMMYFUNCTION("IMPORTRANGE(""https://docs.google.com/spreadsheets/d/11923uPwbBZFjjGgGUA6NLw09EwE0CqkOc4q9oUmW1yo/edit?usp=sharing"",""เพชรบูรณ์!I169"")"),25)</f>
        <v>25</v>
      </c>
      <c r="J249" s="317">
        <f ca="1">IFERROR(__xludf.DUMMYFUNCTION("IMPORTRANGE(""https://docs.google.com/spreadsheets/d/11923uPwbBZFjjGgGUA6NLw09EwE0CqkOc4q9oUmW1yo/edit?usp=sharing"",""เพชรบูรณ์!J169"")"),25)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199000</v>
      </c>
      <c r="M250" s="154">
        <f t="shared" ca="1" si="77"/>
        <v>177000</v>
      </c>
      <c r="N250" s="154">
        <f t="shared" ca="1" si="77"/>
        <v>113624</v>
      </c>
      <c r="O250" s="153">
        <f t="shared" ref="O250:O252" ca="1" si="78">IF(L250&gt;0,N250*100/L250,0)</f>
        <v>57.097487437185933</v>
      </c>
      <c r="P250" s="153">
        <f t="shared" ref="P250:P252" ca="1" si="79">IF(M250&gt;0,N250*100/M250,0)</f>
        <v>64.194350282485871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199000</v>
      </c>
      <c r="M252" s="90">
        <f t="shared" ca="1" si="81"/>
        <v>177000</v>
      </c>
      <c r="N252" s="90">
        <f t="shared" ca="1" si="81"/>
        <v>113624</v>
      </c>
      <c r="O252" s="158">
        <f t="shared" ca="1" si="78"/>
        <v>57.097487437185933</v>
      </c>
      <c r="P252" s="158">
        <f t="shared" ca="1" si="79"/>
        <v>64.194350282485871</v>
      </c>
    </row>
    <row r="253" spans="1:16" ht="21.75" customHeight="1">
      <c r="A253" s="159"/>
      <c r="B253" s="160"/>
      <c r="C253" s="160" t="s">
        <v>16</v>
      </c>
      <c r="D253" s="570" t="s">
        <v>20</v>
      </c>
      <c r="E253" s="565"/>
      <c r="F253" s="565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199000</v>
      </c>
      <c r="M254" s="169">
        <f ca="1">IFERROR(__xludf.DUMMYFUNCTION("IMPORTRANGE(""https://docs.google.com/spreadsheets/d/1Yj_ptqi66GCucihVvJfMjLAmec39IyEx_6qawtMGysU/edit?usp=sharing"",""สบก!CB29"")"),177000)</f>
        <v>177000</v>
      </c>
      <c r="N254" s="170">
        <f ca="1">IFERROR(__xludf.DUMMYFUNCTION("IMPORTRANGE(""https://docs.google.com/spreadsheets/d/1Yj_ptqi66GCucihVvJfMjLAmec39IyEx_6qawtMGysU/edit?usp=sharing"",""สบก!CC29"")"),113624)</f>
        <v>113624</v>
      </c>
      <c r="O254" s="170">
        <f ca="1">IF(L254&gt;0,N254*100/L254,0)</f>
        <v>57.097487437185933</v>
      </c>
      <c r="P254" s="170">
        <f ca="1">IF(M254&gt;0,N254*100/M254,0)</f>
        <v>64.194350282485871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IFERROR(__xludf.DUMMYFUNCTION("IMPORTRANGE(""https://docs.google.com/spreadsheets/d/1Yj_ptqi66GCucihVvJfMjLAmec39IyEx_6qawtMGysU/edit?usp=sharing"",""สบก!BX29"")"),0)</f>
        <v>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IFERROR(__xludf.DUMMYFUNCTION("IMPORTRANGE(""https://docs.google.com/spreadsheets/d/1Yj_ptqi66GCucihVvJfMjLAmec39IyEx_6qawtMGysU/edit?usp=sharing"",""สบก!BY29"")"),199000)</f>
        <v>199000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IFERROR(__xludf.DUMMYFUNCTION("IMPORTRANGE(""https://docs.google.com/spreadsheets/d/1Yj_ptqi66GCucihVvJfMjLAmec39IyEx_6qawtMGysU/edit?usp=sharing"",""สบก!BZ29"")"),0)</f>
        <v>0</v>
      </c>
      <c r="M258" s="52"/>
      <c r="N258" s="52">
        <f ca="1">IFERROR(__xludf.DUMMYFUNCTION("IMPORTRANGE(""https://docs.google.com/spreadsheets/d/1Yj_ptqi66GCucihVvJfMjLAmec39IyEx_6qawtMGysU/edit?usp=sharing"",""สบก!CD29"")"),0)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IFERROR(__xludf.DUMMYFUNCTION("IMPORTRANGE(""https://docs.google.com/spreadsheets/d/11923uPwbBZFjjGgGUA6NLw09EwE0CqkOc4q9oUmW1yo/edit?usp=sharing"",""เพชรบูรณ์!J175"")"),0)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IFERROR(__xludf.DUMMYFUNCTION("IMPORTRANGE(""https://docs.google.com/spreadsheets/d/11923uPwbBZFjjGgGUA6NLw09EwE0CqkOc4q9oUmW1yo/edit?usp=sharing"",""เพชรบูรณ์!J176"")"),1)</f>
        <v>1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IFERROR(__xludf.DUMMYFUNCTION("IMPORTRANGE(""https://docs.google.com/spreadsheets/d/11923uPwbBZFjjGgGUA6NLw09EwE0CqkOc4q9oUmW1yo/edit?usp=sharing"",""เพชรบูรณ์!J177"")"),1)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IFERROR(__xludf.DUMMYFUNCTION("IMPORTRANGE(""https://docs.google.com/spreadsheets/d/11923uPwbBZFjjGgGUA6NLw09EwE0CqkOc4q9oUmW1yo/edit?usp=sharing"",""เพชรบูรณ์!J178"")"),1)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IFERROR(__xludf.DUMMYFUNCTION("IMPORTRANGE(""https://docs.google.com/spreadsheets/d/11923uPwbBZFjjGgGUA6NLw09EwE0CqkOc4q9oUmW1yo/edit?usp=sharing"",""เพชรบูรณ์!I179"")"),1)</f>
        <v>1</v>
      </c>
      <c r="J264" s="190">
        <f ca="1">IFERROR(__xludf.DUMMYFUNCTION("IMPORTRANGE(""https://docs.google.com/spreadsheets/d/11923uPwbBZFjjGgGUA6NLw09EwE0CqkOc4q9oUmW1yo/edit?usp=sharing"",""เพชรบูรณ์!J179"")"),1)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IFERROR(__xludf.DUMMYFUNCTION("IMPORTRANGE(""https://docs.google.com/spreadsheets/d/11923uPwbBZFjjGgGUA6NLw09EwE0CqkOc4q9oUmW1yo/edit?usp=sharing"",""เพชรบูรณ์!I180"")"),25)</f>
        <v>25</v>
      </c>
      <c r="J265" s="190">
        <f ca="1">IFERROR(__xludf.DUMMYFUNCTION("IMPORTRANGE(""https://docs.google.com/spreadsheets/d/11923uPwbBZFjjGgGUA6NLw09EwE0CqkOc4q9oUmW1yo/edit?usp=sharing"",""เพชรบูรณ์!J180"")"),25)</f>
        <v>25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IFERROR(__xludf.DUMMYFUNCTION("IMPORTRANGE(""https://docs.google.com/spreadsheets/d/11923uPwbBZFjjGgGUA6NLw09EwE0CqkOc4q9oUmW1yo/edit?usp=sharing"",""เพชรบูรณ์!I181"")"),25)</f>
        <v>25</v>
      </c>
      <c r="J266" s="190">
        <f ca="1">IFERROR(__xludf.DUMMYFUNCTION("IMPORTRANGE(""https://docs.google.com/spreadsheets/d/11923uPwbBZFjjGgGUA6NLw09EwE0CqkOc4q9oUmW1yo/edit?usp=sharing"",""เพชรบูรณ์!J181"")"),25)</f>
        <v>25</v>
      </c>
      <c r="K266" s="165">
        <f t="shared" ca="1" si="82"/>
        <v>100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IFERROR(__xludf.DUMMYFUNCTION("IMPORTRANGE(""https://docs.google.com/spreadsheets/d/11923uPwbBZFjjGgGUA6NLw09EwE0CqkOc4q9oUmW1yo/edit?usp=sharing"",""เพชรบูรณ์!I182"")"),1)</f>
        <v>1</v>
      </c>
      <c r="J267" s="190">
        <f ca="1">IFERROR(__xludf.DUMMYFUNCTION("IMPORTRANGE(""https://docs.google.com/spreadsheets/d/11923uPwbBZFjjGgGUA6NLw09EwE0CqkOc4q9oUmW1yo/edit?usp=sharing"",""เพชรบูรณ์!J182"")"),1)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IFERROR(__xludf.DUMMYFUNCTION("IMPORTRANGE(""https://docs.google.com/spreadsheets/d/11923uPwbBZFjjGgGUA6NLw09EwE0CqkOc4q9oUmW1yo/edit?usp=sharing"",""เพชรบูรณ์!J183"")"),0)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IFERROR(__xludf.DUMMYFUNCTION("IMPORTRANGE(""https://docs.google.com/spreadsheets/d/11923uPwbBZFjjGgGUA6NLw09EwE0CqkOc4q9oUmW1yo/edit?usp=sharing"",""เพชรบูรณ์!J184"")"),0)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IFERROR(__xludf.DUMMYFUNCTION("IMPORTRANGE(""https://docs.google.com/spreadsheets/d/11923uPwbBZFjjGgGUA6NLw09EwE0CqkOc4q9oUmW1yo/edit?usp=sharing"",""เพชรบูรณ์!I185"")"),20)</f>
        <v>20</v>
      </c>
      <c r="J270" s="317">
        <f ca="1">IFERROR(__xludf.DUMMYFUNCTION("IMPORTRANGE(""https://docs.google.com/spreadsheets/d/11923uPwbBZFjjGgGUA6NLw09EwE0CqkOc4q9oUmW1yo/edit?usp=sharing"",""เพชรบูรณ์!J185"")"),20)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73700</v>
      </c>
      <c r="M271" s="154">
        <f t="shared" ca="1" si="83"/>
        <v>33000</v>
      </c>
      <c r="N271" s="154">
        <f t="shared" ca="1" si="83"/>
        <v>33000</v>
      </c>
      <c r="O271" s="153">
        <f t="shared" ref="O271:O273" ca="1" si="84">IF(L271&gt;0,N271*100/L271,0)</f>
        <v>44.776119402985074</v>
      </c>
      <c r="P271" s="153">
        <f t="shared" ref="P271:P273" ca="1" si="85">IF(M271&gt;0,N271*100/M271,0)</f>
        <v>100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73700</v>
      </c>
      <c r="M273" s="90">
        <f t="shared" ca="1" si="87"/>
        <v>33000</v>
      </c>
      <c r="N273" s="90">
        <f t="shared" ca="1" si="87"/>
        <v>33000</v>
      </c>
      <c r="O273" s="158">
        <f t="shared" ca="1" si="84"/>
        <v>44.776119402985074</v>
      </c>
      <c r="P273" s="158">
        <f t="shared" ca="1" si="85"/>
        <v>100</v>
      </c>
    </row>
    <row r="274" spans="1:16" ht="21.75" customHeight="1">
      <c r="A274" s="159"/>
      <c r="B274" s="160"/>
      <c r="C274" s="160" t="s">
        <v>16</v>
      </c>
      <c r="D274" s="570" t="s">
        <v>20</v>
      </c>
      <c r="E274" s="565"/>
      <c r="F274" s="565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73700</v>
      </c>
      <c r="M275" s="169">
        <f ca="1">IFERROR(__xludf.DUMMYFUNCTION("IMPORTRANGE(""https://docs.google.com/spreadsheets/d/1Yj_ptqi66GCucihVvJfMjLAmec39IyEx_6qawtMGysU/edit?usp=sharing"",""สบก!CK29"")"),33000)</f>
        <v>33000</v>
      </c>
      <c r="N275" s="170">
        <f ca="1">IFERROR(__xludf.DUMMYFUNCTION("IMPORTRANGE(""https://docs.google.com/spreadsheets/d/1Yj_ptqi66GCucihVvJfMjLAmec39IyEx_6qawtMGysU/edit?usp=sharing"",""สบก!CL29"")"),33000)</f>
        <v>33000</v>
      </c>
      <c r="O275" s="170">
        <f ca="1">IF(L275&gt;0,N275*100/L275,0)</f>
        <v>44.776119402985074</v>
      </c>
      <c r="P275" s="170">
        <f ca="1">IF(M275&gt;0,N275*100/M275,0)</f>
        <v>100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IFERROR(__xludf.DUMMYFUNCTION("IMPORTRANGE(""https://docs.google.com/spreadsheets/d/1Yj_ptqi66GCucihVvJfMjLAmec39IyEx_6qawtMGysU/edit?usp=sharing"",""สบก!CG29"")"),0)</f>
        <v>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IFERROR(__xludf.DUMMYFUNCTION("IMPORTRANGE(""https://docs.google.com/spreadsheets/d/1Yj_ptqi66GCucihVvJfMjLAmec39IyEx_6qawtMGysU/edit?usp=sharing"",""สบก!CH29"")"),73700)</f>
        <v>73700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IFERROR(__xludf.DUMMYFUNCTION("IMPORTRANGE(""https://docs.google.com/spreadsheets/d/1Yj_ptqi66GCucihVvJfMjLAmec39IyEx_6qawtMGysU/edit?usp=sharing"",""สบก!CI29"")"),0)</f>
        <v>0</v>
      </c>
      <c r="M279" s="52"/>
      <c r="N279" s="52">
        <f ca="1">IFERROR(__xludf.DUMMYFUNCTION("IMPORTRANGE(""https://docs.google.com/spreadsheets/d/1Yj_ptqi66GCucihVvJfMjLAmec39IyEx_6qawtMGysU/edit?usp=sharing"",""สบก!CM29"")"),0)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IFERROR(__xludf.DUMMYFUNCTION("IMPORTRANGE(""https://docs.google.com/spreadsheets/d/11923uPwbBZFjjGgGUA6NLw09EwE0CqkOc4q9oUmW1yo/edit?usp=sharing"",""เพชรบูรณ์!J191"")"),0)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IFERROR(__xludf.DUMMYFUNCTION("IMPORTRANGE(""https://docs.google.com/spreadsheets/d/11923uPwbBZFjjGgGUA6NLw09EwE0CqkOc4q9oUmW1yo/edit?usp=sharing"",""เพชรบูรณ์!J192"")"),1)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IFERROR(__xludf.DUMMYFUNCTION("IMPORTRANGE(""https://docs.google.com/spreadsheets/d/11923uPwbBZFjjGgGUA6NLw09EwE0CqkOc4q9oUmW1yo/edit?usp=sharing"",""เพชรบูรณ์!J193"")"),1)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IFERROR(__xludf.DUMMYFUNCTION("IMPORTRANGE(""https://docs.google.com/spreadsheets/d/11923uPwbBZFjjGgGUA6NLw09EwE0CqkOc4q9oUmW1yo/edit?usp=sharing"",""เพชรบูรณ์!J194"")"),1)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IFERROR(__xludf.DUMMYFUNCTION("IMPORTRANGE(""https://docs.google.com/spreadsheets/d/11923uPwbBZFjjGgGUA6NLw09EwE0CqkOc4q9oUmW1yo/edit?usp=sharing"",""เพชรบูรณ์!I195"")"),20)</f>
        <v>20</v>
      </c>
      <c r="J285" s="190">
        <f ca="1">IFERROR(__xludf.DUMMYFUNCTION("IMPORTRANGE(""https://docs.google.com/spreadsheets/d/11923uPwbBZFjjGgGUA6NLw09EwE0CqkOc4q9oUmW1yo/edit?usp=sharing"",""เพชรบูรณ์!J195"")"),20)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IFERROR(__xludf.DUMMYFUNCTION("IMPORTRANGE(""https://docs.google.com/spreadsheets/d/11923uPwbBZFjjGgGUA6NLw09EwE0CqkOc4q9oUmW1yo/edit?usp=sharing"",""เพชรบูรณ์!J196"")"),0)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IFERROR(__xludf.DUMMYFUNCTION("IMPORTRANGE(""https://docs.google.com/spreadsheets/d/11923uPwbBZFjjGgGUA6NLw09EwE0CqkOc4q9oUmW1yo/edit?usp=sharing"",""เพชรบูรณ์!J197"")"),0)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IFERROR(__xludf.DUMMYFUNCTION("IMPORTRANGE(""https://docs.google.com/spreadsheets/d/11923uPwbBZFjjGgGUA6NLw09EwE0CqkOc4q9oUmW1yo/edit?usp=sharing"",""เพชรบูรณ์!I199"")"),0)</f>
        <v>0</v>
      </c>
      <c r="J289" s="317">
        <f ca="1">IFERROR(__xludf.DUMMYFUNCTION("IMPORTRANGE(""https://docs.google.com/spreadsheets/d/11923uPwbBZFjjGgGUA6NLw09EwE0CqkOc4q9oUmW1yo/edit?usp=sharing"",""เพชรบูรณ์!J199"")"),0)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0</v>
      </c>
      <c r="M292" s="90">
        <f t="shared" ca="1" si="92"/>
        <v>0</v>
      </c>
      <c r="N292" s="90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59"/>
      <c r="B293" s="160"/>
      <c r="C293" s="160" t="s">
        <v>16</v>
      </c>
      <c r="D293" s="570" t="s">
        <v>20</v>
      </c>
      <c r="E293" s="565"/>
      <c r="F293" s="565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IFERROR(__xludf.DUMMYFUNCTION("IMPORTRANGE(""https://docs.google.com/spreadsheets/d/1Yj_ptqi66GCucihVvJfMjLAmec39IyEx_6qawtMGysU/edit?usp=sharing"",""สบก!CT29"")"),0)</f>
        <v>0</v>
      </c>
      <c r="N294" s="170">
        <f ca="1">IFERROR(__xludf.DUMMYFUNCTION("IMPORTRANGE(""https://docs.google.com/spreadsheets/d/1Yj_ptqi66GCucihVvJfMjLAmec39IyEx_6qawtMGysU/edit?usp=sharing"",""สบก!CU29"")"),0)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IFERROR(__xludf.DUMMYFUNCTION("IMPORTRANGE(""https://docs.google.com/spreadsheets/d/1Yj_ptqi66GCucihVvJfMjLAmec39IyEx_6qawtMGysU/edit?usp=sharing"",""สบก!CP29"")"),0)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IFERROR(__xludf.DUMMYFUNCTION("IMPORTRANGE(""https://docs.google.com/spreadsheets/d/1Yj_ptqi66GCucihVvJfMjLAmec39IyEx_6qawtMGysU/edit?usp=sharing"",""สบก!CQ29"")"),0)</f>
        <v>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IFERROR(__xludf.DUMMYFUNCTION("IMPORTRANGE(""https://docs.google.com/spreadsheets/d/1Yj_ptqi66GCucihVvJfMjLAmec39IyEx_6qawtMGysU/edit?usp=sharing"",""สบก!CR29"")"),0)</f>
        <v>0</v>
      </c>
      <c r="M298" s="52"/>
      <c r="N298" s="52">
        <f ca="1">IFERROR(__xludf.DUMMYFUNCTION("IMPORTRANGE(""https://docs.google.com/spreadsheets/d/1Yj_ptqi66GCucihVvJfMjLAmec39IyEx_6qawtMGysU/edit?usp=sharing"",""สบก!CV29"")"),0)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IFERROR(__xludf.DUMMYFUNCTION("IMPORTRANGE(""https://docs.google.com/spreadsheets/d/11923uPwbBZFjjGgGUA6NLw09EwE0CqkOc4q9oUmW1yo/edit?usp=sharing"",""เพชรบูรณ์!J205"")"),0)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IFERROR(__xludf.DUMMYFUNCTION("IMPORTRANGE(""https://docs.google.com/spreadsheets/d/11923uPwbBZFjjGgGUA6NLw09EwE0CqkOc4q9oUmW1yo/edit?usp=sharing"",""เพชรบูรณ์!J206"")"),0)</f>
        <v>0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IFERROR(__xludf.DUMMYFUNCTION("IMPORTRANGE(""https://docs.google.com/spreadsheets/d/11923uPwbBZFjjGgGUA6NLw09EwE0CqkOc4q9oUmW1yo/edit?usp=sharing"",""เพชรบูรณ์!J207"")"),0)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IFERROR(__xludf.DUMMYFUNCTION("IMPORTRANGE(""https://docs.google.com/spreadsheets/d/11923uPwbBZFjjGgGUA6NLw09EwE0CqkOc4q9oUmW1yo/edit?usp=sharing"",""เพชรบูรณ์!J208"")"),0)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IFERROR(__xludf.DUMMYFUNCTION("IMPORTRANGE(""https://docs.google.com/spreadsheets/d/11923uPwbBZFjjGgGUA6NLw09EwE0CqkOc4q9oUmW1yo/edit?usp=sharing"",""เพชรบูรณ์!I209"")"),0)</f>
        <v>0</v>
      </c>
      <c r="J304" s="205">
        <f ca="1">IFERROR(__xludf.DUMMYFUNCTION("IMPORTRANGE(""https://docs.google.com/spreadsheets/d/11923uPwbBZFjjGgGUA6NLw09EwE0CqkOc4q9oUmW1yo/edit?usp=sharing"",""เพชรบูรณ์!J209"")"),0)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IFERROR(__xludf.DUMMYFUNCTION("IMPORTRANGE(""https://docs.google.com/spreadsheets/d/11923uPwbBZFjjGgGUA6NLw09EwE0CqkOc4q9oUmW1yo/edit?usp=sharing"",""เพชรบูรณ์!I211"")"),0)</f>
        <v>0</v>
      </c>
      <c r="J306" s="205">
        <f ca="1">IFERROR(__xludf.DUMMYFUNCTION("IMPORTRANGE(""https://docs.google.com/spreadsheets/d/11923uPwbBZFjjGgGUA6NLw09EwE0CqkOc4q9oUmW1yo/edit?usp=sharing"",""เพชรบูรณ์!J211"")"),0)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IFERROR(__xludf.DUMMYFUNCTION("IMPORTRANGE(""https://docs.google.com/spreadsheets/d/11923uPwbBZFjjGgGUA6NLw09EwE0CqkOc4q9oUmW1yo/edit?usp=sharing"",""เพชรบูรณ์!J212"")"),0)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IFERROR(__xludf.DUMMYFUNCTION("IMPORTRANGE(""https://docs.google.com/spreadsheets/d/11923uPwbBZFjjGgGUA6NLw09EwE0CqkOc4q9oUmW1yo/edit?usp=sharing"",""เพชรบูรณ์!J213"")"),0)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IFERROR(__xludf.DUMMYFUNCTION("IMPORTRANGE(""https://docs.google.com/spreadsheets/d/11923uPwbBZFjjGgGUA6NLw09EwE0CqkOc4q9oUmW1yo/edit?usp=sharing"",""เพชรบูรณ์!I214"")"),0)</f>
        <v>0</v>
      </c>
      <c r="J309" s="334">
        <f ca="1">IFERROR(__xludf.DUMMYFUNCTION("IMPORTRANGE(""https://docs.google.com/spreadsheets/d/11923uPwbBZFjjGgGUA6NLw09EwE0CqkOc4q9oUmW1yo/edit?usp=sharing"",""เพชรบูรณ์!J214"")"),0)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0</v>
      </c>
      <c r="M312" s="90">
        <f t="shared" ca="1" si="97"/>
        <v>0</v>
      </c>
      <c r="N312" s="90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59"/>
      <c r="B313" s="160"/>
      <c r="C313" s="160" t="s">
        <v>16</v>
      </c>
      <c r="D313" s="570" t="s">
        <v>20</v>
      </c>
      <c r="E313" s="565"/>
      <c r="F313" s="565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IFERROR(__xludf.DUMMYFUNCTION("IMPORTRANGE(""https://docs.google.com/spreadsheets/d/1Yj_ptqi66GCucihVvJfMjLAmec39IyEx_6qawtMGysU/edit?usp=sharing"",""สบก!DC29"")"),0)</f>
        <v>0</v>
      </c>
      <c r="N314" s="170">
        <f ca="1">IFERROR(__xludf.DUMMYFUNCTION("IMPORTRANGE(""https://docs.google.com/spreadsheets/d/1Yj_ptqi66GCucihVvJfMjLAmec39IyEx_6qawtMGysU/edit?usp=sharing"",""สบก!DD29"")"),0)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IFERROR(__xludf.DUMMYFUNCTION("IMPORTRANGE(""https://docs.google.com/spreadsheets/d/1Yj_ptqi66GCucihVvJfMjLAmec39IyEx_6qawtMGysU/edit?usp=sharing"",""สบก!CY29"")"),0)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IFERROR(__xludf.DUMMYFUNCTION("IMPORTRANGE(""https://docs.google.com/spreadsheets/d/1Yj_ptqi66GCucihVvJfMjLAmec39IyEx_6qawtMGysU/edit?usp=sharing"",""สบก!CZ29"")"),0)</f>
        <v>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IFERROR(__xludf.DUMMYFUNCTION("IMPORTRANGE(""https://docs.google.com/spreadsheets/d/1Yj_ptqi66GCucihVvJfMjLAmec39IyEx_6qawtMGysU/edit?usp=sharing"",""สบก!DA29"")"),0)</f>
        <v>0</v>
      </c>
      <c r="M318" s="52"/>
      <c r="N318" s="52">
        <f ca="1">IFERROR(__xludf.DUMMYFUNCTION("IMPORTRANGE(""https://docs.google.com/spreadsheets/d/1Yj_ptqi66GCucihVvJfMjLAmec39IyEx_6qawtMGysU/edit?usp=sharing"",""สบก!DE29"")"),0)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IFERROR(__xludf.DUMMYFUNCTION("IMPORTRANGE(""https://docs.google.com/spreadsheets/d/11923uPwbBZFjjGgGUA6NLw09EwE0CqkOc4q9oUmW1yo/edit?usp=sharing"",""เพชรบูรณ์!J220"")"),0)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IFERROR(__xludf.DUMMYFUNCTION("IMPORTRANGE(""https://docs.google.com/spreadsheets/d/11923uPwbBZFjjGgGUA6NLw09EwE0CqkOc4q9oUmW1yo/edit?usp=sharing"",""เพชรบูรณ์!J221"")"),0)</f>
        <v>0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IFERROR(__xludf.DUMMYFUNCTION("IMPORTRANGE(""https://docs.google.com/spreadsheets/d/11923uPwbBZFjjGgGUA6NLw09EwE0CqkOc4q9oUmW1yo/edit?usp=sharing"",""เพชรบูรณ์!J222"")"),0)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IFERROR(__xludf.DUMMYFUNCTION("IMPORTRANGE(""https://docs.google.com/spreadsheets/d/11923uPwbBZFjjGgGUA6NLw09EwE0CqkOc4q9oUmW1yo/edit?usp=sharing"",""เพชรบูรณ์!J223"")"),0)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IFERROR(__xludf.DUMMYFUNCTION("IMPORTRANGE(""https://docs.google.com/spreadsheets/d/11923uPwbBZFjjGgGUA6NLw09EwE0CqkOc4q9oUmW1yo/edit?usp=sharing"",""เพชรบูรณ์!I224"")"),0)</f>
        <v>0</v>
      </c>
      <c r="J324" s="205">
        <f ca="1">IFERROR(__xludf.DUMMYFUNCTION("IMPORTRANGE(""https://docs.google.com/spreadsheets/d/11923uPwbBZFjjGgGUA6NLw09EwE0CqkOc4q9oUmW1yo/edit?usp=sharing"",""เพชรบูรณ์!J224"")"),0)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IFERROR(__xludf.DUMMYFUNCTION("IMPORTRANGE(""https://docs.google.com/spreadsheets/d/11923uPwbBZFjjGgGUA6NLw09EwE0CqkOc4q9oUmW1yo/edit?usp=sharing"",""เพชรบูรณ์!J225"")"),0)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IFERROR(__xludf.DUMMYFUNCTION("IMPORTRANGE(""https://docs.google.com/spreadsheets/d/11923uPwbBZFjjGgGUA6NLw09EwE0CqkOc4q9oUmW1yo/edit?usp=sharing"",""เพชรบูรณ์!J226"")"),0)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IFERROR(__xludf.DUMMYFUNCTION("IMPORTRANGE(""https://docs.google.com/spreadsheets/d/11923uPwbBZFjjGgGUA6NLw09EwE0CqkOc4q9oUmW1yo/edit?usp=sharing"",""เพชรบูรณ์!I228"")"),610)</f>
        <v>610</v>
      </c>
      <c r="J328" s="340">
        <f ca="1">IFERROR(__xludf.DUMMYFUNCTION("IMPORTRANGE(""https://docs.google.com/spreadsheets/d/11923uPwbBZFjjGgGUA6NLw09EwE0CqkOc4q9oUmW1yo/edit?usp=sharing"",""เพชรบูรณ์!J228"")"),129)</f>
        <v>129</v>
      </c>
      <c r="K328" s="318">
        <f ca="1">IF(I328&gt;0,J328*100/I328,0)</f>
        <v>21.147540983606557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1209740</v>
      </c>
      <c r="M329" s="154">
        <f t="shared" ca="1" si="98"/>
        <v>907580</v>
      </c>
      <c r="N329" s="154">
        <f t="shared" ca="1" si="98"/>
        <v>732415</v>
      </c>
      <c r="O329" s="153">
        <f t="shared" ref="O329:O331" ca="1" si="99">IF(L329&gt;0,N329*100/L329,0)</f>
        <v>60.543174566435766</v>
      </c>
      <c r="P329" s="153">
        <f t="shared" ref="P329:P331" ca="1" si="100">IF(M329&gt;0,N329*100/M329,0)</f>
        <v>80.699773022763836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1209740</v>
      </c>
      <c r="M331" s="90">
        <f t="shared" ca="1" si="102"/>
        <v>907580</v>
      </c>
      <c r="N331" s="90">
        <f t="shared" ca="1" si="102"/>
        <v>732415</v>
      </c>
      <c r="O331" s="158">
        <f t="shared" ca="1" si="99"/>
        <v>60.543174566435766</v>
      </c>
      <c r="P331" s="158">
        <f t="shared" ca="1" si="100"/>
        <v>80.699773022763836</v>
      </c>
    </row>
    <row r="332" spans="1:16" ht="21.75" customHeight="1">
      <c r="A332" s="159"/>
      <c r="B332" s="160"/>
      <c r="C332" s="160" t="s">
        <v>16</v>
      </c>
      <c r="D332" s="570" t="s">
        <v>20</v>
      </c>
      <c r="E332" s="565"/>
      <c r="F332" s="565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1144940</v>
      </c>
      <c r="M333" s="169">
        <f ca="1">IFERROR(__xludf.DUMMYFUNCTION("IMPORTRANGE(""https://docs.google.com/spreadsheets/d/1Yj_ptqi66GCucihVvJfMjLAmec39IyEx_6qawtMGysU/edit?usp=sharing"",""สบก!DL29"")"),842780)</f>
        <v>842780</v>
      </c>
      <c r="N333" s="170">
        <f ca="1">IFERROR(__xludf.DUMMYFUNCTION("IMPORTRANGE(""https://docs.google.com/spreadsheets/d/1Yj_ptqi66GCucihVvJfMjLAmec39IyEx_6qawtMGysU/edit?usp=sharing"",""สบก!DM29"")"),667615)</f>
        <v>667615</v>
      </c>
      <c r="O333" s="170">
        <f ca="1">IF(L333&gt;0,N333*100/L333,0)</f>
        <v>58.310042447639177</v>
      </c>
      <c r="P333" s="170">
        <f ca="1">IF(M333&gt;0,N333*100/M333,0)</f>
        <v>79.215809582571964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IFERROR(__xludf.DUMMYFUNCTION("IMPORTRANGE(""https://docs.google.com/spreadsheets/d/1Yj_ptqi66GCucihVvJfMjLAmec39IyEx_6qawtMGysU/edit?usp=sharing"",""สบก!DH29"")"),306000)</f>
        <v>306000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IFERROR(__xludf.DUMMYFUNCTION("IMPORTRANGE(""https://docs.google.com/spreadsheets/d/1Yj_ptqi66GCucihVvJfMjLAmec39IyEx_6qawtMGysU/edit?usp=sharing"",""สบก!DI29"")"),838940)</f>
        <v>838940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IFERROR(__xludf.DUMMYFUNCTION("IMPORTRANGE(""https://docs.google.com/spreadsheets/d/1Yj_ptqi66GCucihVvJfMjLAmec39IyEx_6qawtMGysU/edit?usp=sharing"",""สบก!DJ29"")"),64800)</f>
        <v>64800</v>
      </c>
      <c r="M337" s="52">
        <f ca="1">L337</f>
        <v>64800</v>
      </c>
      <c r="N337" s="52">
        <f ca="1">IFERROR(__xludf.DUMMYFUNCTION("IMPORTRANGE(""https://docs.google.com/spreadsheets/d/1Yj_ptqi66GCucihVvJfMjLAmec39IyEx_6qawtMGysU/edit?usp=sharing"",""สบก!DN29"")"),64800)</f>
        <v>64800</v>
      </c>
      <c r="O337" s="52">
        <f ca="1">IF(L337&gt;0,N337*100/L337,0)</f>
        <v>100</v>
      </c>
      <c r="P337" s="52">
        <f ca="1">IF(M337&gt;0,N337*100/M337,0)</f>
        <v>100</v>
      </c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IFERROR(__xludf.DUMMYFUNCTION("IMPORTRANGE(""https://docs.google.com/spreadsheets/d/11923uPwbBZFjjGgGUA6NLw09EwE0CqkOc4q9oUmW1yo/edit?usp=sharing"",""เพชรบูรณ์!I234"")"),0)</f>
        <v>0</v>
      </c>
      <c r="J339" s="189">
        <f ca="1">IFERROR(__xludf.DUMMYFUNCTION("IMPORTRANGE(""https://docs.google.com/spreadsheets/d/11923uPwbBZFjjGgGUA6NLw09EwE0CqkOc4q9oUmW1yo/edit?usp=sharing"",""เพชรบูรณ์!J234"")"),391)</f>
        <v>391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IFERROR(__xludf.DUMMYFUNCTION("IMPORTRANGE(""https://docs.google.com/spreadsheets/d/11923uPwbBZFjjGgGUA6NLw09EwE0CqkOc4q9oUmW1yo/edit?usp=sharing"",""เพชรบูรณ์!I235"")"),5920)</f>
        <v>5920</v>
      </c>
      <c r="J340" s="189">
        <f ca="1">IFERROR(__xludf.DUMMYFUNCTION("IMPORTRANGE(""https://docs.google.com/spreadsheets/d/11923uPwbBZFjjGgGUA6NLw09EwE0CqkOc4q9oUmW1yo/edit?usp=sharing"",""เพชรบูรณ์!J235"")"),4218.19)</f>
        <v>4218.1899999999996</v>
      </c>
      <c r="K340" s="343">
        <f t="shared" ca="1" si="103"/>
        <v>71.253209459459455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IFERROR(__xludf.DUMMYFUNCTION("IMPORTRANGE(""https://docs.google.com/spreadsheets/d/11923uPwbBZFjjGgGUA6NLw09EwE0CqkOc4q9oUmW1yo/edit?usp=sharing"",""เพชรบูรณ์!I236"")"),610)</f>
        <v>610</v>
      </c>
      <c r="J341" s="189">
        <f ca="1">IFERROR(__xludf.DUMMYFUNCTION("IMPORTRANGE(""https://docs.google.com/spreadsheets/d/11923uPwbBZFjjGgGUA6NLw09EwE0CqkOc4q9oUmW1yo/edit?usp=sharing"",""เพชรบูรณ์!J236"")"),491)</f>
        <v>491</v>
      </c>
      <c r="K341" s="343">
        <f t="shared" ca="1" si="103"/>
        <v>80.491803278688522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IFERROR(__xludf.DUMMYFUNCTION("IMPORTRANGE(""https://docs.google.com/spreadsheets/d/11923uPwbBZFjjGgGUA6NLw09EwE0CqkOc4q9oUmW1yo/edit?usp=sharing"",""เพชรบูรณ์!I237"")"),0)</f>
        <v>0</v>
      </c>
      <c r="J342" s="189">
        <f ca="1">IFERROR(__xludf.DUMMYFUNCTION("IMPORTRANGE(""https://docs.google.com/spreadsheets/d/11923uPwbBZFjjGgGUA6NLw09EwE0CqkOc4q9oUmW1yo/edit?usp=sharing"",""เพชรบูรณ์!J237"")"),6585.87)</f>
        <v>6585.87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IFERROR(__xludf.DUMMYFUNCTION("IMPORTRANGE(""https://docs.google.com/spreadsheets/d/11923uPwbBZFjjGgGUA6NLw09EwE0CqkOc4q9oUmW1yo/edit?usp=sharing"",""เพชรบูรณ์!I238"")"),610)</f>
        <v>610</v>
      </c>
      <c r="J343" s="189">
        <f ca="1">IFERROR(__xludf.DUMMYFUNCTION("IMPORTRANGE(""https://docs.google.com/spreadsheets/d/11923uPwbBZFjjGgGUA6NLw09EwE0CqkOc4q9oUmW1yo/edit?usp=sharing"",""เพชรบูรณ์!J238"")"),38)</f>
        <v>38</v>
      </c>
      <c r="K343" s="343">
        <f t="shared" ca="1" si="103"/>
        <v>6.2295081967213113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IFERROR(__xludf.DUMMYFUNCTION("IMPORTRANGE(""https://docs.google.com/spreadsheets/d/11923uPwbBZFjjGgGUA6NLw09EwE0CqkOc4q9oUmW1yo/edit?usp=sharing"",""เพชรบูรณ์!I239"")"),0)</f>
        <v>0</v>
      </c>
      <c r="J344" s="189">
        <f ca="1">IFERROR(__xludf.DUMMYFUNCTION("IMPORTRANGE(""https://docs.google.com/spreadsheets/d/11923uPwbBZFjjGgGUA6NLw09EwE0CqkOc4q9oUmW1yo/edit?usp=sharing"",""เพชรบูรณ์!J239"")"),402.8)</f>
        <v>402.8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IFERROR(__xludf.DUMMYFUNCTION("IMPORTRANGE(""https://docs.google.com/spreadsheets/d/11923uPwbBZFjjGgGUA6NLw09EwE0CqkOc4q9oUmW1yo/edit?usp=sharing"",""เพชรบูรณ์!I240"")"),610)</f>
        <v>610</v>
      </c>
      <c r="J345" s="189">
        <f ca="1">IFERROR(__xludf.DUMMYFUNCTION("IMPORTRANGE(""https://docs.google.com/spreadsheets/d/11923uPwbBZFjjGgGUA6NLw09EwE0CqkOc4q9oUmW1yo/edit?usp=sharing"",""เพชรบูรณ์!J240"")"),129)</f>
        <v>129</v>
      </c>
      <c r="K345" s="343">
        <f t="shared" ca="1" si="103"/>
        <v>21.147540983606557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IFERROR(__xludf.DUMMYFUNCTION("IMPORTRANGE(""https://docs.google.com/spreadsheets/d/11923uPwbBZFjjGgGUA6NLw09EwE0CqkOc4q9oUmW1yo/edit?usp=sharing"",""เพชรบูรณ์!I241"")"),0)</f>
        <v>0</v>
      </c>
      <c r="J346" s="189">
        <f ca="1">IFERROR(__xludf.DUMMYFUNCTION("IMPORTRANGE(""https://docs.google.com/spreadsheets/d/11923uPwbBZFjjGgGUA6NLw09EwE0CqkOc4q9oUmW1yo/edit?usp=sharing"",""เพชรบูรณ์!J241"")"),2043.54)</f>
        <v>2043.54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IFERROR(__xludf.DUMMYFUNCTION("IMPORTRANGE(""https://docs.google.com/spreadsheets/d/11923uPwbBZFjjGgGUA6NLw09EwE0CqkOc4q9oUmW1yo/edit?usp=sharing"",""เพชรบูรณ์!L242"")"),3075756)</f>
        <v>3075756</v>
      </c>
      <c r="M347" s="359"/>
      <c r="N347" s="359">
        <f ca="1">IFERROR(__xludf.DUMMYFUNCTION("IMPORTRANGE(""https://docs.google.com/spreadsheets/d/11923uPwbBZFjjGgGUA6NLw09EwE0CqkOc4q9oUmW1yo/edit?usp=sharing"",""เพชรบูรณ์!M242"")"),1188820.96)</f>
        <v>1188820.96</v>
      </c>
      <c r="O347" s="359">
        <f ca="1">+IF(L347&gt;0,N347*100/L347,0)</f>
        <v>38.651341653889318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IFERROR(__xludf.DUMMYFUNCTION("IMPORTRANGE(""https://docs.google.com/spreadsheets/d/11923uPwbBZFjjGgGUA6NLw09EwE0CqkOc4q9oUmW1yo/edit?usp=sharing"",""เพชรบูรณ์!I244"")"),425)</f>
        <v>425</v>
      </c>
      <c r="J349" s="372">
        <f ca="1">IFERROR(__xludf.DUMMYFUNCTION("IMPORTRANGE(""https://docs.google.com/spreadsheets/d/11923uPwbBZFjjGgGUA6NLw09EwE0CqkOc4q9oUmW1yo/edit?usp=sharing"",""เพชรบูรณ์!J244"")"),425)</f>
        <v>425</v>
      </c>
      <c r="K349" s="373">
        <f t="shared" ref="K349:K350" ca="1" si="104">IF(I349&gt;0,J349*100/I349,0)</f>
        <v>100</v>
      </c>
      <c r="L349" s="374">
        <f ca="1">IFERROR(__xludf.DUMMYFUNCTION("IMPORTRANGE(""https://docs.google.com/spreadsheets/d/11923uPwbBZFjjGgGUA6NLw09EwE0CqkOc4q9oUmW1yo/edit?usp=sharing"",""เพชรบูรณ์!L244"")"),664130)</f>
        <v>664130</v>
      </c>
      <c r="M349" s="374"/>
      <c r="N349" s="374">
        <f ca="1">IFERROR(__xludf.DUMMYFUNCTION("IMPORTRANGE(""https://docs.google.com/spreadsheets/d/11923uPwbBZFjjGgGUA6NLw09EwE0CqkOc4q9oUmW1yo/edit?usp=sharing"",""เพชรบูรณ์!M244"")"),239640)</f>
        <v>239640</v>
      </c>
      <c r="O349" s="374">
        <f ca="1">+IF(L349&gt;0,N349*100/L349,0)</f>
        <v>36.083296944875251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IFERROR(__xludf.DUMMYFUNCTION("IMPORTRANGE(""https://docs.google.com/spreadsheets/d/11923uPwbBZFjjGgGUA6NLw09EwE0CqkOc4q9oUmW1yo/edit?usp=sharing"",""เพชรบูรณ์!I245"")"),95)</f>
        <v>95</v>
      </c>
      <c r="J350" s="372">
        <f ca="1">IFERROR(__xludf.DUMMYFUNCTION("IMPORTRANGE(""https://docs.google.com/spreadsheets/d/11923uPwbBZFjjGgGUA6NLw09EwE0CqkOc4q9oUmW1yo/edit?usp=sharing"",""เพชรบูรณ์!J245"")"),95)</f>
        <v>95</v>
      </c>
      <c r="K350" s="373">
        <f t="shared" ca="1" si="104"/>
        <v>100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IFERROR(__xludf.DUMMYFUNCTION("IMPORTRANGE(""https://docs.google.com/spreadsheets/d/11923uPwbBZFjjGgGUA6NLw09EwE0CqkOc4q9oUmW1yo/edit?usp=sharing"",""เพชรบูรณ์!L246"")"),0)</f>
        <v>0</v>
      </c>
      <c r="M351" s="166"/>
      <c r="N351" s="166">
        <f ca="1">IFERROR(__xludf.DUMMYFUNCTION("IMPORTRANGE(""https://docs.google.com/spreadsheets/d/11923uPwbBZFjjGgGUA6NLw09EwE0CqkOc4q9oUmW1yo/edit?usp=sharing"",""เพชรบูรณ์!M246"")"),0)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IFERROR(__xludf.DUMMYFUNCTION("IMPORTRANGE(""https://docs.google.com/spreadsheets/d/11923uPwbBZFjjGgGUA6NLw09EwE0CqkOc4q9oUmW1yo/edit?usp=sharing"",""เพชรบูรณ์!L247"")"),664130)</f>
        <v>664130</v>
      </c>
      <c r="M352" s="167"/>
      <c r="N352" s="166">
        <f ca="1">IFERROR(__xludf.DUMMYFUNCTION("IMPORTRANGE(""https://docs.google.com/spreadsheets/d/11923uPwbBZFjjGgGUA6NLw09EwE0CqkOc4q9oUmW1yo/edit?usp=sharing"",""เพชรบูรณ์!M247"")"),239640)</f>
        <v>239640</v>
      </c>
      <c r="O352" s="167">
        <f t="shared" ca="1" si="105"/>
        <v>36.083296944875251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IFERROR(__xludf.DUMMYFUNCTION("IMPORTRANGE(""https://docs.google.com/spreadsheets/d/11923uPwbBZFjjGgGUA6NLw09EwE0CqkOc4q9oUmW1yo/edit?usp=sharing"",""เพชรบูรณ์!L248"")"),0)</f>
        <v>0</v>
      </c>
      <c r="M353" s="170"/>
      <c r="N353" s="170">
        <f ca="1">IFERROR(__xludf.DUMMYFUNCTION("IMPORTRANGE(""https://docs.google.com/spreadsheets/d/11923uPwbBZFjjGgGUA6NLw09EwE0CqkOc4q9oUmW1yo/edit?usp=sharing"",""เพชรบูรณ์!M248"")"),0)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IFERROR(__xludf.DUMMYFUNCTION("IMPORTRANGE(""https://docs.google.com/spreadsheets/d/11923uPwbBZFjjGgGUA6NLw09EwE0CqkOc4q9oUmW1yo/edit?usp=sharing"",""เพชรบูรณ์!L249"")"),664130)</f>
        <v>664130</v>
      </c>
      <c r="M354" s="170"/>
      <c r="N354" s="169">
        <f ca="1">IFERROR(__xludf.DUMMYFUNCTION("IMPORTRANGE(""https://docs.google.com/spreadsheets/d/11923uPwbBZFjjGgGUA6NLw09EwE0CqkOc4q9oUmW1yo/edit?usp=sharing"",""เพชรบูรณ์!M249"")"),239640)</f>
        <v>239640</v>
      </c>
      <c r="O354" s="170">
        <f t="shared" ca="1" si="105"/>
        <v>36.083296944875251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IFERROR(__xludf.DUMMYFUNCTION("IMPORTRANGE(""https://docs.google.com/spreadsheets/d/11923uPwbBZFjjGgGUA6NLw09EwE0CqkOc4q9oUmW1yo/edit?usp=sharing"",""เพชรบูรณ์!M250"")"),117510)</f>
        <v>117510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IFERROR(__xludf.DUMMYFUNCTION("IMPORTRANGE(""https://docs.google.com/spreadsheets/d/11923uPwbBZFjjGgGUA6NLw09EwE0CqkOc4q9oUmW1yo/edit?usp=sharing"",""เพชรบูรณ์!M251"")"),0)</f>
        <v>0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IFERROR(__xludf.DUMMYFUNCTION("IMPORTRANGE(""https://docs.google.com/spreadsheets/d/11923uPwbBZFjjGgGUA6NLw09EwE0CqkOc4q9oUmW1yo/edit?usp=sharing"",""เพชรบูรณ์!M252"")"),76248)</f>
        <v>76248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IFERROR(__xludf.DUMMYFUNCTION("IMPORTRANGE(""https://docs.google.com/spreadsheets/d/11923uPwbBZFjjGgGUA6NLw09EwE0CqkOc4q9oUmW1yo/edit?usp=sharing"",""เพชรบูรณ์!M253"")"),45882)</f>
        <v>45882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IFERROR(__xludf.DUMMYFUNCTION("IMPORTRANGE(""https://docs.google.com/spreadsheets/d/11923uPwbBZFjjGgGUA6NLw09EwE0CqkOc4q9oUmW1yo/edit?usp=sharing"",""เพชรบูรณ์!J255"")"),0)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IFERROR(__xludf.DUMMYFUNCTION("IMPORTRANGE(""https://docs.google.com/spreadsheets/d/11923uPwbBZFjjGgGUA6NLw09EwE0CqkOc4q9oUmW1yo/edit?usp=sharing"",""เพชรบูรณ์!J256"")"),1)</f>
        <v>1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IFERROR(__xludf.DUMMYFUNCTION("IMPORTRANGE(""https://docs.google.com/spreadsheets/d/11923uPwbBZFjjGgGUA6NLw09EwE0CqkOc4q9oUmW1yo/edit?usp=sharing"",""เพชรบูรณ์!J257"")"),1)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IFERROR(__xludf.DUMMYFUNCTION("IMPORTRANGE(""https://docs.google.com/spreadsheets/d/11923uPwbBZFjjGgGUA6NLw09EwE0CqkOc4q9oUmW1yo/edit?usp=sharing"",""เพชรบูรณ์!J258"")"),1)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IFERROR(__xludf.DUMMYFUNCTION("IMPORTRANGE(""https://docs.google.com/spreadsheets/d/11923uPwbBZFjjGgGUA6NLw09EwE0CqkOc4q9oUmW1yo/edit?usp=sharing"",""เพชรบูรณ์!J166"")"),0)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IFERROR(__xludf.DUMMYFUNCTION("IMPORTRANGE(""https://docs.google.com/spreadsheets/d/11923uPwbBZFjjGgGUA6NLw09EwE0CqkOc4q9oUmW1yo/edit?usp=sharing"",""เพชรบูรณ์!J166"")"),0)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IFERROR(__xludf.DUMMYFUNCTION("IMPORTRANGE(""https://docs.google.com/spreadsheets/d/11923uPwbBZFjjGgGUA6NLw09EwE0CqkOc4q9oUmW1yo/edit?usp=sharing"",""เพชรบูรณ์!J166"")"),0)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IFERROR(__xludf.DUMMYFUNCTION("IMPORTRANGE(""https://docs.google.com/spreadsheets/d/11923uPwbBZFjjGgGUA6NLw09EwE0CqkOc4q9oUmW1yo/edit?usp=sharing"",""เพชรบูรณ์!J166"")"),0)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IFERROR(__xludf.DUMMYFUNCTION("IMPORTRANGE(""https://docs.google.com/spreadsheets/d/11923uPwbBZFjjGgGUA6NLw09EwE0CqkOc4q9oUmW1yo/edit?usp=sharing"",""เพชรบูรณ์!I263"")"),95)</f>
        <v>95</v>
      </c>
      <c r="J368" s="189">
        <f ca="1">IFERROR(__xludf.DUMMYFUNCTION("IMPORTRANGE(""https://docs.google.com/spreadsheets/d/11923uPwbBZFjjGgGUA6NLw09EwE0CqkOc4q9oUmW1yo/edit?usp=sharing"",""เพชรบูรณ์!J263"")"),95)</f>
        <v>95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IFERROR(__xludf.DUMMYFUNCTION("IMPORTRANGE(""https://docs.google.com/spreadsheets/d/11923uPwbBZFjjGgGUA6NLw09EwE0CqkOc4q9oUmW1yo/edit?usp=sharing"",""เพชรบูรณ์!I164"")"),0)</f>
        <v>0</v>
      </c>
      <c r="J369" s="205">
        <f ca="1">IFERROR(__xludf.DUMMYFUNCTION("IMPORTRANGE(""https://docs.google.com/spreadsheets/d/11923uPwbBZFjjGgGUA6NLw09EwE0CqkOc4q9oUmW1yo/edit?usp=sharing"",""เพชรบูรณ์!J164"")"),0)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IFERROR(__xludf.DUMMYFUNCTION("IMPORTRANGE(""https://docs.google.com/spreadsheets/d/11923uPwbBZFjjGgGUA6NLw09EwE0CqkOc4q9oUmW1yo/edit?usp=sharing"",""เพชรบูรณ์!I265"")"),95)</f>
        <v>95</v>
      </c>
      <c r="J370" s="205">
        <f ca="1">IFERROR(__xludf.DUMMYFUNCTION("IMPORTRANGE(""https://docs.google.com/spreadsheets/d/11923uPwbBZFjjGgGUA6NLw09EwE0CqkOc4q9oUmW1yo/edit?usp=sharing"",""เพชรบูรณ์!J265"")"),95)</f>
        <v>95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IFERROR(__xludf.DUMMYFUNCTION("IMPORTRANGE(""https://docs.google.com/spreadsheets/d/11923uPwbBZFjjGgGUA6NLw09EwE0CqkOc4q9oUmW1yo/edit?usp=sharing"",""เพชรบูรณ์!I164"")"),0)</f>
        <v>0</v>
      </c>
      <c r="J371" s="190">
        <f ca="1">IFERROR(__xludf.DUMMYFUNCTION("IMPORTRANGE(""https://docs.google.com/spreadsheets/d/11923uPwbBZFjjGgGUA6NLw09EwE0CqkOc4q9oUmW1yo/edit?usp=sharing"",""เพชรบูรณ์!J164"")"),0)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IFERROR(__xludf.DUMMYFUNCTION("IMPORTRANGE(""https://docs.google.com/spreadsheets/d/11923uPwbBZFjjGgGUA6NLw09EwE0CqkOc4q9oUmW1yo/edit?usp=sharing"",""เพชรบูรณ์!I267"")"),95)</f>
        <v>95</v>
      </c>
      <c r="J372" s="190">
        <f ca="1">IFERROR(__xludf.DUMMYFUNCTION("IMPORTRANGE(""https://docs.google.com/spreadsheets/d/11923uPwbBZFjjGgGUA6NLw09EwE0CqkOc4q9oUmW1yo/edit?usp=sharing"",""เพชรบูรณ์!J267"")"),95)</f>
        <v>95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IFERROR(__xludf.DUMMYFUNCTION("IMPORTRANGE(""https://docs.google.com/spreadsheets/d/11923uPwbBZFjjGgGUA6NLw09EwE0CqkOc4q9oUmW1yo/edit?usp=sharing"",""เพชรบูรณ์!I164"")"),0)</f>
        <v>0</v>
      </c>
      <c r="J373" s="205">
        <f ca="1">IFERROR(__xludf.DUMMYFUNCTION("IMPORTRANGE(""https://docs.google.com/spreadsheets/d/11923uPwbBZFjjGgGUA6NLw09EwE0CqkOc4q9oUmW1yo/edit?usp=sharing"",""เพชรบูรณ์!J164"")"),0)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IFERROR(__xludf.DUMMYFUNCTION("IMPORTRANGE(""https://docs.google.com/spreadsheets/d/11923uPwbBZFjjGgGUA6NLw09EwE0CqkOc4q9oUmW1yo/edit?usp=sharing"",""เพชรบูรณ์!I164"")"),0)</f>
        <v>0</v>
      </c>
      <c r="J374" s="189">
        <f ca="1">IFERROR(__xludf.DUMMYFUNCTION("IMPORTRANGE(""https://docs.google.com/spreadsheets/d/11923uPwbBZFjjGgGUA6NLw09EwE0CqkOc4q9oUmW1yo/edit?usp=sharing"",""เพชรบูรณ์!J164"")"),0)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IFERROR(__xludf.DUMMYFUNCTION("IMPORTRANGE(""https://docs.google.com/spreadsheets/d/11923uPwbBZFjjGgGUA6NLw09EwE0CqkOc4q9oUmW1yo/edit?usp=sharing"",""เพชรบูรณ์!I270"")"),425)</f>
        <v>425</v>
      </c>
      <c r="J375" s="189">
        <f ca="1">IFERROR(__xludf.DUMMYFUNCTION("IMPORTRANGE(""https://docs.google.com/spreadsheets/d/11923uPwbBZFjjGgGUA6NLw09EwE0CqkOc4q9oUmW1yo/edit?usp=sharing"",""เพชรบูรณ์!J270"")"),425)</f>
        <v>425</v>
      </c>
      <c r="K375" s="165">
        <f t="shared" ref="K375:K377" ca="1" si="107">IF(I375&gt;0,J375*100/I375,0)</f>
        <v>100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IFERROR(__xludf.DUMMYFUNCTION("IMPORTRANGE(""https://docs.google.com/spreadsheets/d/11923uPwbBZFjjGgGUA6NLw09EwE0CqkOc4q9oUmW1yo/edit?usp=sharing"",""เพชรบูรณ์!I271"")"),150)</f>
        <v>150</v>
      </c>
      <c r="J376" s="190">
        <f ca="1">IFERROR(__xludf.DUMMYFUNCTION("IMPORTRANGE(""https://docs.google.com/spreadsheets/d/11923uPwbBZFjjGgGUA6NLw09EwE0CqkOc4q9oUmW1yo/edit?usp=sharing"",""เพชรบูรณ์!J271"")"),150)</f>
        <v>150</v>
      </c>
      <c r="K376" s="165">
        <f t="shared" ca="1" si="107"/>
        <v>100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IFERROR(__xludf.DUMMYFUNCTION("IMPORTRANGE(""https://docs.google.com/spreadsheets/d/11923uPwbBZFjjGgGUA6NLw09EwE0CqkOc4q9oUmW1yo/edit?usp=sharing"",""เพชรบูรณ์!I272"")"),275)</f>
        <v>275</v>
      </c>
      <c r="J377" s="205">
        <f ca="1">IFERROR(__xludf.DUMMYFUNCTION("IMPORTRANGE(""https://docs.google.com/spreadsheets/d/11923uPwbBZFjjGgGUA6NLw09EwE0CqkOc4q9oUmW1yo/edit?usp=sharing"",""เพชรบูรณ์!J272"")"),275)</f>
        <v>275</v>
      </c>
      <c r="K377" s="165">
        <f t="shared" ca="1" si="107"/>
        <v>100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IFERROR(__xludf.DUMMYFUNCTION("IMPORTRANGE(""https://docs.google.com/spreadsheets/d/11923uPwbBZFjjGgGUA6NLw09EwE0CqkOc4q9oUmW1yo/edit?usp=sharing"",""เพชรบูรณ์!J273"")"),0)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IFERROR(__xludf.DUMMYFUNCTION("IMPORTRANGE(""https://docs.google.com/spreadsheets/d/11923uPwbBZFjjGgGUA6NLw09EwE0CqkOc4q9oUmW1yo/edit?usp=sharing"",""เพชรบูรณ์!J274"")"),0)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IFERROR(__xludf.DUMMYFUNCTION("IMPORTRANGE(""https://docs.google.com/spreadsheets/d/11923uPwbBZFjjGgGUA6NLw09EwE0CqkOc4q9oUmW1yo/edit?usp=sharing"",""เพชรบูรณ์!I275"")"),1000)</f>
        <v>1000</v>
      </c>
      <c r="J380" s="372">
        <f ca="1">IFERROR(__xludf.DUMMYFUNCTION("IMPORTRANGE(""https://docs.google.com/spreadsheets/d/11923uPwbBZFjjGgGUA6NLw09EwE0CqkOc4q9oUmW1yo/edit?usp=sharing"",""เพชรบูรณ์!J275"")"),0)</f>
        <v>0</v>
      </c>
      <c r="K380" s="373">
        <f t="shared" ref="K380:K381" ca="1" si="108">IF(I380&gt;0,J380*100/I380,0)</f>
        <v>0</v>
      </c>
      <c r="L380" s="374">
        <f ca="1">IFERROR(__xludf.DUMMYFUNCTION("IMPORTRANGE(""https://docs.google.com/spreadsheets/d/11923uPwbBZFjjGgGUA6NLw09EwE0CqkOc4q9oUmW1yo/edit?usp=sharing"",""เพชรบูรณ์!L275"")"),1028520)</f>
        <v>1028520</v>
      </c>
      <c r="M380" s="374"/>
      <c r="N380" s="374">
        <f ca="1">IFERROR(__xludf.DUMMYFUNCTION("IMPORTRANGE(""https://docs.google.com/spreadsheets/d/11923uPwbBZFjjGgGUA6NLw09EwE0CqkOc4q9oUmW1yo/edit?usp=sharing"",""เพชรบูรณ์!M275"")"),279331)</f>
        <v>279331</v>
      </c>
      <c r="O380" s="374">
        <f ca="1">+IF(L380&gt;0,N380*100/L380,0)</f>
        <v>27.158538482479681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IFERROR(__xludf.DUMMYFUNCTION("IMPORTRANGE(""https://docs.google.com/spreadsheets/d/11923uPwbBZFjjGgGUA6NLw09EwE0CqkOc4q9oUmW1yo/edit?usp=sharing"",""เพชรบูรณ์!I276"")"),100)</f>
        <v>100</v>
      </c>
      <c r="J381" s="372">
        <f ca="1">IFERROR(__xludf.DUMMYFUNCTION("IMPORTRANGE(""https://docs.google.com/spreadsheets/d/11923uPwbBZFjjGgGUA6NLw09EwE0CqkOc4q9oUmW1yo/edit?usp=sharing"",""เพชรบูรณ์!J276"")"),100)</f>
        <v>100</v>
      </c>
      <c r="K381" s="373">
        <f t="shared" ca="1" si="108"/>
        <v>100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IFERROR(__xludf.DUMMYFUNCTION("IMPORTRANGE(""https://docs.google.com/spreadsheets/d/11923uPwbBZFjjGgGUA6NLw09EwE0CqkOc4q9oUmW1yo/edit?usp=sharing"",""เพชรบูรณ์!L277"")"),0)</f>
        <v>0</v>
      </c>
      <c r="M382" s="166"/>
      <c r="N382" s="166">
        <f ca="1">IFERROR(__xludf.DUMMYFUNCTION("IMPORTRANGE(""https://docs.google.com/spreadsheets/d/11923uPwbBZFjjGgGUA6NLw09EwE0CqkOc4q9oUmW1yo/edit?usp=sharing"",""เพชรบูรณ์!M277"")"),0)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IFERROR(__xludf.DUMMYFUNCTION("IMPORTRANGE(""https://docs.google.com/spreadsheets/d/11923uPwbBZFjjGgGUA6NLw09EwE0CqkOc4q9oUmW1yo/edit?usp=sharing"",""เพชรบูรณ์!L278"")"),1028520)</f>
        <v>1028520</v>
      </c>
      <c r="M383" s="167"/>
      <c r="N383" s="167">
        <f ca="1">IFERROR(__xludf.DUMMYFUNCTION("IMPORTRANGE(""https://docs.google.com/spreadsheets/d/11923uPwbBZFjjGgGUA6NLw09EwE0CqkOc4q9oUmW1yo/edit?usp=sharing"",""เพชรบูรณ์!M278"")"),279331)</f>
        <v>279331</v>
      </c>
      <c r="O383" s="167">
        <f t="shared" ca="1" si="109"/>
        <v>27.158538482479681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IFERROR(__xludf.DUMMYFUNCTION("IMPORTRANGE(""https://docs.google.com/spreadsheets/d/11923uPwbBZFjjGgGUA6NLw09EwE0CqkOc4q9oUmW1yo/edit?usp=sharing"",""เพชรบูรณ์!L279"")"),0)</f>
        <v>0</v>
      </c>
      <c r="M384" s="170"/>
      <c r="N384" s="170">
        <f ca="1">IFERROR(__xludf.DUMMYFUNCTION("IMPORTRANGE(""https://docs.google.com/spreadsheets/d/11923uPwbBZFjjGgGUA6NLw09EwE0CqkOc4q9oUmW1yo/edit?usp=sharing"",""เพชรบูรณ์!M279"")"),0)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IFERROR(__xludf.DUMMYFUNCTION("IMPORTRANGE(""https://docs.google.com/spreadsheets/d/11923uPwbBZFjjGgGUA6NLw09EwE0CqkOc4q9oUmW1yo/edit?usp=sharing"",""เพชรบูรณ์!L280"")"),1028520)</f>
        <v>1028520</v>
      </c>
      <c r="M385" s="170"/>
      <c r="N385" s="169">
        <f ca="1">IFERROR(__xludf.DUMMYFUNCTION("IMPORTRANGE(""https://docs.google.com/spreadsheets/d/11923uPwbBZFjjGgGUA6NLw09EwE0CqkOc4q9oUmW1yo/edit?usp=sharing"",""เพชรบูรณ์!M280"")"),279331)</f>
        <v>279331</v>
      </c>
      <c r="O385" s="170">
        <f t="shared" ca="1" si="109"/>
        <v>27.158538482479681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IFERROR(__xludf.DUMMYFUNCTION("IMPORTRANGE(""https://docs.google.com/spreadsheets/d/11923uPwbBZFjjGgGUA6NLw09EwE0CqkOc4q9oUmW1yo/edit?usp=sharing"",""เพชรบูรณ์!M281"")"),185318)</f>
        <v>185318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IFERROR(__xludf.DUMMYFUNCTION("IMPORTRANGE(""https://docs.google.com/spreadsheets/d/11923uPwbBZFjjGgGUA6NLw09EwE0CqkOc4q9oUmW1yo/edit?usp=sharing"",""เพชรบูรณ์!M282"")"),0)</f>
        <v>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IFERROR(__xludf.DUMMYFUNCTION("IMPORTRANGE(""https://docs.google.com/spreadsheets/d/11923uPwbBZFjjGgGUA6NLw09EwE0CqkOc4q9oUmW1yo/edit?usp=sharing"",""เพชรบูรณ์!M283"")"),76248)</f>
        <v>76248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IFERROR(__xludf.DUMMYFUNCTION("IMPORTRANGE(""https://docs.google.com/spreadsheets/d/11923uPwbBZFjjGgGUA6NLw09EwE0CqkOc4q9oUmW1yo/edit?usp=sharing"",""เพชรบูรณ์!M284"")"),17765)</f>
        <v>17765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IFERROR(__xludf.DUMMYFUNCTION("IMPORTRANGE(""https://docs.google.com/spreadsheets/d/11923uPwbBZFjjGgGUA6NLw09EwE0CqkOc4q9oUmW1yo/edit?usp=sharing"",""เพชรบูรณ์!J286"")"),0)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IFERROR(__xludf.DUMMYFUNCTION("IMPORTRANGE(""https://docs.google.com/spreadsheets/d/11923uPwbBZFjjGgGUA6NLw09EwE0CqkOc4q9oUmW1yo/edit?usp=sharing"",""เพชรบูรณ์!J287"")"),1)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IFERROR(__xludf.DUMMYFUNCTION("IMPORTRANGE(""https://docs.google.com/spreadsheets/d/11923uPwbBZFjjGgGUA6NLw09EwE0CqkOc4q9oUmW1yo/edit?usp=sharing"",""เพชรบูรณ์!J288"")"),1)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IFERROR(__xludf.DUMMYFUNCTION("IMPORTRANGE(""https://docs.google.com/spreadsheets/d/11923uPwbBZFjjGgGUA6NLw09EwE0CqkOc4q9oUmW1yo/edit?usp=sharing"",""เพชรบูรณ์!J289"")"),1)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IFERROR(__xludf.DUMMYFUNCTION("IMPORTRANGE(""https://docs.google.com/spreadsheets/d/11923uPwbBZFjjGgGUA6NLw09EwE0CqkOc4q9oUmW1yo/edit?usp=sharing"",""เพชรบูรณ์!I291"")"),100)</f>
        <v>100</v>
      </c>
      <c r="J396" s="199">
        <f ca="1">IFERROR(__xludf.DUMMYFUNCTION("IMPORTRANGE(""https://docs.google.com/spreadsheets/d/11923uPwbBZFjjGgGUA6NLw09EwE0CqkOc4q9oUmW1yo/edit?usp=sharing"",""เพชรบูรณ์!J291"")"),100)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IFERROR(__xludf.DUMMYFUNCTION("IMPORTRANGE(""https://docs.google.com/spreadsheets/d/11923uPwbBZFjjGgGUA6NLw09EwE0CqkOc4q9oUmW1yo/edit?usp=sharing"",""เพชรบูรณ์!I292"")"),1000)</f>
        <v>1000</v>
      </c>
      <c r="J397" s="199">
        <f ca="1">IFERROR(__xludf.DUMMYFUNCTION("IMPORTRANGE(""https://docs.google.com/spreadsheets/d/11923uPwbBZFjjGgGUA6NLw09EwE0CqkOc4q9oUmW1yo/edit?usp=sharing"",""เพชรบูรณ์!J292"")"),0)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IFERROR(__xludf.DUMMYFUNCTION("IMPORTRANGE(""https://docs.google.com/spreadsheets/d/11923uPwbBZFjjGgGUA6NLw09EwE0CqkOc4q9oUmW1yo/edit?usp=sharing"",""เพชรบูรณ์!I293"")"),100)</f>
        <v>100</v>
      </c>
      <c r="J398" s="199">
        <f ca="1">IFERROR(__xludf.DUMMYFUNCTION("IMPORTRANGE(""https://docs.google.com/spreadsheets/d/11923uPwbBZFjjGgGUA6NLw09EwE0CqkOc4q9oUmW1yo/edit?usp=sharing"",""เพชรบูรณ์!J293"")"),0)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IFERROR(__xludf.DUMMYFUNCTION("IMPORTRANGE(""https://docs.google.com/spreadsheets/d/11923uPwbBZFjjGgGUA6NLw09EwE0CqkOc4q9oUmW1yo/edit?usp=sharing"",""เพชรบูรณ์!J294"")"),0)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IFERROR(__xludf.DUMMYFUNCTION("IMPORTRANGE(""https://docs.google.com/spreadsheets/d/11923uPwbBZFjjGgGUA6NLw09EwE0CqkOc4q9oUmW1yo/edit?usp=sharing"",""เพชรบูรณ์!J295"")"),0)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IFERROR(__xludf.DUMMYFUNCTION("IMPORTRANGE(""https://docs.google.com/spreadsheets/d/11923uPwbBZFjjGgGUA6NLw09EwE0CqkOc4q9oUmW1yo/edit?usp=sharing"",""เพชรบูรณ์!I296"")"),219)</f>
        <v>219</v>
      </c>
      <c r="J401" s="372">
        <f ca="1">IFERROR(__xludf.DUMMYFUNCTION("IMPORTRANGE(""https://docs.google.com/spreadsheets/d/11923uPwbBZFjjGgGUA6NLw09EwE0CqkOc4q9oUmW1yo/edit?usp=sharing"",""เพชรบูรณ์!J296"")"),219)</f>
        <v>219</v>
      </c>
      <c r="K401" s="373">
        <f t="shared" ref="K401:K402" ca="1" si="111">IF(I401&gt;0,J401*100/I401,0)</f>
        <v>100</v>
      </c>
      <c r="L401" s="374">
        <f ca="1">IFERROR(__xludf.DUMMYFUNCTION("IMPORTRANGE(""https://docs.google.com/spreadsheets/d/11923uPwbBZFjjGgGUA6NLw09EwE0CqkOc4q9oUmW1yo/edit?usp=sharing"",""เพชรบูรณ์!L296"")"),244540)</f>
        <v>244540</v>
      </c>
      <c r="M401" s="374"/>
      <c r="N401" s="374">
        <f ca="1">IFERROR(__xludf.DUMMYFUNCTION("IMPORTRANGE(""https://docs.google.com/spreadsheets/d/11923uPwbBZFjjGgGUA6NLw09EwE0CqkOc4q9oUmW1yo/edit?usp=sharing"",""เพชรบูรณ์!M296"")"),176190)</f>
        <v>176190</v>
      </c>
      <c r="O401" s="374">
        <f ca="1">+IF(L401&gt;0,N401*100/L401,0)</f>
        <v>72.049562443771975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IFERROR(__xludf.DUMMYFUNCTION("IMPORTRANGE(""https://docs.google.com/spreadsheets/d/11923uPwbBZFjjGgGUA6NLw09EwE0CqkOc4q9oUmW1yo/edit?usp=sharing"",""เพชรบูรณ์!I297"")"),73)</f>
        <v>73</v>
      </c>
      <c r="J402" s="372">
        <f ca="1">IFERROR(__xludf.DUMMYFUNCTION("IMPORTRANGE(""https://docs.google.com/spreadsheets/d/11923uPwbBZFjjGgGUA6NLw09EwE0CqkOc4q9oUmW1yo/edit?usp=sharing"",""เพชรบูรณ์!J297"")"),73)</f>
        <v>73</v>
      </c>
      <c r="K402" s="373">
        <f t="shared" ca="1" si="111"/>
        <v>100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IFERROR(__xludf.DUMMYFUNCTION("IMPORTRANGE(""https://docs.google.com/spreadsheets/d/11923uPwbBZFjjGgGUA6NLw09EwE0CqkOc4q9oUmW1yo/edit?usp=sharing"",""เพชรบูรณ์!L298"")"),0)</f>
        <v>0</v>
      </c>
      <c r="M403" s="166"/>
      <c r="N403" s="170">
        <f ca="1">IFERROR(__xludf.DUMMYFUNCTION("IMPORTRANGE(""https://docs.google.com/spreadsheets/d/11923uPwbBZFjjGgGUA6NLw09EwE0CqkOc4q9oUmW1yo/edit?usp=sharing"",""เพชรบูรณ์!M298"")"),0)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IFERROR(__xludf.DUMMYFUNCTION("IMPORTRANGE(""https://docs.google.com/spreadsheets/d/11923uPwbBZFjjGgGUA6NLw09EwE0CqkOc4q9oUmW1yo/edit?usp=sharing"",""เพชรบูรณ์!L299"")"),244540)</f>
        <v>244540</v>
      </c>
      <c r="M404" s="167"/>
      <c r="N404" s="170">
        <f ca="1">IFERROR(__xludf.DUMMYFUNCTION("IMPORTRANGE(""https://docs.google.com/spreadsheets/d/11923uPwbBZFjjGgGUA6NLw09EwE0CqkOc4q9oUmW1yo/edit?usp=sharing"",""เพชรบูรณ์!M299"")"),176190)</f>
        <v>176190</v>
      </c>
      <c r="O404" s="170">
        <f t="shared" ca="1" si="112"/>
        <v>72.049562443771975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IFERROR(__xludf.DUMMYFUNCTION("IMPORTRANGE(""https://docs.google.com/spreadsheets/d/11923uPwbBZFjjGgGUA6NLw09EwE0CqkOc4q9oUmW1yo/edit?usp=sharing"",""เพชรบูรณ์!L300"")"),0)</f>
        <v>0</v>
      </c>
      <c r="M405" s="170"/>
      <c r="N405" s="170">
        <f ca="1">IFERROR(__xludf.DUMMYFUNCTION("IMPORTRANGE(""https://docs.google.com/spreadsheets/d/11923uPwbBZFjjGgGUA6NLw09EwE0CqkOc4q9oUmW1yo/edit?usp=sharing"",""เพชรบูรณ์!M300"")"),0)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IFERROR(__xludf.DUMMYFUNCTION("IMPORTRANGE(""https://docs.google.com/spreadsheets/d/11923uPwbBZFjjGgGUA6NLw09EwE0CqkOc4q9oUmW1yo/edit?usp=sharing"",""เพชรบูรณ์!L301"")"),244540)</f>
        <v>244540</v>
      </c>
      <c r="M406" s="170"/>
      <c r="N406" s="170">
        <f ca="1">IFERROR(__xludf.DUMMYFUNCTION("IMPORTRANGE(""https://docs.google.com/spreadsheets/d/11923uPwbBZFjjGgGUA6NLw09EwE0CqkOc4q9oUmW1yo/edit?usp=sharing"",""เพชรบูรณ์!M301"")"),176190)</f>
        <v>176190</v>
      </c>
      <c r="O406" s="170">
        <f t="shared" ca="1" si="112"/>
        <v>72.049562443771975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IFERROR(__xludf.DUMMYFUNCTION("IMPORTRANGE(""https://docs.google.com/spreadsheets/d/11923uPwbBZFjjGgGUA6NLw09EwE0CqkOc4q9oUmW1yo/edit?usp=sharing"",""เพชรบูรณ์!M302"")"),129590)</f>
        <v>129590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IFERROR(__xludf.DUMMYFUNCTION("IMPORTRANGE(""https://docs.google.com/spreadsheets/d/11923uPwbBZFjjGgGUA6NLw09EwE0CqkOc4q9oUmW1yo/edit?usp=sharing"",""เพชรบูรณ์!M303"")"),37500)</f>
        <v>37500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IFERROR(__xludf.DUMMYFUNCTION("IMPORTRANGE(""https://docs.google.com/spreadsheets/d/11923uPwbBZFjjGgGUA6NLw09EwE0CqkOc4q9oUmW1yo/edit?usp=sharing"",""เพชรบูรณ์!M304"")"),0)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IFERROR(__xludf.DUMMYFUNCTION("IMPORTRANGE(""https://docs.google.com/spreadsheets/d/11923uPwbBZFjjGgGUA6NLw09EwE0CqkOc4q9oUmW1yo/edit?usp=sharing"",""เพชรบูรณ์!M305"")"),9100)</f>
        <v>9100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IFERROR(__xludf.DUMMYFUNCTION("IMPORTRANGE(""https://docs.google.com/spreadsheets/d/11923uPwbBZFjjGgGUA6NLw09EwE0CqkOc4q9oUmW1yo/edit?usp=sharing"",""เพชรบูรณ์!J307"")"),0)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IFERROR(__xludf.DUMMYFUNCTION("IMPORTRANGE(""https://docs.google.com/spreadsheets/d/11923uPwbBZFjjGgGUA6NLw09EwE0CqkOc4q9oUmW1yo/edit?usp=sharing"",""เพชรบูรณ์!J308"")"),1)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IFERROR(__xludf.DUMMYFUNCTION("IMPORTRANGE(""https://docs.google.com/spreadsheets/d/11923uPwbBZFjjGgGUA6NLw09EwE0CqkOc4q9oUmW1yo/edit?usp=sharing"",""เพชรบูรณ์!J309"")"),1)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IFERROR(__xludf.DUMMYFUNCTION("IMPORTRANGE(""https://docs.google.com/spreadsheets/d/11923uPwbBZFjjGgGUA6NLw09EwE0CqkOc4q9oUmW1yo/edit?usp=sharing"",""เพชรบูรณ์!J310"")"),1)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IFERROR(__xludf.DUMMYFUNCTION("IMPORTRANGE(""https://docs.google.com/spreadsheets/d/11923uPwbBZFjjGgGUA6NLw09EwE0CqkOc4q9oUmW1yo/edit?usp=sharing"",""เพชรบูรณ์!I311"")"),73)</f>
        <v>73</v>
      </c>
      <c r="J416" s="202">
        <f ca="1">IFERROR(__xludf.DUMMYFUNCTION("IMPORTRANGE(""https://docs.google.com/spreadsheets/d/11923uPwbBZFjjGgGUA6NLw09EwE0CqkOc4q9oUmW1yo/edit?usp=sharing"",""เพชรบูรณ์!J311"")"),73)</f>
        <v>73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IFERROR(__xludf.DUMMYFUNCTION("IMPORTRANGE(""https://docs.google.com/spreadsheets/d/11923uPwbBZFjjGgGUA6NLw09EwE0CqkOc4q9oUmW1yo/edit?usp=sharing"",""เพชรบูรณ์!I312"")"),25)</f>
        <v>25</v>
      </c>
      <c r="J417" s="393">
        <f ca="1">IFERROR(__xludf.DUMMYFUNCTION("IMPORTRANGE(""https://docs.google.com/spreadsheets/d/11923uPwbBZFjjGgGUA6NLw09EwE0CqkOc4q9oUmW1yo/edit?usp=sharing"",""เพชรบูรณ์!J312"")"),25)</f>
        <v>25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IFERROR(__xludf.DUMMYFUNCTION("IMPORTRANGE(""https://docs.google.com/spreadsheets/d/11923uPwbBZFjjGgGUA6NLw09EwE0CqkOc4q9oUmW1yo/edit?usp=sharing"",""เพชรบูรณ์!I313"")"),75)</f>
        <v>75</v>
      </c>
      <c r="J418" s="394">
        <f ca="1">IFERROR(__xludf.DUMMYFUNCTION("IMPORTRANGE(""https://docs.google.com/spreadsheets/d/11923uPwbBZFjjGgGUA6NLw09EwE0CqkOc4q9oUmW1yo/edit?usp=sharing"",""เพชรบูรณ์!J313"")"),75)</f>
        <v>75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IFERROR(__xludf.DUMMYFUNCTION("IMPORTRANGE(""https://docs.google.com/spreadsheets/d/11923uPwbBZFjjGgGUA6NLw09EwE0CqkOc4q9oUmW1yo/edit?usp=sharing"",""เพชรบูรณ์!I314"")"),25)</f>
        <v>25</v>
      </c>
      <c r="J419" s="395">
        <f ca="1">IFERROR(__xludf.DUMMYFUNCTION("IMPORTRANGE(""https://docs.google.com/spreadsheets/d/11923uPwbBZFjjGgGUA6NLw09EwE0CqkOc4q9oUmW1yo/edit?usp=sharing"",""เพชรบูรณ์!J314"")"),25)</f>
        <v>25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IFERROR(__xludf.DUMMYFUNCTION("IMPORTRANGE(""https://docs.google.com/spreadsheets/d/11923uPwbBZFjjGgGUA6NLw09EwE0CqkOc4q9oUmW1yo/edit?usp=sharing"",""เพชรบูรณ์!I315"")"),25)</f>
        <v>25</v>
      </c>
      <c r="J420" s="395">
        <f ca="1">IFERROR(__xludf.DUMMYFUNCTION("IMPORTRANGE(""https://docs.google.com/spreadsheets/d/11923uPwbBZFjjGgGUA6NLw09EwE0CqkOc4q9oUmW1yo/edit?usp=sharing"",""เพชรบูรณ์!J315"")"),25)</f>
        <v>25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IFERROR(__xludf.DUMMYFUNCTION("IMPORTRANGE(""https://docs.google.com/spreadsheets/d/11923uPwbBZFjjGgGUA6NLw09EwE0CqkOc4q9oUmW1yo/edit?usp=sharing"",""เพชรบูรณ์!I316"")"),38)</f>
        <v>38</v>
      </c>
      <c r="J421" s="393">
        <f ca="1">IFERROR(__xludf.DUMMYFUNCTION("IMPORTRANGE(""https://docs.google.com/spreadsheets/d/11923uPwbBZFjjGgGUA6NLw09EwE0CqkOc4q9oUmW1yo/edit?usp=sharing"",""เพชรบูรณ์!J316"")"),38)</f>
        <v>38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IFERROR(__xludf.DUMMYFUNCTION("IMPORTRANGE(""https://docs.google.com/spreadsheets/d/11923uPwbBZFjjGgGUA6NLw09EwE0CqkOc4q9oUmW1yo/edit?usp=sharing"",""เพชรบูรณ์!I317"")"),114)</f>
        <v>114</v>
      </c>
      <c r="J422" s="394">
        <f ca="1">IFERROR(__xludf.DUMMYFUNCTION("IMPORTRANGE(""https://docs.google.com/spreadsheets/d/11923uPwbBZFjjGgGUA6NLw09EwE0CqkOc4q9oUmW1yo/edit?usp=sharing"",""เพชรบูรณ์!J317"")"),114)</f>
        <v>114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IFERROR(__xludf.DUMMYFUNCTION("IMPORTRANGE(""https://docs.google.com/spreadsheets/d/11923uPwbBZFjjGgGUA6NLw09EwE0CqkOc4q9oUmW1yo/edit?usp=sharing"",""เพชรบูรณ์!I318"")"),38)</f>
        <v>38</v>
      </c>
      <c r="J423" s="395">
        <f ca="1">IFERROR(__xludf.DUMMYFUNCTION("IMPORTRANGE(""https://docs.google.com/spreadsheets/d/11923uPwbBZFjjGgGUA6NLw09EwE0CqkOc4q9oUmW1yo/edit?usp=sharing"",""เพชรบูรณ์!J318"")"),38)</f>
        <v>38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IFERROR(__xludf.DUMMYFUNCTION("IMPORTRANGE(""https://docs.google.com/spreadsheets/d/11923uPwbBZFjjGgGUA6NLw09EwE0CqkOc4q9oUmW1yo/edit?usp=sharing"",""เพชรบูรณ์!I319"")"),38)</f>
        <v>38</v>
      </c>
      <c r="J424" s="395">
        <f ca="1">IFERROR(__xludf.DUMMYFUNCTION("IMPORTRANGE(""https://docs.google.com/spreadsheets/d/11923uPwbBZFjjGgGUA6NLw09EwE0CqkOc4q9oUmW1yo/edit?usp=sharing"",""เพชรบูรณ์!J319"")"),38)</f>
        <v>38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IFERROR(__xludf.DUMMYFUNCTION("IMPORTRANGE(""https://docs.google.com/spreadsheets/d/11923uPwbBZFjjGgGUA6NLw09EwE0CqkOc4q9oUmW1yo/edit?usp=sharing"",""เพชรบูรณ์!I320"")"),38)</f>
        <v>38</v>
      </c>
      <c r="J425" s="395">
        <f ca="1">IFERROR(__xludf.DUMMYFUNCTION("IMPORTRANGE(""https://docs.google.com/spreadsheets/d/11923uPwbBZFjjGgGUA6NLw09EwE0CqkOc4q9oUmW1yo/edit?usp=sharing"",""เพชรบูรณ์!J320"")"),38)</f>
        <v>38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IFERROR(__xludf.DUMMYFUNCTION("IMPORTRANGE(""https://docs.google.com/spreadsheets/d/11923uPwbBZFjjGgGUA6NLw09EwE0CqkOc4q9oUmW1yo/edit?usp=sharing"",""เพชรบูรณ์!I321"")"),10)</f>
        <v>10</v>
      </c>
      <c r="J426" s="393">
        <f ca="1">IFERROR(__xludf.DUMMYFUNCTION("IMPORTRANGE(""https://docs.google.com/spreadsheets/d/11923uPwbBZFjjGgGUA6NLw09EwE0CqkOc4q9oUmW1yo/edit?usp=sharing"",""เพชรบูรณ์!J321"")"),10)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IFERROR(__xludf.DUMMYFUNCTION("IMPORTRANGE(""https://docs.google.com/spreadsheets/d/11923uPwbBZFjjGgGUA6NLw09EwE0CqkOc4q9oUmW1yo/edit?usp=sharing"",""เพชรบูรณ์!I322"")"),30)</f>
        <v>30</v>
      </c>
      <c r="J427" s="394">
        <f ca="1">IFERROR(__xludf.DUMMYFUNCTION("IMPORTRANGE(""https://docs.google.com/spreadsheets/d/11923uPwbBZFjjGgGUA6NLw09EwE0CqkOc4q9oUmW1yo/edit?usp=sharing"",""เพชรบูรณ์!J322"")"),30)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IFERROR(__xludf.DUMMYFUNCTION("IMPORTRANGE(""https://docs.google.com/spreadsheets/d/11923uPwbBZFjjGgGUA6NLw09EwE0CqkOc4q9oUmW1yo/edit?usp=sharing"",""เพชรบูรณ์!I323"")"),10)</f>
        <v>10</v>
      </c>
      <c r="J428" s="395">
        <f ca="1">IFERROR(__xludf.DUMMYFUNCTION("IMPORTRANGE(""https://docs.google.com/spreadsheets/d/11923uPwbBZFjjGgGUA6NLw09EwE0CqkOc4q9oUmW1yo/edit?usp=sharing"",""เพชรบูรณ์!J323"")"),10)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IFERROR(__xludf.DUMMYFUNCTION("IMPORTRANGE(""https://docs.google.com/spreadsheets/d/11923uPwbBZFjjGgGUA6NLw09EwE0CqkOc4q9oUmW1yo/edit?usp=sharing"",""เพชรบูรณ์!I324"")"),10)</f>
        <v>10</v>
      </c>
      <c r="J429" s="395">
        <f ca="1">IFERROR(__xludf.DUMMYFUNCTION("IMPORTRANGE(""https://docs.google.com/spreadsheets/d/11923uPwbBZFjjGgGUA6NLw09EwE0CqkOc4q9oUmW1yo/edit?usp=sharing"",""เพชรบูรณ์!J324"")"),10)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IFERROR(__xludf.DUMMYFUNCTION("IMPORTRANGE(""https://docs.google.com/spreadsheets/d/11923uPwbBZFjjGgGUA6NLw09EwE0CqkOc4q9oUmW1yo/edit?usp=sharing"",""เพชรบูรณ์!I325"")"),63)</f>
        <v>63</v>
      </c>
      <c r="J430" s="393">
        <f ca="1">IFERROR(__xludf.DUMMYFUNCTION("IMPORTRANGE(""https://docs.google.com/spreadsheets/d/11923uPwbBZFjjGgGUA6NLw09EwE0CqkOc4q9oUmW1yo/edit?usp=sharing"",""เพชรบูรณ์!J325"")"),63)</f>
        <v>63</v>
      </c>
      <c r="K430" s="203">
        <f t="shared" ca="1" si="113"/>
        <v>100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IFERROR(__xludf.DUMMYFUNCTION("IMPORTRANGE(""https://docs.google.com/spreadsheets/d/11923uPwbBZFjjGgGUA6NLw09EwE0CqkOc4q9oUmW1yo/edit?usp=sharing"",""เพชรบูรณ์!I326"")"),25)</f>
        <v>25</v>
      </c>
      <c r="J431" s="395">
        <f ca="1">IFERROR(__xludf.DUMMYFUNCTION("IMPORTRANGE(""https://docs.google.com/spreadsheets/d/11923uPwbBZFjjGgGUA6NLw09EwE0CqkOc4q9oUmW1yo/edit?usp=sharing"",""เพชรบูรณ์!J326"")"),25)</f>
        <v>25</v>
      </c>
      <c r="K431" s="165">
        <f t="shared" ca="1" si="113"/>
        <v>100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IFERROR(__xludf.DUMMYFUNCTION("IMPORTRANGE(""https://docs.google.com/spreadsheets/d/11923uPwbBZFjjGgGUA6NLw09EwE0CqkOc4q9oUmW1yo/edit?usp=sharing"",""เพชรบูรณ์!I327"")"),38)</f>
        <v>38</v>
      </c>
      <c r="J432" s="395">
        <f ca="1">IFERROR(__xludf.DUMMYFUNCTION("IMPORTRANGE(""https://docs.google.com/spreadsheets/d/11923uPwbBZFjjGgGUA6NLw09EwE0CqkOc4q9oUmW1yo/edit?usp=sharing"",""เพชรบูรณ์!J327"")"),38)</f>
        <v>38</v>
      </c>
      <c r="K432" s="165">
        <f t="shared" ca="1" si="113"/>
        <v>100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IFERROR(__xludf.DUMMYFUNCTION("IMPORTRANGE(""https://docs.google.com/spreadsheets/d/11923uPwbBZFjjGgGUA6NLw09EwE0CqkOc4q9oUmW1yo/edit?usp=sharing"",""เพชรบูรณ์!J328"")"),0)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IFERROR(__xludf.DUMMYFUNCTION("IMPORTRANGE(""https://docs.google.com/spreadsheets/d/11923uPwbBZFjjGgGUA6NLw09EwE0CqkOc4q9oUmW1yo/edit?usp=sharing"",""เพชรบูรณ์!J329"")"),0)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IFERROR(__xludf.DUMMYFUNCTION("IMPORTRANGE(""https://docs.google.com/spreadsheets/d/11923uPwbBZFjjGgGUA6NLw09EwE0CqkOc4q9oUmW1yo/edit?usp=sharing"",""เพชรบูรณ์!I330"")"),40)</f>
        <v>40</v>
      </c>
      <c r="J435" s="411">
        <f ca="1">IFERROR(__xludf.DUMMYFUNCTION("IMPORTRANGE(""https://docs.google.com/spreadsheets/d/11923uPwbBZFjjGgGUA6NLw09EwE0CqkOc4q9oUmW1yo/edit?usp=sharing"",""เพชรบูรณ์!J330"")"),40)</f>
        <v>40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IFERROR(__xludf.DUMMYFUNCTION("IMPORTRANGE(""https://docs.google.com/spreadsheets/d/11923uPwbBZFjjGgGUA6NLw09EwE0CqkOc4q9oUmW1yo/edit?usp=sharing"",""เพชรบูรณ์!L330"")"),162000)</f>
        <v>162000</v>
      </c>
      <c r="M435" s="413"/>
      <c r="N435" s="413">
        <f ca="1">IFERROR(__xludf.DUMMYFUNCTION("IMPORTRANGE(""https://docs.google.com/spreadsheets/d/11923uPwbBZFjjGgGUA6NLw09EwE0CqkOc4q9oUmW1yo/edit?usp=sharing"",""เพชรบูรณ์!M330"")"),118269.5)</f>
        <v>118269.5</v>
      </c>
      <c r="O435" s="413">
        <f t="shared" ref="O435:O439" ca="1" si="114">+IF(L435&gt;0,N435*100/L435,0)</f>
        <v>73.005864197530869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IFERROR(__xludf.DUMMYFUNCTION("IMPORTRANGE(""https://docs.google.com/spreadsheets/d/11923uPwbBZFjjGgGUA6NLw09EwE0CqkOc4q9oUmW1yo/edit?usp=sharing"",""เพชรบูรณ์!L331"")"),0)</f>
        <v>0</v>
      </c>
      <c r="M436" s="166"/>
      <c r="N436" s="170">
        <f ca="1">IFERROR(__xludf.DUMMYFUNCTION("IMPORTRANGE(""https://docs.google.com/spreadsheets/d/11923uPwbBZFjjGgGUA6NLw09EwE0CqkOc4q9oUmW1yo/edit?usp=sharing"",""เพชรบูรณ์!M331"")"),0)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IFERROR(__xludf.DUMMYFUNCTION("IMPORTRANGE(""https://docs.google.com/spreadsheets/d/11923uPwbBZFjjGgGUA6NLw09EwE0CqkOc4q9oUmW1yo/edit?usp=sharing"",""เพชรบูรณ์!L332"")"),162000)</f>
        <v>162000</v>
      </c>
      <c r="M437" s="167"/>
      <c r="N437" s="170">
        <f ca="1">IFERROR(__xludf.DUMMYFUNCTION("IMPORTRANGE(""https://docs.google.com/spreadsheets/d/11923uPwbBZFjjGgGUA6NLw09EwE0CqkOc4q9oUmW1yo/edit?usp=sharing"",""เพชรบูรณ์!M332"")"),118269.5)</f>
        <v>118269.5</v>
      </c>
      <c r="O437" s="170">
        <f t="shared" ca="1" si="114"/>
        <v>73.005864197530869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IFERROR(__xludf.DUMMYFUNCTION("IMPORTRANGE(""https://docs.google.com/spreadsheets/d/11923uPwbBZFjjGgGUA6NLw09EwE0CqkOc4q9oUmW1yo/edit?usp=sharing"",""เพชรบูรณ์!L333"")"),0)</f>
        <v>0</v>
      </c>
      <c r="M438" s="170"/>
      <c r="N438" s="170">
        <f ca="1">IFERROR(__xludf.DUMMYFUNCTION("IMPORTRANGE(""https://docs.google.com/spreadsheets/d/11923uPwbBZFjjGgGUA6NLw09EwE0CqkOc4q9oUmW1yo/edit?usp=sharing"",""เพชรบูรณ์!M333"")"),0)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IFERROR(__xludf.DUMMYFUNCTION("IMPORTRANGE(""https://docs.google.com/spreadsheets/d/11923uPwbBZFjjGgGUA6NLw09EwE0CqkOc4q9oUmW1yo/edit?usp=sharing"",""เพชรบูรณ์!L334"")"),162000)</f>
        <v>162000</v>
      </c>
      <c r="M439" s="170"/>
      <c r="N439" s="170">
        <f ca="1">IFERROR(__xludf.DUMMYFUNCTION("IMPORTRANGE(""https://docs.google.com/spreadsheets/d/11923uPwbBZFjjGgGUA6NLw09EwE0CqkOc4q9oUmW1yo/edit?usp=sharing"",""เพชรบูรณ์!M334"")"),118269.5)</f>
        <v>118269.5</v>
      </c>
      <c r="O439" s="170">
        <f t="shared" ca="1" si="114"/>
        <v>73.005864197530869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IFERROR(__xludf.DUMMYFUNCTION("IMPORTRANGE(""https://docs.google.com/spreadsheets/d/11923uPwbBZFjjGgGUA6NLw09EwE0CqkOc4q9oUmW1yo/edit?usp=sharing"",""เพชรบูรณ์!M335"")"),93159.5)</f>
        <v>93159.5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IFERROR(__xludf.DUMMYFUNCTION("IMPORTRANGE(""https://docs.google.com/spreadsheets/d/11923uPwbBZFjjGgGUA6NLw09EwE0CqkOc4q9oUmW1yo/edit?usp=sharing"",""เพชรบูรณ์!M336"")"),0)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IFERROR(__xludf.DUMMYFUNCTION("IMPORTRANGE(""https://docs.google.com/spreadsheets/d/11923uPwbBZFjjGgGUA6NLw09EwE0CqkOc4q9oUmW1yo/edit?usp=sharing"",""เพชรบูรณ์!M337"")"),0)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IFERROR(__xludf.DUMMYFUNCTION("IMPORTRANGE(""https://docs.google.com/spreadsheets/d/11923uPwbBZFjjGgGUA6NLw09EwE0CqkOc4q9oUmW1yo/edit?usp=sharing"",""เพชรบูรณ์!M338"")"),25110)</f>
        <v>25110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IFERROR(__xludf.DUMMYFUNCTION("IMPORTRANGE(""https://docs.google.com/spreadsheets/d/11923uPwbBZFjjGgGUA6NLw09EwE0CqkOc4q9oUmW1yo/edit?usp=sharing"",""เพชรบูรณ์!J340"")"),0)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IFERROR(__xludf.DUMMYFUNCTION("IMPORTRANGE(""https://docs.google.com/spreadsheets/d/11923uPwbBZFjjGgGUA6NLw09EwE0CqkOc4q9oUmW1yo/edit?usp=sharing"",""เพชรบูรณ์!J341"")"),1)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IFERROR(__xludf.DUMMYFUNCTION("IMPORTRANGE(""https://docs.google.com/spreadsheets/d/11923uPwbBZFjjGgGUA6NLw09EwE0CqkOc4q9oUmW1yo/edit?usp=sharing"",""เพชรบูรณ์!J342"")"),1)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IFERROR(__xludf.DUMMYFUNCTION("IMPORTRANGE(""https://docs.google.com/spreadsheets/d/11923uPwbBZFjjGgGUA6NLw09EwE0CqkOc4q9oUmW1yo/edit?usp=sharing"",""เพชรบูรณ์!J343"")"),1)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IFERROR(__xludf.DUMMYFUNCTION("IMPORTRANGE(""https://docs.google.com/spreadsheets/d/11923uPwbBZFjjGgGUA6NLw09EwE0CqkOc4q9oUmW1yo/edit?usp=sharing"",""เพชรบูรณ์!I344"")"),40)</f>
        <v>40</v>
      </c>
      <c r="J449" s="202">
        <f ca="1">IFERROR(__xludf.DUMMYFUNCTION("IMPORTRANGE(""https://docs.google.com/spreadsheets/d/11923uPwbBZFjjGgGUA6NLw09EwE0CqkOc4q9oUmW1yo/edit?usp=sharing"",""เพชรบูรณ์!J344"")"),40)</f>
        <v>40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IFERROR(__xludf.DUMMYFUNCTION("IMPORTRANGE(""https://docs.google.com/spreadsheets/d/11923uPwbBZFjjGgGUA6NLw09EwE0CqkOc4q9oUmW1yo/edit?usp=sharing"",""เพชรบูรณ์!I345"")"),40)</f>
        <v>40</v>
      </c>
      <c r="J450" s="190">
        <f ca="1">IFERROR(__xludf.DUMMYFUNCTION("IMPORTRANGE(""https://docs.google.com/spreadsheets/d/11923uPwbBZFjjGgGUA6NLw09EwE0CqkOc4q9oUmW1yo/edit?usp=sharing"",""เพชรบูรณ์!J345"")"),40)</f>
        <v>40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IFERROR(__xludf.DUMMYFUNCTION("IMPORTRANGE(""https://docs.google.com/spreadsheets/d/11923uPwbBZFjjGgGUA6NLw09EwE0CqkOc4q9oUmW1yo/edit?usp=sharing"",""เพชรบูรณ์!I346"")"),0)</f>
        <v>0</v>
      </c>
      <c r="J451" s="189">
        <f ca="1">IFERROR(__xludf.DUMMYFUNCTION("IMPORTRANGE(""https://docs.google.com/spreadsheets/d/11923uPwbBZFjjGgGUA6NLw09EwE0CqkOc4q9oUmW1yo/edit?usp=sharing"",""เพชรบูรณ์!J346"")"),0)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hidden="1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IFERROR(__xludf.DUMMYFUNCTION("IMPORTRANGE(""https://docs.google.com/spreadsheets/d/11923uPwbBZFjjGgGUA6NLw09EwE0CqkOc4q9oUmW1yo/edit?usp=sharing"",""เพชรบูรณ์!I347"")"),0)</f>
        <v>0</v>
      </c>
      <c r="J452" s="189">
        <f ca="1">IFERROR(__xludf.DUMMYFUNCTION("IMPORTRANGE(""https://docs.google.com/spreadsheets/d/11923uPwbBZFjjGgGUA6NLw09EwE0CqkOc4q9oUmW1yo/edit?usp=sharing"",""เพชรบูรณ์!J347"")"),0)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IFERROR(__xludf.DUMMYFUNCTION("IMPORTRANGE(""https://docs.google.com/spreadsheets/d/11923uPwbBZFjjGgGUA6NLw09EwE0CqkOc4q9oUmW1yo/edit?usp=sharing"",""เพชรบูรณ์!J348"")"),0)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IFERROR(__xludf.DUMMYFUNCTION("IMPORTRANGE(""https://docs.google.com/spreadsheets/d/11923uPwbBZFjjGgGUA6NLw09EwE0CqkOc4q9oUmW1yo/edit?usp=sharing"",""เพชรบูรณ์!J349"")"),0)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IFERROR(__xludf.DUMMYFUNCTION("IMPORTRANGE(""https://docs.google.com/spreadsheets/d/11923uPwbBZFjjGgGUA6NLw09EwE0CqkOc4q9oUmW1yo/edit?usp=sharing"",""เพชรบูรณ์!I350"")"),55704)</f>
        <v>55704</v>
      </c>
      <c r="J455" s="372">
        <f ca="1">IFERROR(__xludf.DUMMYFUNCTION("IMPORTRANGE(""https://docs.google.com/spreadsheets/d/11923uPwbBZFjjGgGUA6NLw09EwE0CqkOc4q9oUmW1yo/edit?usp=sharing"",""เพชรบูรณ์!J350"")"),0)</f>
        <v>0</v>
      </c>
      <c r="K455" s="373">
        <f ca="1">IF(I455&gt;0,J455*100/I455,0)</f>
        <v>0</v>
      </c>
      <c r="L455" s="374">
        <f ca="1">IFERROR(__xludf.DUMMYFUNCTION("IMPORTRANGE(""https://docs.google.com/spreadsheets/d/11923uPwbBZFjjGgGUA6NLw09EwE0CqkOc4q9oUmW1yo/edit?usp=sharing"",""เพชรบูรณ์!L350"")"),430776)</f>
        <v>430776</v>
      </c>
      <c r="M455" s="374"/>
      <c r="N455" s="374">
        <f ca="1">IFERROR(__xludf.DUMMYFUNCTION("IMPORTRANGE(""https://docs.google.com/spreadsheets/d/11923uPwbBZFjjGgGUA6NLw09EwE0CqkOc4q9oUmW1yo/edit?usp=sharing"",""เพชรบูรณ์!M350"")"),101490)</f>
        <v>101490</v>
      </c>
      <c r="O455" s="374">
        <f t="shared" ref="O455:O459" ca="1" si="116">+IF(L455&gt;0,N455*100/L455,0)</f>
        <v>23.559808345868852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IFERROR(__xludf.DUMMYFUNCTION("IMPORTRANGE(""https://docs.google.com/spreadsheets/d/11923uPwbBZFjjGgGUA6NLw09EwE0CqkOc4q9oUmW1yo/edit?usp=sharing"",""เพชรบูรณ์!L351"")"),0)</f>
        <v>0</v>
      </c>
      <c r="M456" s="166"/>
      <c r="N456" s="170">
        <f ca="1">IFERROR(__xludf.DUMMYFUNCTION("IMPORTRANGE(""https://docs.google.com/spreadsheets/d/11923uPwbBZFjjGgGUA6NLw09EwE0CqkOc4q9oUmW1yo/edit?usp=sharing"",""เพชรบูรณ์!M351"")"),0)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IFERROR(__xludf.DUMMYFUNCTION("IMPORTRANGE(""https://docs.google.com/spreadsheets/d/11923uPwbBZFjjGgGUA6NLw09EwE0CqkOc4q9oUmW1yo/edit?usp=sharing"",""เพชรบูรณ์!L352"")"),430776)</f>
        <v>430776</v>
      </c>
      <c r="M457" s="167"/>
      <c r="N457" s="170">
        <f ca="1">IFERROR(__xludf.DUMMYFUNCTION("IMPORTRANGE(""https://docs.google.com/spreadsheets/d/11923uPwbBZFjjGgGUA6NLw09EwE0CqkOc4q9oUmW1yo/edit?usp=sharing"",""เพชรบูรณ์!M352"")"),101490)</f>
        <v>101490</v>
      </c>
      <c r="O457" s="170">
        <f t="shared" ca="1" si="116"/>
        <v>23.559808345868852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IFERROR(__xludf.DUMMYFUNCTION("IMPORTRANGE(""https://docs.google.com/spreadsheets/d/11923uPwbBZFjjGgGUA6NLw09EwE0CqkOc4q9oUmW1yo/edit?usp=sharing"",""เพชรบูรณ์!L353"")"),0)</f>
        <v>0</v>
      </c>
      <c r="M458" s="170"/>
      <c r="N458" s="170">
        <f ca="1">IFERROR(__xludf.DUMMYFUNCTION("IMPORTRANGE(""https://docs.google.com/spreadsheets/d/11923uPwbBZFjjGgGUA6NLw09EwE0CqkOc4q9oUmW1yo/edit?usp=sharing"",""เพชรบูรณ์!M353"")"),0)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IFERROR(__xludf.DUMMYFUNCTION("IMPORTRANGE(""https://docs.google.com/spreadsheets/d/11923uPwbBZFjjGgGUA6NLw09EwE0CqkOc4q9oUmW1yo/edit?usp=sharing"",""เพชรบูรณ์!L354"")"),430776)</f>
        <v>430776</v>
      </c>
      <c r="M459" s="170"/>
      <c r="N459" s="170">
        <f ca="1">IFERROR(__xludf.DUMMYFUNCTION("IMPORTRANGE(""https://docs.google.com/spreadsheets/d/11923uPwbBZFjjGgGUA6NLw09EwE0CqkOc4q9oUmW1yo/edit?usp=sharing"",""เพชรบูรณ์!M354"")"),101490)</f>
        <v>101490</v>
      </c>
      <c r="O459" s="170">
        <f t="shared" ca="1" si="116"/>
        <v>23.559808345868852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IFERROR(__xludf.DUMMYFUNCTION("IMPORTRANGE(""https://docs.google.com/spreadsheets/d/11923uPwbBZFjjGgGUA6NLw09EwE0CqkOc4q9oUmW1yo/edit?usp=sharing"",""เพชรบูรณ์!M355"")"),0)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IFERROR(__xludf.DUMMYFUNCTION("IMPORTRANGE(""https://docs.google.com/spreadsheets/d/11923uPwbBZFjjGgGUA6NLw09EwE0CqkOc4q9oUmW1yo/edit?usp=sharing"",""เพชรบูรณ์!M356"")"),0)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IFERROR(__xludf.DUMMYFUNCTION("IMPORTRANGE(""https://docs.google.com/spreadsheets/d/11923uPwbBZFjjGgGUA6NLw09EwE0CqkOc4q9oUmW1yo/edit?usp=sharing"",""เพชรบูรณ์!M357"")"),0)</f>
        <v>0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IFERROR(__xludf.DUMMYFUNCTION("IMPORTRANGE(""https://docs.google.com/spreadsheets/d/11923uPwbBZFjjGgGUA6NLw09EwE0CqkOc4q9oUmW1yo/edit?usp=sharing"",""เพชรบูรณ์!M358"")"),101490)</f>
        <v>101490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IFERROR(__xludf.DUMMYFUNCTION("IMPORTRANGE(""https://docs.google.com/spreadsheets/d/11923uPwbBZFjjGgGUA6NLw09EwE0CqkOc4q9oUmW1yo/edit?usp=sharing"",""เพชรบูรณ์!I359"")"),55704)</f>
        <v>55704</v>
      </c>
      <c r="J464" s="268">
        <f ca="1">IFERROR(__xludf.DUMMYFUNCTION("IMPORTRANGE(""https://docs.google.com/spreadsheets/d/11923uPwbBZFjjGgGUA6NLw09EwE0CqkOc4q9oUmW1yo/edit?usp=sharing"",""เพชรบูรณ์!J359"")"),0)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IFERROR(__xludf.DUMMYFUNCTION("IMPORTRANGE(""https://docs.google.com/spreadsheets/d/11923uPwbBZFjjGgGUA6NLw09EwE0CqkOc4q9oUmW1yo/edit?usp=sharing"",""เพชรบูรณ์!I360"")"),55704)</f>
        <v>55704</v>
      </c>
      <c r="J465" s="422">
        <f ca="1">IFERROR(__xludf.DUMMYFUNCTION("IMPORTRANGE(""https://docs.google.com/spreadsheets/d/11923uPwbBZFjjGgGUA6NLw09EwE0CqkOc4q9oUmW1yo/edit?usp=sharing"",""เพชรบูรณ์!J360"")"),55710)</f>
        <v>55710</v>
      </c>
      <c r="K465" s="203">
        <f t="shared" ca="1" si="117"/>
        <v>100.01077121930203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IFERROR(__xludf.DUMMYFUNCTION("IMPORTRANGE(""https://docs.google.com/spreadsheets/d/11923uPwbBZFjjGgGUA6NLw09EwE0CqkOc4q9oUmW1yo/edit?usp=sharing"",""เพชรบูรณ์!I361"")"),3219)</f>
        <v>3219</v>
      </c>
      <c r="J466" s="422">
        <f ca="1">IFERROR(__xludf.DUMMYFUNCTION("IMPORTRANGE(""https://docs.google.com/spreadsheets/d/11923uPwbBZFjjGgGUA6NLw09EwE0CqkOc4q9oUmW1yo/edit?usp=sharing"",""เพชรบูรณ์!J361"")"),3219)</f>
        <v>3219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IFERROR(__xludf.DUMMYFUNCTION("IMPORTRANGE(""https://docs.google.com/spreadsheets/d/11923uPwbBZFjjGgGUA6NLw09EwE0CqkOc4q9oUmW1yo/edit?usp=sharing"",""เพชรบูรณ์!I362"")"),0)</f>
        <v>0</v>
      </c>
      <c r="J467" s="190">
        <f ca="1">IFERROR(__xludf.DUMMYFUNCTION("IMPORTRANGE(""https://docs.google.com/spreadsheets/d/11923uPwbBZFjjGgGUA6NLw09EwE0CqkOc4q9oUmW1yo/edit?usp=sharing"",""เพชรบูรณ์!J362"")"),34722)</f>
        <v>34722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IFERROR(__xludf.DUMMYFUNCTION("IMPORTRANGE(""https://docs.google.com/spreadsheets/d/11923uPwbBZFjjGgGUA6NLw09EwE0CqkOc4q9oUmW1yo/edit?usp=sharing"",""เพชรบูรณ์!I363"")"),0)</f>
        <v>0</v>
      </c>
      <c r="J468" s="190">
        <f ca="1">IFERROR(__xludf.DUMMYFUNCTION("IMPORTRANGE(""https://docs.google.com/spreadsheets/d/11923uPwbBZFjjGgGUA6NLw09EwE0CqkOc4q9oUmW1yo/edit?usp=sharing"",""เพชรบูรณ์!J363"")"),2238)</f>
        <v>2238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IFERROR(__xludf.DUMMYFUNCTION("IMPORTRANGE(""https://docs.google.com/spreadsheets/d/11923uPwbBZFjjGgGUA6NLw09EwE0CqkOc4q9oUmW1yo/edit?usp=sharing"",""เพชรบูรณ์!I364"")"),0)</f>
        <v>0</v>
      </c>
      <c r="J469" s="190">
        <f ca="1">IFERROR(__xludf.DUMMYFUNCTION("IMPORTRANGE(""https://docs.google.com/spreadsheets/d/11923uPwbBZFjjGgGUA6NLw09EwE0CqkOc4q9oUmW1yo/edit?usp=sharing"",""เพชรบูรณ์!J364"")"),19289)</f>
        <v>19289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IFERROR(__xludf.DUMMYFUNCTION("IMPORTRANGE(""https://docs.google.com/spreadsheets/d/11923uPwbBZFjjGgGUA6NLw09EwE0CqkOc4q9oUmW1yo/edit?usp=sharing"",""เพชรบูรณ์!I365"")"),0)</f>
        <v>0</v>
      </c>
      <c r="J470" s="190">
        <f ca="1">IFERROR(__xludf.DUMMYFUNCTION("IMPORTRANGE(""https://docs.google.com/spreadsheets/d/11923uPwbBZFjjGgGUA6NLw09EwE0CqkOc4q9oUmW1yo/edit?usp=sharing"",""เพชรบูรณ์!J365"")"),896)</f>
        <v>896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IFERROR(__xludf.DUMMYFUNCTION("IMPORTRANGE(""https://docs.google.com/spreadsheets/d/11923uPwbBZFjjGgGUA6NLw09EwE0CqkOc4q9oUmW1yo/edit?usp=sharing"",""เพชรบูรณ์!I366"")"),0)</f>
        <v>0</v>
      </c>
      <c r="J471" s="190">
        <f ca="1">IFERROR(__xludf.DUMMYFUNCTION("IMPORTRANGE(""https://docs.google.com/spreadsheets/d/11923uPwbBZFjjGgGUA6NLw09EwE0CqkOc4q9oUmW1yo/edit?usp=sharing"",""เพชรบูรณ์!J366"")"),1699)</f>
        <v>1699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IFERROR(__xludf.DUMMYFUNCTION("IMPORTRANGE(""https://docs.google.com/spreadsheets/d/11923uPwbBZFjjGgGUA6NLw09EwE0CqkOc4q9oUmW1yo/edit?usp=sharing"",""เพชรบูรณ์!I367"")"),0)</f>
        <v>0</v>
      </c>
      <c r="J472" s="190">
        <f ca="1">IFERROR(__xludf.DUMMYFUNCTION("IMPORTRANGE(""https://docs.google.com/spreadsheets/d/11923uPwbBZFjjGgGUA6NLw09EwE0CqkOc4q9oUmW1yo/edit?usp=sharing"",""เพชรบูรณ์!J367"")"),85)</f>
        <v>85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IFERROR(__xludf.DUMMYFUNCTION("IMPORTRANGE(""https://docs.google.com/spreadsheets/d/11923uPwbBZFjjGgGUA6NLw09EwE0CqkOc4q9oUmW1yo/edit?usp=sharing"",""เพชรบูรณ์!I368"")"),55704)</f>
        <v>55704</v>
      </c>
      <c r="J473" s="422">
        <f ca="1">IFERROR(__xludf.DUMMYFUNCTION("IMPORTRANGE(""https://docs.google.com/spreadsheets/d/11923uPwbBZFjjGgGUA6NLw09EwE0CqkOc4q9oUmW1yo/edit?usp=sharing"",""เพชรบูรณ์!J368"")"),55710)</f>
        <v>55710</v>
      </c>
      <c r="K473" s="203">
        <f t="shared" ca="1" si="117"/>
        <v>100.01077121930203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IFERROR(__xludf.DUMMYFUNCTION("IMPORTRANGE(""https://docs.google.com/spreadsheets/d/11923uPwbBZFjjGgGUA6NLw09EwE0CqkOc4q9oUmW1yo/edit?usp=sharing"",""เพชรบูรณ์!I369"")"),3219)</f>
        <v>3219</v>
      </c>
      <c r="J474" s="422">
        <f ca="1">IFERROR(__xludf.DUMMYFUNCTION("IMPORTRANGE(""https://docs.google.com/spreadsheets/d/11923uPwbBZFjjGgGUA6NLw09EwE0CqkOc4q9oUmW1yo/edit?usp=sharing"",""เพชรบูรณ์!J369"")"),3219)</f>
        <v>3219</v>
      </c>
      <c r="K474" s="203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IFERROR(__xludf.DUMMYFUNCTION("IMPORTRANGE(""https://docs.google.com/spreadsheets/d/11923uPwbBZFjjGgGUA6NLw09EwE0CqkOc4q9oUmW1yo/edit?usp=sharing"",""เพชรบูรณ์!I370"")"),0)</f>
        <v>0</v>
      </c>
      <c r="J475" s="190">
        <f ca="1">IFERROR(__xludf.DUMMYFUNCTION("IMPORTRANGE(""https://docs.google.com/spreadsheets/d/11923uPwbBZFjjGgGUA6NLw09EwE0CqkOc4q9oUmW1yo/edit?usp=sharing"",""เพชรบูรณ์!J370"")"),35956)</f>
        <v>35956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IFERROR(__xludf.DUMMYFUNCTION("IMPORTRANGE(""https://docs.google.com/spreadsheets/d/11923uPwbBZFjjGgGUA6NLw09EwE0CqkOc4q9oUmW1yo/edit?usp=sharing"",""เพชรบูรณ์!I371"")"),0)</f>
        <v>0</v>
      </c>
      <c r="J476" s="190">
        <f ca="1">IFERROR(__xludf.DUMMYFUNCTION("IMPORTRANGE(""https://docs.google.com/spreadsheets/d/11923uPwbBZFjjGgGUA6NLw09EwE0CqkOc4q9oUmW1yo/edit?usp=sharing"",""เพชรบูรณ์!J371"")"),2315)</f>
        <v>2315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IFERROR(__xludf.DUMMYFUNCTION("IMPORTRANGE(""https://docs.google.com/spreadsheets/d/11923uPwbBZFjjGgGUA6NLw09EwE0CqkOc4q9oUmW1yo/edit?usp=sharing"",""เพชรบูรณ์!I372"")"),0)</f>
        <v>0</v>
      </c>
      <c r="J477" s="190">
        <f ca="1">IFERROR(__xludf.DUMMYFUNCTION("IMPORTRANGE(""https://docs.google.com/spreadsheets/d/11923uPwbBZFjjGgGUA6NLw09EwE0CqkOc4q9oUmW1yo/edit?usp=sharing"",""เพชรบูรณ์!J372"")"),18014)</f>
        <v>18014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IFERROR(__xludf.DUMMYFUNCTION("IMPORTRANGE(""https://docs.google.com/spreadsheets/d/11923uPwbBZFjjGgGUA6NLw09EwE0CqkOc4q9oUmW1yo/edit?usp=sharing"",""เพชรบูรณ์!I373"")"),0)</f>
        <v>0</v>
      </c>
      <c r="J478" s="190">
        <f ca="1">IFERROR(__xludf.DUMMYFUNCTION("IMPORTRANGE(""https://docs.google.com/spreadsheets/d/11923uPwbBZFjjGgGUA6NLw09EwE0CqkOc4q9oUmW1yo/edit?usp=sharing"",""เพชรบูรณ์!J373"")"),820)</f>
        <v>820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IFERROR(__xludf.DUMMYFUNCTION("IMPORTRANGE(""https://docs.google.com/spreadsheets/d/11923uPwbBZFjjGgGUA6NLw09EwE0CqkOc4q9oUmW1yo/edit?usp=sharing"",""เพชรบูรณ์!I374"")"),0)</f>
        <v>0</v>
      </c>
      <c r="J479" s="190">
        <f ca="1">IFERROR(__xludf.DUMMYFUNCTION("IMPORTRANGE(""https://docs.google.com/spreadsheets/d/11923uPwbBZFjjGgGUA6NLw09EwE0CqkOc4q9oUmW1yo/edit?usp=sharing"",""เพชรบูรณ์!J374"")"),1740)</f>
        <v>1740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IFERROR(__xludf.DUMMYFUNCTION("IMPORTRANGE(""https://docs.google.com/spreadsheets/d/11923uPwbBZFjjGgGUA6NLw09EwE0CqkOc4q9oUmW1yo/edit?usp=sharing"",""เพชรบูรณ์!I375"")"),0)</f>
        <v>0</v>
      </c>
      <c r="J480" s="190">
        <f ca="1">IFERROR(__xludf.DUMMYFUNCTION("IMPORTRANGE(""https://docs.google.com/spreadsheets/d/11923uPwbBZFjjGgGUA6NLw09EwE0CqkOc4q9oUmW1yo/edit?usp=sharing"",""เพชรบูรณ์!J375"")"),84)</f>
        <v>84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IFERROR(__xludf.DUMMYFUNCTION("IMPORTRANGE(""https://docs.google.com/spreadsheets/d/11923uPwbBZFjjGgGUA6NLw09EwE0CqkOc4q9oUmW1yo/edit?usp=sharing"",""เพชรบูรณ์!I376"")"),55704)</f>
        <v>55704</v>
      </c>
      <c r="J481" s="422">
        <f ca="1">IFERROR(__xludf.DUMMYFUNCTION("IMPORTRANGE(""https://docs.google.com/spreadsheets/d/11923uPwbBZFjjGgGUA6NLw09EwE0CqkOc4q9oUmW1yo/edit?usp=sharing"",""เพชรบูรณ์!J376"")"),0)</f>
        <v>0</v>
      </c>
      <c r="K481" s="203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IFERROR(__xludf.DUMMYFUNCTION("IMPORTRANGE(""https://docs.google.com/spreadsheets/d/11923uPwbBZFjjGgGUA6NLw09EwE0CqkOc4q9oUmW1yo/edit?usp=sharing"",""เพชรบูรณ์!I377"")"),3219)</f>
        <v>3219</v>
      </c>
      <c r="J482" s="422">
        <f ca="1">IFERROR(__xludf.DUMMYFUNCTION("IMPORTRANGE(""https://docs.google.com/spreadsheets/d/11923uPwbBZFjjGgGUA6NLw09EwE0CqkOc4q9oUmW1yo/edit?usp=sharing"",""เพชรบูรณ์!J377"")"),0)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IFERROR(__xludf.DUMMYFUNCTION("IMPORTRANGE(""https://docs.google.com/spreadsheets/d/11923uPwbBZFjjGgGUA6NLw09EwE0CqkOc4q9oUmW1yo/edit?usp=sharing"",""เพชรบูรณ์!I378"")"),0)</f>
        <v>0</v>
      </c>
      <c r="J483" s="190">
        <f ca="1">IFERROR(__xludf.DUMMYFUNCTION("IMPORTRANGE(""https://docs.google.com/spreadsheets/d/11923uPwbBZFjjGgGUA6NLw09EwE0CqkOc4q9oUmW1yo/edit?usp=sharing"",""เพชรบูรณ์!J378"")"),0)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IFERROR(__xludf.DUMMYFUNCTION("IMPORTRANGE(""https://docs.google.com/spreadsheets/d/11923uPwbBZFjjGgGUA6NLw09EwE0CqkOc4q9oUmW1yo/edit?usp=sharing"",""เพชรบูรณ์!I379"")"),0)</f>
        <v>0</v>
      </c>
      <c r="J484" s="190">
        <f ca="1">IFERROR(__xludf.DUMMYFUNCTION("IMPORTRANGE(""https://docs.google.com/spreadsheets/d/11923uPwbBZFjjGgGUA6NLw09EwE0CqkOc4q9oUmW1yo/edit?usp=sharing"",""เพชรบูรณ์!J379"")"),0)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IFERROR(__xludf.DUMMYFUNCTION("IMPORTRANGE(""https://docs.google.com/spreadsheets/d/11923uPwbBZFjjGgGUA6NLw09EwE0CqkOc4q9oUmW1yo/edit?usp=sharing"",""เพชรบูรณ์!I380"")"),0)</f>
        <v>0</v>
      </c>
      <c r="J485" s="190">
        <f ca="1">IFERROR(__xludf.DUMMYFUNCTION("IMPORTRANGE(""https://docs.google.com/spreadsheets/d/11923uPwbBZFjjGgGUA6NLw09EwE0CqkOc4q9oUmW1yo/edit?usp=sharing"",""เพชรบูรณ์!J380"")"),0)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IFERROR(__xludf.DUMMYFUNCTION("IMPORTRANGE(""https://docs.google.com/spreadsheets/d/11923uPwbBZFjjGgGUA6NLw09EwE0CqkOc4q9oUmW1yo/edit?usp=sharing"",""เพชรบูรณ์!I381"")"),0)</f>
        <v>0</v>
      </c>
      <c r="J486" s="190">
        <f ca="1">IFERROR(__xludf.DUMMYFUNCTION("IMPORTRANGE(""https://docs.google.com/spreadsheets/d/11923uPwbBZFjjGgGUA6NLw09EwE0CqkOc4q9oUmW1yo/edit?usp=sharing"",""เพชรบูรณ์!J381"")"),0)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IFERROR(__xludf.DUMMYFUNCTION("IMPORTRANGE(""https://docs.google.com/spreadsheets/d/11923uPwbBZFjjGgGUA6NLw09EwE0CqkOc4q9oUmW1yo/edit?usp=sharing"",""เพชรบูรณ์!I382"")"),0)</f>
        <v>0</v>
      </c>
      <c r="J487" s="422">
        <f ca="1">IFERROR(__xludf.DUMMYFUNCTION("IMPORTRANGE(""https://docs.google.com/spreadsheets/d/11923uPwbBZFjjGgGUA6NLw09EwE0CqkOc4q9oUmW1yo/edit?usp=sharing"",""เพชรบูรณ์!J382"")"),0)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IFERROR(__xludf.DUMMYFUNCTION("IMPORTRANGE(""https://docs.google.com/spreadsheets/d/11923uPwbBZFjjGgGUA6NLw09EwE0CqkOc4q9oUmW1yo/edit?usp=sharing"",""เพชรบูรณ์!I383"")"),0)</f>
        <v>0</v>
      </c>
      <c r="J488" s="422">
        <f ca="1">IFERROR(__xludf.DUMMYFUNCTION("IMPORTRANGE(""https://docs.google.com/spreadsheets/d/11923uPwbBZFjjGgGUA6NLw09EwE0CqkOc4q9oUmW1yo/edit?usp=sharing"",""เพชรบูรณ์!J383"")"),0)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IFERROR(__xludf.DUMMYFUNCTION("IMPORTRANGE(""https://docs.google.com/spreadsheets/d/11923uPwbBZFjjGgGUA6NLw09EwE0CqkOc4q9oUmW1yo/edit?usp=sharing"",""เพชรบูรณ์!I384"")"),0)</f>
        <v>0</v>
      </c>
      <c r="J489" s="190">
        <f ca="1">IFERROR(__xludf.DUMMYFUNCTION("IMPORTRANGE(""https://docs.google.com/spreadsheets/d/11923uPwbBZFjjGgGUA6NLw09EwE0CqkOc4q9oUmW1yo/edit?usp=sharing"",""เพชรบูรณ์!J384"")"),0)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IFERROR(__xludf.DUMMYFUNCTION("IMPORTRANGE(""https://docs.google.com/spreadsheets/d/11923uPwbBZFjjGgGUA6NLw09EwE0CqkOc4q9oUmW1yo/edit?usp=sharing"",""เพชรบูรณ์!I385"")"),0)</f>
        <v>0</v>
      </c>
      <c r="J490" s="190">
        <f ca="1">IFERROR(__xludf.DUMMYFUNCTION("IMPORTRANGE(""https://docs.google.com/spreadsheets/d/11923uPwbBZFjjGgGUA6NLw09EwE0CqkOc4q9oUmW1yo/edit?usp=sharing"",""เพชรบูรณ์!J385"")"),0)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IFERROR(__xludf.DUMMYFUNCTION("IMPORTRANGE(""https://docs.google.com/spreadsheets/d/11923uPwbBZFjjGgGUA6NLw09EwE0CqkOc4q9oUmW1yo/edit?usp=sharing"",""เพชรบูรณ์!I386"")"),0)</f>
        <v>0</v>
      </c>
      <c r="J491" s="190">
        <f ca="1">IFERROR(__xludf.DUMMYFUNCTION("IMPORTRANGE(""https://docs.google.com/spreadsheets/d/11923uPwbBZFjjGgGUA6NLw09EwE0CqkOc4q9oUmW1yo/edit?usp=sharing"",""เพชรบูรณ์!J386"")"),0)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IFERROR(__xludf.DUMMYFUNCTION("IMPORTRANGE(""https://docs.google.com/spreadsheets/d/11923uPwbBZFjjGgGUA6NLw09EwE0CqkOc4q9oUmW1yo/edit?usp=sharing"",""เพชรบูรณ์!I387"")"),0)</f>
        <v>0</v>
      </c>
      <c r="J492" s="190">
        <f ca="1">IFERROR(__xludf.DUMMYFUNCTION("IMPORTRANGE(""https://docs.google.com/spreadsheets/d/11923uPwbBZFjjGgGUA6NLw09EwE0CqkOc4q9oUmW1yo/edit?usp=sharing"",""เพชรบูรณ์!J387"")"),0)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IFERROR(__xludf.DUMMYFUNCTION("IMPORTRANGE(""https://docs.google.com/spreadsheets/d/11923uPwbBZFjjGgGUA6NLw09EwE0CqkOc4q9oUmW1yo/edit?usp=sharing"",""เพชรบูรณ์!I388"")"),0)</f>
        <v>0</v>
      </c>
      <c r="J493" s="190">
        <f ca="1">IFERROR(__xludf.DUMMYFUNCTION("IMPORTRANGE(""https://docs.google.com/spreadsheets/d/11923uPwbBZFjjGgGUA6NLw09EwE0CqkOc4q9oUmW1yo/edit?usp=sharing"",""เพชรบูรณ์!J388"")"),0)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IFERROR(__xludf.DUMMYFUNCTION("IMPORTRANGE(""https://docs.google.com/spreadsheets/d/11923uPwbBZFjjGgGUA6NLw09EwE0CqkOc4q9oUmW1yo/edit?usp=sharing"",""เพชรบูรณ์!I389"")"),0)</f>
        <v>0</v>
      </c>
      <c r="J494" s="438">
        <f ca="1">IFERROR(__xludf.DUMMYFUNCTION("IMPORTRANGE(""https://docs.google.com/spreadsheets/d/11923uPwbBZFjjGgGUA6NLw09EwE0CqkOc4q9oUmW1yo/edit?usp=sharing"",""เพชรบูรณ์!J389"")"),0)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IFERROR(__xludf.DUMMYFUNCTION("IMPORTRANGE(""https://docs.google.com/spreadsheets/d/11923uPwbBZFjjGgGUA6NLw09EwE0CqkOc4q9oUmW1yo/edit?usp=sharing"",""เพชรบูรณ์!I390"")"),0)</f>
        <v>0</v>
      </c>
      <c r="J495" s="438">
        <f ca="1">IFERROR(__xludf.DUMMYFUNCTION("IMPORTRANGE(""https://docs.google.com/spreadsheets/d/11923uPwbBZFjjGgGUA6NLw09EwE0CqkOc4q9oUmW1yo/edit?usp=sharing"",""เพชรบูรณ์!J390"")"),0)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IFERROR(__xludf.DUMMYFUNCTION("IMPORTRANGE(""https://docs.google.com/spreadsheets/d/11923uPwbBZFjjGgGUA6NLw09EwE0CqkOc4q9oUmW1yo/edit?usp=sharing"",""เพชรบูรณ์!I391"")"),0)</f>
        <v>0</v>
      </c>
      <c r="J496" s="438">
        <f ca="1">IFERROR(__xludf.DUMMYFUNCTION("IMPORTRANGE(""https://docs.google.com/spreadsheets/d/11923uPwbBZFjjGgGUA6NLw09EwE0CqkOc4q9oUmW1yo/edit?usp=sharing"",""เพชรบูรณ์!J391"")"),0)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IFERROR(__xludf.DUMMYFUNCTION("IMPORTRANGE(""https://docs.google.com/spreadsheets/d/11923uPwbBZFjjGgGUA6NLw09EwE0CqkOc4q9oUmW1yo/edit?usp=sharing"",""เพชรบูรณ์!I392"")"),3349)</f>
        <v>3349</v>
      </c>
      <c r="J497" s="445">
        <f ca="1">IFERROR(__xludf.DUMMYFUNCTION("IMPORTRANGE(""https://docs.google.com/spreadsheets/d/11923uPwbBZFjjGgGUA6NLw09EwE0CqkOc4q9oUmW1yo/edit?usp=sharing"",""เพชรบูรณ์!J392"")"),1140)</f>
        <v>1140</v>
      </c>
      <c r="K497" s="446">
        <f t="shared" ca="1" si="117"/>
        <v>34.040011943863838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IFERROR(__xludf.DUMMYFUNCTION("IMPORTRANGE(""https://docs.google.com/spreadsheets/d/11923uPwbBZFjjGgGUA6NLw09EwE0CqkOc4q9oUmW1yo/edit?usp=sharing"",""เพชรบูรณ์!I393"")"),3349)</f>
        <v>3349</v>
      </c>
      <c r="J498" s="422">
        <f ca="1">IFERROR(__xludf.DUMMYFUNCTION("IMPORTRANGE(""https://docs.google.com/spreadsheets/d/11923uPwbBZFjjGgGUA6NLw09EwE0CqkOc4q9oUmW1yo/edit?usp=sharing"",""เพชรบูรณ์!J393"")"),1140)</f>
        <v>1140</v>
      </c>
      <c r="K498" s="203">
        <f t="shared" ca="1" si="117"/>
        <v>34.040011943863838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IFERROR(__xludf.DUMMYFUNCTION("IMPORTRANGE(""https://docs.google.com/spreadsheets/d/11923uPwbBZFjjGgGUA6NLw09EwE0CqkOc4q9oUmW1yo/edit?usp=sharing"",""เพชรบูรณ์!I394"")"),281)</f>
        <v>281</v>
      </c>
      <c r="J499" s="422">
        <f ca="1">IFERROR(__xludf.DUMMYFUNCTION("IMPORTRANGE(""https://docs.google.com/spreadsheets/d/11923uPwbBZFjjGgGUA6NLw09EwE0CqkOc4q9oUmW1yo/edit?usp=sharing"",""เพชรบูรณ์!J394"")"),92)</f>
        <v>92</v>
      </c>
      <c r="K499" s="203">
        <f t="shared" ca="1" si="117"/>
        <v>32.740213523131672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IFERROR(__xludf.DUMMYFUNCTION("IMPORTRANGE(""https://docs.google.com/spreadsheets/d/11923uPwbBZFjjGgGUA6NLw09EwE0CqkOc4q9oUmW1yo/edit?usp=sharing"",""เพชรบูรณ์!I395"")"),0)</f>
        <v>0</v>
      </c>
      <c r="J500" s="164">
        <f ca="1">IFERROR(__xludf.DUMMYFUNCTION("IMPORTRANGE(""https://docs.google.com/spreadsheets/d/11923uPwbBZFjjGgGUA6NLw09EwE0CqkOc4q9oUmW1yo/edit?usp=sharing"",""เพชรบูรณ์!J395"")"),1106)</f>
        <v>1106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IFERROR(__xludf.DUMMYFUNCTION("IMPORTRANGE(""https://docs.google.com/spreadsheets/d/11923uPwbBZFjjGgGUA6NLw09EwE0CqkOc4q9oUmW1yo/edit?usp=sharing"",""เพชรบูรณ์!I396"")"),0)</f>
        <v>0</v>
      </c>
      <c r="J501" s="164">
        <f ca="1">IFERROR(__xludf.DUMMYFUNCTION("IMPORTRANGE(""https://docs.google.com/spreadsheets/d/11923uPwbBZFjjGgGUA6NLw09EwE0CqkOc4q9oUmW1yo/edit?usp=sharing"",""เพชรบูรณ์!J396"")"),87)</f>
        <v>87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IFERROR(__xludf.DUMMYFUNCTION("IMPORTRANGE(""https://docs.google.com/spreadsheets/d/11923uPwbBZFjjGgGUA6NLw09EwE0CqkOc4q9oUmW1yo/edit?usp=sharing"",""เพชรบูรณ์!I397"")"),0)</f>
        <v>0</v>
      </c>
      <c r="J502" s="190">
        <f ca="1">IFERROR(__xludf.DUMMYFUNCTION("IMPORTRANGE(""https://docs.google.com/spreadsheets/d/11923uPwbBZFjjGgGUA6NLw09EwE0CqkOc4q9oUmW1yo/edit?usp=sharing"",""เพชรบูรณ์!J397"")"),1025)</f>
        <v>1025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IFERROR(__xludf.DUMMYFUNCTION("IMPORTRANGE(""https://docs.google.com/spreadsheets/d/11923uPwbBZFjjGgGUA6NLw09EwE0CqkOc4q9oUmW1yo/edit?usp=sharing"",""เพชรบูรณ์!I398"")"),0)</f>
        <v>0</v>
      </c>
      <c r="J503" s="199">
        <f ca="1">IFERROR(__xludf.DUMMYFUNCTION("IMPORTRANGE(""https://docs.google.com/spreadsheets/d/11923uPwbBZFjjGgGUA6NLw09EwE0CqkOc4q9oUmW1yo/edit?usp=sharing"",""เพชรบูรณ์!J398"")"),80)</f>
        <v>80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IFERROR(__xludf.DUMMYFUNCTION("IMPORTRANGE(""https://docs.google.com/spreadsheets/d/11923uPwbBZFjjGgGUA6NLw09EwE0CqkOc4q9oUmW1yo/edit?usp=sharing"",""เพชรบูรณ์!I399"")"),0)</f>
        <v>0</v>
      </c>
      <c r="J504" s="190">
        <f ca="1">IFERROR(__xludf.DUMMYFUNCTION("IMPORTRANGE(""https://docs.google.com/spreadsheets/d/11923uPwbBZFjjGgGUA6NLw09EwE0CqkOc4q9oUmW1yo/edit?usp=sharing"",""เพชรบูรณ์!J399"")"),81)</f>
        <v>81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IFERROR(__xludf.DUMMYFUNCTION("IMPORTRANGE(""https://docs.google.com/spreadsheets/d/11923uPwbBZFjjGgGUA6NLw09EwE0CqkOc4q9oUmW1yo/edit?usp=sharing"",""เพชรบูรณ์!I400"")"),0)</f>
        <v>0</v>
      </c>
      <c r="J505" s="199">
        <f ca="1">IFERROR(__xludf.DUMMYFUNCTION("IMPORTRANGE(""https://docs.google.com/spreadsheets/d/11923uPwbBZFjjGgGUA6NLw09EwE0CqkOc4q9oUmW1yo/edit?usp=sharing"",""เพชรบูรณ์!J400"")"),7)</f>
        <v>7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IFERROR(__xludf.DUMMYFUNCTION("IMPORTRANGE(""https://docs.google.com/spreadsheets/d/11923uPwbBZFjjGgGUA6NLw09EwE0CqkOc4q9oUmW1yo/edit?usp=sharing"",""เพชรบูรณ์!I401"")"),0)</f>
        <v>0</v>
      </c>
      <c r="J506" s="190">
        <f ca="1">IFERROR(__xludf.DUMMYFUNCTION("IMPORTRANGE(""https://docs.google.com/spreadsheets/d/11923uPwbBZFjjGgGUA6NLw09EwE0CqkOc4q9oUmW1yo/edit?usp=sharing"",""เพชรบูรณ์!J401"")"),0)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IFERROR(__xludf.DUMMYFUNCTION("IMPORTRANGE(""https://docs.google.com/spreadsheets/d/11923uPwbBZFjjGgGUA6NLw09EwE0CqkOc4q9oUmW1yo/edit?usp=sharing"",""เพชรบูรณ์!I402"")"),0)</f>
        <v>0</v>
      </c>
      <c r="J507" s="199">
        <f ca="1">IFERROR(__xludf.DUMMYFUNCTION("IMPORTRANGE(""https://docs.google.com/spreadsheets/d/11923uPwbBZFjjGgGUA6NLw09EwE0CqkOc4q9oUmW1yo/edit?usp=sharing"",""เพชรบูรณ์!J402"")"),0)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IFERROR(__xludf.DUMMYFUNCTION("IMPORTRANGE(""https://docs.google.com/spreadsheets/d/11923uPwbBZFjjGgGUA6NLw09EwE0CqkOc4q9oUmW1yo/edit?usp=sharing"",""เพชรบูรณ์!I403"")"),0)</f>
        <v>0</v>
      </c>
      <c r="J508" s="164">
        <f ca="1">IFERROR(__xludf.DUMMYFUNCTION("IMPORTRANGE(""https://docs.google.com/spreadsheets/d/11923uPwbBZFjjGgGUA6NLw09EwE0CqkOc4q9oUmW1yo/edit?usp=sharing"",""เพชรบูรณ์!J403"")"),20)</f>
        <v>20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IFERROR(__xludf.DUMMYFUNCTION("IMPORTRANGE(""https://docs.google.com/spreadsheets/d/11923uPwbBZFjjGgGUA6NLw09EwE0CqkOc4q9oUmW1yo/edit?usp=sharing"",""เพชรบูรณ์!I404"")"),0)</f>
        <v>0</v>
      </c>
      <c r="J509" s="164">
        <f ca="1">IFERROR(__xludf.DUMMYFUNCTION("IMPORTRANGE(""https://docs.google.com/spreadsheets/d/11923uPwbBZFjjGgGUA6NLw09EwE0CqkOc4q9oUmW1yo/edit?usp=sharing"",""เพชรบูรณ์!J404"")"),4)</f>
        <v>4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IFERROR(__xludf.DUMMYFUNCTION("IMPORTRANGE(""https://docs.google.com/spreadsheets/d/11923uPwbBZFjjGgGUA6NLw09EwE0CqkOc4q9oUmW1yo/edit?usp=sharing"",""เพชรบูรณ์!I405"")"),0)</f>
        <v>0</v>
      </c>
      <c r="J510" s="199">
        <f ca="1">IFERROR(__xludf.DUMMYFUNCTION("IMPORTRANGE(""https://docs.google.com/spreadsheets/d/11923uPwbBZFjjGgGUA6NLw09EwE0CqkOc4q9oUmW1yo/edit?usp=sharing"",""เพชรบูรณ์!J405"")"),20)</f>
        <v>20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IFERROR(__xludf.DUMMYFUNCTION("IMPORTRANGE(""https://docs.google.com/spreadsheets/d/11923uPwbBZFjjGgGUA6NLw09EwE0CqkOc4q9oUmW1yo/edit?usp=sharing"",""เพชรบูรณ์!I406"")"),0)</f>
        <v>0</v>
      </c>
      <c r="J511" s="199">
        <f ca="1">IFERROR(__xludf.DUMMYFUNCTION("IMPORTRANGE(""https://docs.google.com/spreadsheets/d/11923uPwbBZFjjGgGUA6NLw09EwE0CqkOc4q9oUmW1yo/edit?usp=sharing"",""เพชรบูรณ์!J406"")"),4)</f>
        <v>4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IFERROR(__xludf.DUMMYFUNCTION("IMPORTRANGE(""https://docs.google.com/spreadsheets/d/11923uPwbBZFjjGgGUA6NLw09EwE0CqkOc4q9oUmW1yo/edit?usp=sharing"",""เพชรบูรณ์!I407"")"),0)</f>
        <v>0</v>
      </c>
      <c r="J512" s="199">
        <f ca="1">IFERROR(__xludf.DUMMYFUNCTION("IMPORTRANGE(""https://docs.google.com/spreadsheets/d/11923uPwbBZFjjGgGUA6NLw09EwE0CqkOc4q9oUmW1yo/edit?usp=sharing"",""เพชรบูรณ์!J407"")"),0)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IFERROR(__xludf.DUMMYFUNCTION("IMPORTRANGE(""https://docs.google.com/spreadsheets/d/11923uPwbBZFjjGgGUA6NLw09EwE0CqkOc4q9oUmW1yo/edit?usp=sharing"",""เพชรบูรณ์!I408"")"),0)</f>
        <v>0</v>
      </c>
      <c r="J513" s="199">
        <f ca="1">IFERROR(__xludf.DUMMYFUNCTION("IMPORTRANGE(""https://docs.google.com/spreadsheets/d/11923uPwbBZFjjGgGUA6NLw09EwE0CqkOc4q9oUmW1yo/edit?usp=sharing"",""เพชรบูรณ์!J408"")"),0)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IFERROR(__xludf.DUMMYFUNCTION("IMPORTRANGE(""https://docs.google.com/spreadsheets/d/11923uPwbBZFjjGgGUA6NLw09EwE0CqkOc4q9oUmW1yo/edit?usp=sharing"",""เพชรบูรณ์!I409"")"),0)</f>
        <v>0</v>
      </c>
      <c r="J514" s="199">
        <f ca="1">IFERROR(__xludf.DUMMYFUNCTION("IMPORTRANGE(""https://docs.google.com/spreadsheets/d/11923uPwbBZFjjGgGUA6NLw09EwE0CqkOc4q9oUmW1yo/edit?usp=sharing"",""เพชรบูรณ์!J409"")"),14)</f>
        <v>14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IFERROR(__xludf.DUMMYFUNCTION("IMPORTRANGE(""https://docs.google.com/spreadsheets/d/11923uPwbBZFjjGgGUA6NLw09EwE0CqkOc4q9oUmW1yo/edit?usp=sharing"",""เพชรบูรณ์!I410"")"),0)</f>
        <v>0</v>
      </c>
      <c r="J515" s="199">
        <f ca="1">IFERROR(__xludf.DUMMYFUNCTION("IMPORTRANGE(""https://docs.google.com/spreadsheets/d/11923uPwbBZFjjGgGUA6NLw09EwE0CqkOc4q9oUmW1yo/edit?usp=sharing"",""เพชรบูรณ์!J410"")"),1)</f>
        <v>1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IFERROR(__xludf.DUMMYFUNCTION("IMPORTRANGE(""https://docs.google.com/spreadsheets/d/11923uPwbBZFjjGgGUA6NLw09EwE0CqkOc4q9oUmW1yo/edit?usp=sharing"",""เพชรบูรณ์!I411"")"),0)</f>
        <v>0</v>
      </c>
      <c r="J516" s="268">
        <f ca="1">IFERROR(__xludf.DUMMYFUNCTION("IMPORTRANGE(""https://docs.google.com/spreadsheets/d/11923uPwbBZFjjGgGUA6NLw09EwE0CqkOc4q9oUmW1yo/edit?usp=sharing"",""เพชรบูรณ์!J411"")"),0)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IFERROR(__xludf.DUMMYFUNCTION("IMPORTRANGE(""https://docs.google.com/spreadsheets/d/11923uPwbBZFjjGgGUA6NLw09EwE0CqkOc4q9oUmW1yo/edit?usp=sharing"",""เพชรบูรณ์!I412"")"),0)</f>
        <v>0</v>
      </c>
      <c r="J517" s="285">
        <f ca="1">IFERROR(__xludf.DUMMYFUNCTION("IMPORTRANGE(""https://docs.google.com/spreadsheets/d/11923uPwbBZFjjGgGUA6NLw09EwE0CqkOc4q9oUmW1yo/edit?usp=sharing"",""เพชรบูรณ์!J412"")"),0)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IFERROR(__xludf.DUMMYFUNCTION("IMPORTRANGE(""https://docs.google.com/spreadsheets/d/11923uPwbBZFjjGgGUA6NLw09EwE0CqkOc4q9oUmW1yo/edit?usp=sharing"",""เพชรบูรณ์!I413"")"),0)</f>
        <v>0</v>
      </c>
      <c r="J518" s="285">
        <f ca="1">IFERROR(__xludf.DUMMYFUNCTION("IMPORTRANGE(""https://docs.google.com/spreadsheets/d/11923uPwbBZFjjGgGUA6NLw09EwE0CqkOc4q9oUmW1yo/edit?usp=sharing"",""เพชรบูรณ์!J413"")"),0)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IFERROR(__xludf.DUMMYFUNCTION("IMPORTRANGE(""https://docs.google.com/spreadsheets/d/11923uPwbBZFjjGgGUA6NLw09EwE0CqkOc4q9oUmW1yo/edit?usp=sharing"",""เพชรบูรณ์!I414"")"),0)</f>
        <v>0</v>
      </c>
      <c r="J519" s="189">
        <f ca="1">IFERROR(__xludf.DUMMYFUNCTION("IMPORTRANGE(""https://docs.google.com/spreadsheets/d/11923uPwbBZFjjGgGUA6NLw09EwE0CqkOc4q9oUmW1yo/edit?usp=sharing"",""เพชรบูรณ์!J414"")"),0)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IFERROR(__xludf.DUMMYFUNCTION("IMPORTRANGE(""https://docs.google.com/spreadsheets/d/11923uPwbBZFjjGgGUA6NLw09EwE0CqkOc4q9oUmW1yo/edit?usp=sharing"",""เพชรบูรณ์!I415"")"),0)</f>
        <v>0</v>
      </c>
      <c r="J520" s="189">
        <f ca="1">IFERROR(__xludf.DUMMYFUNCTION("IMPORTRANGE(""https://docs.google.com/spreadsheets/d/11923uPwbBZFjjGgGUA6NLw09EwE0CqkOc4q9oUmW1yo/edit?usp=sharing"",""เพชรบูรณ์!J415"")"),0)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IFERROR(__xludf.DUMMYFUNCTION("IMPORTRANGE(""https://docs.google.com/spreadsheets/d/11923uPwbBZFjjGgGUA6NLw09EwE0CqkOc4q9oUmW1yo/edit?usp=sharing"",""เพชรบูรณ์!I416"")"),0)</f>
        <v>0</v>
      </c>
      <c r="J521" s="189">
        <f ca="1">IFERROR(__xludf.DUMMYFUNCTION("IMPORTRANGE(""https://docs.google.com/spreadsheets/d/11923uPwbBZFjjGgGUA6NLw09EwE0CqkOc4q9oUmW1yo/edit?usp=sharing"",""เพชรบูรณ์!J416"")"),0)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IFERROR(__xludf.DUMMYFUNCTION("IMPORTRANGE(""https://docs.google.com/spreadsheets/d/11923uPwbBZFjjGgGUA6NLw09EwE0CqkOc4q9oUmW1yo/edit?usp=sharing"",""เพชรบูรณ์!I417"")"),0)</f>
        <v>0</v>
      </c>
      <c r="J522" s="189">
        <f ca="1">IFERROR(__xludf.DUMMYFUNCTION("IMPORTRANGE(""https://docs.google.com/spreadsheets/d/11923uPwbBZFjjGgGUA6NLw09EwE0CqkOc4q9oUmW1yo/edit?usp=sharing"",""เพชรบูรณ์!J417"")"),0)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IFERROR(__xludf.DUMMYFUNCTION("IMPORTRANGE(""https://docs.google.com/spreadsheets/d/11923uPwbBZFjjGgGUA6NLw09EwE0CqkOc4q9oUmW1yo/edit?usp=sharing"",""เพชรบูรณ์!I418"")"),0)</f>
        <v>0</v>
      </c>
      <c r="J523" s="189">
        <f ca="1">IFERROR(__xludf.DUMMYFUNCTION("IMPORTRANGE(""https://docs.google.com/spreadsheets/d/11923uPwbBZFjjGgGUA6NLw09EwE0CqkOc4q9oUmW1yo/edit?usp=sharing"",""เพชรบูรณ์!J418"")"),1090)</f>
        <v>1090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IFERROR(__xludf.DUMMYFUNCTION("IMPORTRANGE(""https://docs.google.com/spreadsheets/d/11923uPwbBZFjjGgGUA6NLw09EwE0CqkOc4q9oUmW1yo/edit?usp=sharing"",""เพชรบูรณ์!I419"")"),0)</f>
        <v>0</v>
      </c>
      <c r="J524" s="189">
        <f ca="1">IFERROR(__xludf.DUMMYFUNCTION("IMPORTRANGE(""https://docs.google.com/spreadsheets/d/11923uPwbBZFjjGgGUA6NLw09EwE0CqkOc4q9oUmW1yo/edit?usp=sharing"",""เพชรบูรณ์!J419"")"),42)</f>
        <v>42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IFERROR(__xludf.DUMMYFUNCTION("IMPORTRANGE(""https://docs.google.com/spreadsheets/d/11923uPwbBZFjjGgGUA6NLw09EwE0CqkOc4q9oUmW1yo/edit?usp=sharing"",""เพชรบูรณ์!I420"")"),1090)</f>
        <v>1090</v>
      </c>
      <c r="J525" s="285">
        <f ca="1">IFERROR(__xludf.DUMMYFUNCTION("IMPORTRANGE(""https://docs.google.com/spreadsheets/d/11923uPwbBZFjjGgGUA6NLw09EwE0CqkOc4q9oUmW1yo/edit?usp=sharing"",""เพชรบูรณ์!J420"")"),0)</f>
        <v>0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IFERROR(__xludf.DUMMYFUNCTION("IMPORTRANGE(""https://docs.google.com/spreadsheets/d/11923uPwbBZFjjGgGUA6NLw09EwE0CqkOc4q9oUmW1yo/edit?usp=sharing"",""เพชรบูรณ์!I421"")"),42)</f>
        <v>42</v>
      </c>
      <c r="J526" s="285">
        <f ca="1">IFERROR(__xludf.DUMMYFUNCTION("IMPORTRANGE(""https://docs.google.com/spreadsheets/d/11923uPwbBZFjjGgGUA6NLw09EwE0CqkOc4q9oUmW1yo/edit?usp=sharing"",""เพชรบูรณ์!J421"")"),0)</f>
        <v>0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IFERROR(__xludf.DUMMYFUNCTION("IMPORTRANGE(""https://docs.google.com/spreadsheets/d/11923uPwbBZFjjGgGUA6NLw09EwE0CqkOc4q9oUmW1yo/edit?usp=sharing"",""เพชรบูรณ์!I422"")"),0)</f>
        <v>0</v>
      </c>
      <c r="J527" s="199">
        <f ca="1">IFERROR(__xludf.DUMMYFUNCTION("IMPORTRANGE(""https://docs.google.com/spreadsheets/d/11923uPwbBZFjjGgGUA6NLw09EwE0CqkOc4q9oUmW1yo/edit?usp=sharing"",""เพชรบูรณ์!J422"")"),0)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IFERROR(__xludf.DUMMYFUNCTION("IMPORTRANGE(""https://docs.google.com/spreadsheets/d/11923uPwbBZFjjGgGUA6NLw09EwE0CqkOc4q9oUmW1yo/edit?usp=sharing"",""เพชรบูรณ์!I423"")"),0)</f>
        <v>0</v>
      </c>
      <c r="J528" s="199">
        <f ca="1">IFERROR(__xludf.DUMMYFUNCTION("IMPORTRANGE(""https://docs.google.com/spreadsheets/d/11923uPwbBZFjjGgGUA6NLw09EwE0CqkOc4q9oUmW1yo/edit?usp=sharing"",""เพชรบูรณ์!J423"")"),0)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IFERROR(__xludf.DUMMYFUNCTION("IMPORTRANGE(""https://docs.google.com/spreadsheets/d/11923uPwbBZFjjGgGUA6NLw09EwE0CqkOc4q9oUmW1yo/edit?usp=sharing"",""เพชรบูรณ์!I424"")"),0)</f>
        <v>0</v>
      </c>
      <c r="J529" s="199">
        <f ca="1">IFERROR(__xludf.DUMMYFUNCTION("IMPORTRANGE(""https://docs.google.com/spreadsheets/d/11923uPwbBZFjjGgGUA6NLw09EwE0CqkOc4q9oUmW1yo/edit?usp=sharing"",""เพชรบูรณ์!J424"")"),0)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IFERROR(__xludf.DUMMYFUNCTION("IMPORTRANGE(""https://docs.google.com/spreadsheets/d/11923uPwbBZFjjGgGUA6NLw09EwE0CqkOc4q9oUmW1yo/edit?usp=sharing"",""เพชรบูรณ์!I425"")"),0)</f>
        <v>0</v>
      </c>
      <c r="J530" s="199">
        <f ca="1">IFERROR(__xludf.DUMMYFUNCTION("IMPORTRANGE(""https://docs.google.com/spreadsheets/d/11923uPwbBZFjjGgGUA6NLw09EwE0CqkOc4q9oUmW1yo/edit?usp=sharing"",""เพชรบูรณ์!J425"")"),0)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IFERROR(__xludf.DUMMYFUNCTION("IMPORTRANGE(""https://docs.google.com/spreadsheets/d/11923uPwbBZFjjGgGUA6NLw09EwE0CqkOc4q9oUmW1yo/edit?usp=sharing"",""เพชรบูรณ์!I426"")"),0)</f>
        <v>0</v>
      </c>
      <c r="J531" s="199">
        <f ca="1">IFERROR(__xludf.DUMMYFUNCTION("IMPORTRANGE(""https://docs.google.com/spreadsheets/d/11923uPwbBZFjjGgGUA6NLw09EwE0CqkOc4q9oUmW1yo/edit?usp=sharing"",""เพชรบูรณ์!J426"")"),0)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IFERROR(__xludf.DUMMYFUNCTION("IMPORTRANGE(""https://docs.google.com/spreadsheets/d/11923uPwbBZFjjGgGUA6NLw09EwE0CqkOc4q9oUmW1yo/edit?usp=sharing"",""เพชรบูรณ์!I427"")"),0)</f>
        <v>0</v>
      </c>
      <c r="J532" s="468">
        <f ca="1">IFERROR(__xludf.DUMMYFUNCTION("IMPORTRANGE(""https://docs.google.com/spreadsheets/d/11923uPwbBZFjjGgGUA6NLw09EwE0CqkOc4q9oUmW1yo/edit?usp=sharing"",""เพชรบูรณ์!J427"")"),0)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IFERROR(__xludf.DUMMYFUNCTION("IMPORTRANGE(""https://docs.google.com/spreadsheets/d/11923uPwbBZFjjGgGUA6NLw09EwE0CqkOc4q9oUmW1yo/edit?usp=sharing"",""เพชรบูรณ์!I428"")"),22)</f>
        <v>22</v>
      </c>
      <c r="J533" s="411">
        <f ca="1">IFERROR(__xludf.DUMMYFUNCTION("IMPORTRANGE(""https://docs.google.com/spreadsheets/d/11923uPwbBZFjjGgGUA6NLw09EwE0CqkOc4q9oUmW1yo/edit?usp=sharing"",""เพชรบูรณ์!J428"")"),22)</f>
        <v>22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IFERROR(__xludf.DUMMYFUNCTION("IMPORTRANGE(""https://docs.google.com/spreadsheets/d/11923uPwbBZFjjGgGUA6NLw09EwE0CqkOc4q9oUmW1yo/edit?usp=sharing"",""เพชรบูรณ์!L428"")"),34340)</f>
        <v>34340</v>
      </c>
      <c r="M533" s="413"/>
      <c r="N533" s="413">
        <f ca="1">IFERROR(__xludf.DUMMYFUNCTION("IMPORTRANGE(""https://docs.google.com/spreadsheets/d/11923uPwbBZFjjGgGUA6NLw09EwE0CqkOc4q9oUmW1yo/edit?usp=sharing"",""เพชรบูรณ์!M428"")"),17161)</f>
        <v>17161</v>
      </c>
      <c r="O533" s="413">
        <f t="shared" ref="O533:O537" ca="1" si="118">+IF(L533&gt;0,N533*100/L533,0)</f>
        <v>49.973791496796736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IFERROR(__xludf.DUMMYFUNCTION("IMPORTRANGE(""https://docs.google.com/spreadsheets/d/11923uPwbBZFjjGgGUA6NLw09EwE0CqkOc4q9oUmW1yo/edit?usp=sharing"",""เพชรบูรณ์!L429"")"),0)</f>
        <v>0</v>
      </c>
      <c r="M534" s="166"/>
      <c r="N534" s="170">
        <f ca="1">IFERROR(__xludf.DUMMYFUNCTION("IMPORTRANGE(""https://docs.google.com/spreadsheets/d/11923uPwbBZFjjGgGUA6NLw09EwE0CqkOc4q9oUmW1yo/edit?usp=sharing"",""เพชรบูรณ์!M429"")"),0)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IFERROR(__xludf.DUMMYFUNCTION("IMPORTRANGE(""https://docs.google.com/spreadsheets/d/11923uPwbBZFjjGgGUA6NLw09EwE0CqkOc4q9oUmW1yo/edit?usp=sharing"",""เพชรบูรณ์!L430"")"),34340)</f>
        <v>34340</v>
      </c>
      <c r="M535" s="167"/>
      <c r="N535" s="170">
        <f ca="1">IFERROR(__xludf.DUMMYFUNCTION("IMPORTRANGE(""https://docs.google.com/spreadsheets/d/11923uPwbBZFjjGgGUA6NLw09EwE0CqkOc4q9oUmW1yo/edit?usp=sharing"",""เพชรบูรณ์!M430"")"),17161)</f>
        <v>17161</v>
      </c>
      <c r="O535" s="170">
        <f t="shared" ca="1" si="118"/>
        <v>49.973791496796736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IFERROR(__xludf.DUMMYFUNCTION("IMPORTRANGE(""https://docs.google.com/spreadsheets/d/11923uPwbBZFjjGgGUA6NLw09EwE0CqkOc4q9oUmW1yo/edit?usp=sharing"",""เพชรบูรณ์!L431"")"),0)</f>
        <v>0</v>
      </c>
      <c r="M536" s="170"/>
      <c r="N536" s="170">
        <f ca="1">IFERROR(__xludf.DUMMYFUNCTION("IMPORTRANGE(""https://docs.google.com/spreadsheets/d/11923uPwbBZFjjGgGUA6NLw09EwE0CqkOc4q9oUmW1yo/edit?usp=sharing"",""เพชรบูรณ์!M431"")"),0)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IFERROR(__xludf.DUMMYFUNCTION("IMPORTRANGE(""https://docs.google.com/spreadsheets/d/11923uPwbBZFjjGgGUA6NLw09EwE0CqkOc4q9oUmW1yo/edit?usp=sharing"",""เพชรบูรณ์!L432"")"),34340)</f>
        <v>34340</v>
      </c>
      <c r="M537" s="170"/>
      <c r="N537" s="170">
        <f ca="1">IFERROR(__xludf.DUMMYFUNCTION("IMPORTRANGE(""https://docs.google.com/spreadsheets/d/11923uPwbBZFjjGgGUA6NLw09EwE0CqkOc4q9oUmW1yo/edit?usp=sharing"",""เพชรบูรณ์!M432"")"),17161)</f>
        <v>17161</v>
      </c>
      <c r="O537" s="170">
        <f t="shared" ca="1" si="118"/>
        <v>49.973791496796736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IFERROR(__xludf.DUMMYFUNCTION("IMPORTRANGE(""https://docs.google.com/spreadsheets/d/11923uPwbBZFjjGgGUA6NLw09EwE0CqkOc4q9oUmW1yo/edit?usp=sharing"",""เพชรบูรณ์!M433"")"),17161)</f>
        <v>17161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IFERROR(__xludf.DUMMYFUNCTION("IMPORTRANGE(""https://docs.google.com/spreadsheets/d/11923uPwbBZFjjGgGUA6NLw09EwE0CqkOc4q9oUmW1yo/edit?usp=sharing"",""เพชรบูรณ์!M434"")"),0)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IFERROR(__xludf.DUMMYFUNCTION("IMPORTRANGE(""https://docs.google.com/spreadsheets/d/11923uPwbBZFjjGgGUA6NLw09EwE0CqkOc4q9oUmW1yo/edit?usp=sharing"",""เพชรบูรณ์!M435"")"),0)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IFERROR(__xludf.DUMMYFUNCTION("IMPORTRANGE(""https://docs.google.com/spreadsheets/d/11923uPwbBZFjjGgGUA6NLw09EwE0CqkOc4q9oUmW1yo/edit?usp=sharing"",""เพชรบูรณ์!M436"")"),0)</f>
        <v>0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IFERROR(__xludf.DUMMYFUNCTION("IMPORTRANGE(""https://docs.google.com/spreadsheets/d/11923uPwbBZFjjGgGUA6NLw09EwE0CqkOc4q9oUmW1yo/edit?usp=sharing"",""เพชรบูรณ์!J438"")"),0)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IFERROR(__xludf.DUMMYFUNCTION("IMPORTRANGE(""https://docs.google.com/spreadsheets/d/11923uPwbBZFjjGgGUA6NLw09EwE0CqkOc4q9oUmW1yo/edit?usp=sharing"",""เพชรบูรณ์!J439"")"),1)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IFERROR(__xludf.DUMMYFUNCTION("IMPORTRANGE(""https://docs.google.com/spreadsheets/d/11923uPwbBZFjjGgGUA6NLw09EwE0CqkOc4q9oUmW1yo/edit?usp=sharing"",""เพชรบูรณ์!J440"")"),1)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IFERROR(__xludf.DUMMYFUNCTION("IMPORTRANGE(""https://docs.google.com/spreadsheets/d/11923uPwbBZFjjGgGUA6NLw09EwE0CqkOc4q9oUmW1yo/edit?usp=sharing"",""เพชรบูรณ์!J441"")"),1)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IFERROR(__xludf.DUMMYFUNCTION("IMPORTRANGE(""https://docs.google.com/spreadsheets/d/11923uPwbBZFjjGgGUA6NLw09EwE0CqkOc4q9oUmW1yo/edit?usp=sharing"",""เพชรบูรณ์!I442"")"),22)</f>
        <v>22</v>
      </c>
      <c r="J547" s="190">
        <f ca="1">IFERROR(__xludf.DUMMYFUNCTION("IMPORTRANGE(""https://docs.google.com/spreadsheets/d/11923uPwbBZFjjGgGUA6NLw09EwE0CqkOc4q9oUmW1yo/edit?usp=sharing"",""เพชรบูรณ์!J442"")"),22)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IFERROR(__xludf.DUMMYFUNCTION("IMPORTRANGE(""https://docs.google.com/spreadsheets/d/11923uPwbBZFjjGgGUA6NLw09EwE0CqkOc4q9oUmW1yo/edit?usp=sharing"",""เพชรบูรณ์!J166"")"),0)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IFERROR(__xludf.DUMMYFUNCTION("IMPORTRANGE(""https://docs.google.com/spreadsheets/d/11923uPwbBZFjjGgGUA6NLw09EwE0CqkOc4q9oUmW1yo/edit?usp=sharing"",""เพชรบูรณ์!J444"")"),0)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IFERROR(__xludf.DUMMYFUNCTION("IMPORTRANGE(""https://docs.google.com/spreadsheets/d/11923uPwbBZFjjGgGUA6NLw09EwE0CqkOc4q9oUmW1yo/edit?usp=sharing"",""เพชรบูรณ์!J445"")"),0)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IFERROR(__xludf.DUMMYFUNCTION("IMPORTRANGE(""https://docs.google.com/spreadsheets/d/11923uPwbBZFjjGgGUA6NLw09EwE0CqkOc4q9oUmW1yo/edit?usp=sharing"",""เพชรบูรณ์!I446"")"),0)</f>
        <v>0</v>
      </c>
      <c r="J551" s="411">
        <f ca="1">IFERROR(__xludf.DUMMYFUNCTION("IMPORTRANGE(""https://docs.google.com/spreadsheets/d/11923uPwbBZFjjGgGUA6NLw09EwE0CqkOc4q9oUmW1yo/edit?usp=sharing"",""เพชรบูรณ์!J446"")"),0)</f>
        <v>0</v>
      </c>
      <c r="K551" s="412">
        <f ca="1">IF(I551&gt;0,J551*100/I551,0)</f>
        <v>0</v>
      </c>
      <c r="L551" s="413">
        <f ca="1">IFERROR(__xludf.DUMMYFUNCTION("IMPORTRANGE(""https://docs.google.com/spreadsheets/d/11923uPwbBZFjjGgGUA6NLw09EwE0CqkOc4q9oUmW1yo/edit?usp=sharing"",""เพชรบูรณ์!L446"")"),0)</f>
        <v>0</v>
      </c>
      <c r="M551" s="413"/>
      <c r="N551" s="413">
        <f ca="1">IFERROR(__xludf.DUMMYFUNCTION("IMPORTRANGE(""https://docs.google.com/spreadsheets/d/11923uPwbBZFjjGgGUA6NLw09EwE0CqkOc4q9oUmW1yo/edit?usp=sharing"",""เพชรบูรณ์!M446"")"),0)</f>
        <v>0</v>
      </c>
      <c r="O551" s="413">
        <f t="shared" ref="O551:O555" ca="1" si="120">+IF(L551&gt;0,N551*100/L551,0)</f>
        <v>0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IFERROR(__xludf.DUMMYFUNCTION("IMPORTRANGE(""https://docs.google.com/spreadsheets/d/11923uPwbBZFjjGgGUA6NLw09EwE0CqkOc4q9oUmW1yo/edit?usp=sharing"",""เพชรบูรณ์!L447"")"),0)</f>
        <v>0</v>
      </c>
      <c r="M552" s="166"/>
      <c r="N552" s="170">
        <f ca="1">IFERROR(__xludf.DUMMYFUNCTION("IMPORTRANGE(""https://docs.google.com/spreadsheets/d/11923uPwbBZFjjGgGUA6NLw09EwE0CqkOc4q9oUmW1yo/edit?usp=sharing"",""เพชรบูรณ์!M447"")"),0)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IFERROR(__xludf.DUMMYFUNCTION("IMPORTRANGE(""https://docs.google.com/spreadsheets/d/11923uPwbBZFjjGgGUA6NLw09EwE0CqkOc4q9oUmW1yo/edit?usp=sharing"",""เพชรบูรณ์!L448"")"),0)</f>
        <v>0</v>
      </c>
      <c r="M553" s="167"/>
      <c r="N553" s="170">
        <f ca="1">IFERROR(__xludf.DUMMYFUNCTION("IMPORTRANGE(""https://docs.google.com/spreadsheets/d/11923uPwbBZFjjGgGUA6NLw09EwE0CqkOc4q9oUmW1yo/edit?usp=sharing"",""เพชรบูรณ์!M448"")"),0)</f>
        <v>0</v>
      </c>
      <c r="O553" s="170">
        <f t="shared" ca="1" si="120"/>
        <v>0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IFERROR(__xludf.DUMMYFUNCTION("IMPORTRANGE(""https://docs.google.com/spreadsheets/d/11923uPwbBZFjjGgGUA6NLw09EwE0CqkOc4q9oUmW1yo/edit?usp=sharing"",""เพชรบูรณ์!L449"")"),0)</f>
        <v>0</v>
      </c>
      <c r="M554" s="170"/>
      <c r="N554" s="170">
        <f ca="1">IFERROR(__xludf.DUMMYFUNCTION("IMPORTRANGE(""https://docs.google.com/spreadsheets/d/11923uPwbBZFjjGgGUA6NLw09EwE0CqkOc4q9oUmW1yo/edit?usp=sharing"",""เพชรบูรณ์!M449"")"),0)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IFERROR(__xludf.DUMMYFUNCTION("IMPORTRANGE(""https://docs.google.com/spreadsheets/d/11923uPwbBZFjjGgGUA6NLw09EwE0CqkOc4q9oUmW1yo/edit?usp=sharing"",""เพชรบูรณ์!L450"")"),0)</f>
        <v>0</v>
      </c>
      <c r="M555" s="170"/>
      <c r="N555" s="170">
        <f ca="1">IFERROR(__xludf.DUMMYFUNCTION("IMPORTRANGE(""https://docs.google.com/spreadsheets/d/11923uPwbBZFjjGgGUA6NLw09EwE0CqkOc4q9oUmW1yo/edit?usp=sharing"",""เพชรบูรณ์!M450"")"),0)</f>
        <v>0</v>
      </c>
      <c r="O555" s="170">
        <f t="shared" ca="1" si="120"/>
        <v>0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IFERROR(__xludf.DUMMYFUNCTION("IMPORTRANGE(""https://docs.google.com/spreadsheets/d/11923uPwbBZFjjGgGUA6NLw09EwE0CqkOc4q9oUmW1yo/edit?usp=sharing"",""เพชรบูรณ์!M451"")"),0)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IFERROR(__xludf.DUMMYFUNCTION("IMPORTRANGE(""https://docs.google.com/spreadsheets/d/11923uPwbBZFjjGgGUA6NLw09EwE0CqkOc4q9oUmW1yo/edit?usp=sharing"",""เพชรบูรณ์!M452"")"),0)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IFERROR(__xludf.DUMMYFUNCTION("IMPORTRANGE(""https://docs.google.com/spreadsheets/d/11923uPwbBZFjjGgGUA6NLw09EwE0CqkOc4q9oUmW1yo/edit?usp=sharing"",""เพชรบูรณ์!M453"")"),0)</f>
        <v>0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IFERROR(__xludf.DUMMYFUNCTION("IMPORTRANGE(""https://docs.google.com/spreadsheets/d/11923uPwbBZFjjGgGUA6NLw09EwE0CqkOc4q9oUmW1yo/edit?usp=sharing"",""เพชรบูรณ์!M454"")"),0)</f>
        <v>0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IFERROR(__xludf.DUMMYFUNCTION("IMPORTRANGE(""https://docs.google.com/spreadsheets/d/11923uPwbBZFjjGgGUA6NLw09EwE0CqkOc4q9oUmW1yo/edit?usp=sharing"",""เพชรบูรณ์!I455"")"),0)</f>
        <v>0</v>
      </c>
      <c r="J560" s="164">
        <f ca="1">IFERROR(__xludf.DUMMYFUNCTION("IMPORTRANGE(""https://docs.google.com/spreadsheets/d/11923uPwbBZFjjGgGUA6NLw09EwE0CqkOc4q9oUmW1yo/edit?usp=sharing"",""เพชรบูรณ์!J455"")"),0)</f>
        <v>0</v>
      </c>
      <c r="K560" s="225">
        <f t="shared" ref="K560:K561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IFERROR(__xludf.DUMMYFUNCTION("IMPORTRANGE(""https://docs.google.com/spreadsheets/d/11923uPwbBZFjjGgGUA6NLw09EwE0CqkOc4q9oUmW1yo/edit?usp=sharing"",""เพชรบูรณ์!I456"")"),0)</f>
        <v>0</v>
      </c>
      <c r="J561" s="205">
        <f ca="1">IFERROR(__xludf.DUMMYFUNCTION("IMPORTRANGE(""https://docs.google.com/spreadsheets/d/11923uPwbBZFjjGgGUA6NLw09EwE0CqkOc4q9oUmW1yo/edit?usp=sharing"",""เพชรบูรณ์!J456"")"),0)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IFERROR(__xludf.DUMMYFUNCTION("IMPORTRANGE(""https://docs.google.com/spreadsheets/d/11923uPwbBZFjjGgGUA6NLw09EwE0CqkOc4q9oUmW1yo/edit?usp=sharing"",""เพชรบูรณ์!I459"")"),3850)</f>
        <v>3850</v>
      </c>
      <c r="J564" s="372">
        <f ca="1">IFERROR(__xludf.DUMMYFUNCTION("IMPORTRANGE(""https://docs.google.com/spreadsheets/d/11923uPwbBZFjjGgGUA6NLw09EwE0CqkOc4q9oUmW1yo/edit?usp=sharing"",""เพชรบูรณ์!J459"")"),5748)</f>
        <v>5748</v>
      </c>
      <c r="K564" s="373">
        <f ca="1">IF(I564&gt;0,J564*100/I564,0)</f>
        <v>149.2987012987013</v>
      </c>
      <c r="L564" s="374">
        <f ca="1">IFERROR(__xludf.DUMMYFUNCTION("IMPORTRANGE(""https://docs.google.com/spreadsheets/d/11923uPwbBZFjjGgGUA6NLw09EwE0CqkOc4q9oUmW1yo/edit?usp=sharing"",""เพชรบูรณ์!L459"")"),157200)</f>
        <v>157200</v>
      </c>
      <c r="M564" s="374"/>
      <c r="N564" s="374">
        <f ca="1">IFERROR(__xludf.DUMMYFUNCTION("IMPORTRANGE(""https://docs.google.com/spreadsheets/d/11923uPwbBZFjjGgGUA6NLw09EwE0CqkOc4q9oUmW1yo/edit?usp=sharing"",""เพชรบูรณ์!M459"")"),95493.4599999999)</f>
        <v>95493.459999999905</v>
      </c>
      <c r="O564" s="374">
        <f t="shared" ref="O564:O568" ca="1" si="122">+IF(L564&gt;0,N564*100/L564,0)</f>
        <v>60.746475826971952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IFERROR(__xludf.DUMMYFUNCTION("IMPORTRANGE(""https://docs.google.com/spreadsheets/d/11923uPwbBZFjjGgGUA6NLw09EwE0CqkOc4q9oUmW1yo/edit?usp=sharing"",""เพชรบูรณ์!L460"")"),0)</f>
        <v>0</v>
      </c>
      <c r="M565" s="166"/>
      <c r="N565" s="170">
        <f ca="1">IFERROR(__xludf.DUMMYFUNCTION("IMPORTRANGE(""https://docs.google.com/spreadsheets/d/11923uPwbBZFjjGgGUA6NLw09EwE0CqkOc4q9oUmW1yo/edit?usp=sharing"",""เพชรบูรณ์!M460"")"),0)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IFERROR(__xludf.DUMMYFUNCTION("IMPORTRANGE(""https://docs.google.com/spreadsheets/d/11923uPwbBZFjjGgGUA6NLw09EwE0CqkOc4q9oUmW1yo/edit?usp=sharing"",""เพชรบูรณ์!L461"")"),157200)</f>
        <v>157200</v>
      </c>
      <c r="M566" s="167"/>
      <c r="N566" s="170">
        <f ca="1">IFERROR(__xludf.DUMMYFUNCTION("IMPORTRANGE(""https://docs.google.com/spreadsheets/d/11923uPwbBZFjjGgGUA6NLw09EwE0CqkOc4q9oUmW1yo/edit?usp=sharing"",""เพชรบูรณ์!M461"")"),95493.4599999999)</f>
        <v>95493.459999999905</v>
      </c>
      <c r="O566" s="170">
        <f t="shared" ca="1" si="122"/>
        <v>60.746475826971952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IFERROR(__xludf.DUMMYFUNCTION("IMPORTRANGE(""https://docs.google.com/spreadsheets/d/11923uPwbBZFjjGgGUA6NLw09EwE0CqkOc4q9oUmW1yo/edit?usp=sharing"",""เพชรบูรณ์!L462"")"),0)</f>
        <v>0</v>
      </c>
      <c r="M567" s="170"/>
      <c r="N567" s="170">
        <f ca="1">IFERROR(__xludf.DUMMYFUNCTION("IMPORTRANGE(""https://docs.google.com/spreadsheets/d/11923uPwbBZFjjGgGUA6NLw09EwE0CqkOc4q9oUmW1yo/edit?usp=sharing"",""เพชรบูรณ์!M462"")"),0)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IFERROR(__xludf.DUMMYFUNCTION("IMPORTRANGE(""https://docs.google.com/spreadsheets/d/11923uPwbBZFjjGgGUA6NLw09EwE0CqkOc4q9oUmW1yo/edit?usp=sharing"",""เพชรบูรณ์!L463"")"),157200)</f>
        <v>157200</v>
      </c>
      <c r="M568" s="170"/>
      <c r="N568" s="170">
        <f ca="1">IFERROR(__xludf.DUMMYFUNCTION("IMPORTRANGE(""https://docs.google.com/spreadsheets/d/11923uPwbBZFjjGgGUA6NLw09EwE0CqkOc4q9oUmW1yo/edit?usp=sharing"",""เพชรบูรณ์!M463"")"),95493.4599999999)</f>
        <v>95493.459999999905</v>
      </c>
      <c r="O568" s="170">
        <f t="shared" ca="1" si="122"/>
        <v>60.746475826971952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IFERROR(__xludf.DUMMYFUNCTION("IMPORTRANGE(""https://docs.google.com/spreadsheets/d/11923uPwbBZFjjGgGUA6NLw09EwE0CqkOc4q9oUmW1yo/edit?usp=sharing"",""เพชรบูรณ์!M464"")"),0)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IFERROR(__xludf.DUMMYFUNCTION("IMPORTRANGE(""https://docs.google.com/spreadsheets/d/11923uPwbBZFjjGgGUA6NLw09EwE0CqkOc4q9oUmW1yo/edit?usp=sharing"",""เพชรบูรณ์!M465"")"),0)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IFERROR(__xludf.DUMMYFUNCTION("IMPORTRANGE(""https://docs.google.com/spreadsheets/d/11923uPwbBZFjjGgGUA6NLw09EwE0CqkOc4q9oUmW1yo/edit?usp=sharing"",""เพชรบูรณ์!M466"")"),73300)</f>
        <v>73300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IFERROR(__xludf.DUMMYFUNCTION("IMPORTRANGE(""https://docs.google.com/spreadsheets/d/11923uPwbBZFjjGgGUA6NLw09EwE0CqkOc4q9oUmW1yo/edit?usp=sharing"",""เพชรบูรณ์!M467"")"),22193.46)</f>
        <v>22193.46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IFERROR(__xludf.DUMMYFUNCTION("IMPORTRANGE(""https://docs.google.com/spreadsheets/d/11923uPwbBZFjjGgGUA6NLw09EwE0CqkOc4q9oUmW1yo/edit?usp=sharing"",""เพชรบูรณ์!I468"")"),3850)</f>
        <v>3850</v>
      </c>
      <c r="J573" s="422">
        <f ca="1">IFERROR(__xludf.DUMMYFUNCTION("IMPORTRANGE(""https://docs.google.com/spreadsheets/d/11923uPwbBZFjjGgGUA6NLw09EwE0CqkOc4q9oUmW1yo/edit?usp=sharing"",""เพชรบูรณ์!J468"")"),5748)</f>
        <v>5748</v>
      </c>
      <c r="K573" s="203">
        <f ca="1">IF(I573&gt;0,J573*100/I573,0)</f>
        <v>149.2987012987013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IFERROR(__xludf.DUMMYFUNCTION("IMPORTRANGE(""https://docs.google.com/spreadsheets/d/11923uPwbBZFjjGgGUA6NLw09EwE0CqkOc4q9oUmW1yo/edit?usp=sharing"",""เพชรบูรณ์!I470"")"),0)</f>
        <v>0</v>
      </c>
      <c r="J575" s="199">
        <f ca="1">IFERROR(__xludf.DUMMYFUNCTION("IMPORTRANGE(""https://docs.google.com/spreadsheets/d/11923uPwbBZFjjGgGUA6NLw09EwE0CqkOc4q9oUmW1yo/edit?usp=sharing"",""เพชรบูรณ์!J470"")"),4)</f>
        <v>4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IFERROR(__xludf.DUMMYFUNCTION("IMPORTRANGE(""https://docs.google.com/spreadsheets/d/11923uPwbBZFjjGgGUA6NLw09EwE0CqkOc4q9oUmW1yo/edit?usp=sharing"",""เพชรบูรณ์!I471"")"),0)</f>
        <v>0</v>
      </c>
      <c r="J576" s="199">
        <f ca="1">IFERROR(__xludf.DUMMYFUNCTION("IMPORTRANGE(""https://docs.google.com/spreadsheets/d/11923uPwbBZFjjGgGUA6NLw09EwE0CqkOc4q9oUmW1yo/edit?usp=sharing"",""เพชรบูรณ์!J471"")"),514)</f>
        <v>514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IFERROR(__xludf.DUMMYFUNCTION("IMPORTRANGE(""https://docs.google.com/spreadsheets/d/11923uPwbBZFjjGgGUA6NLw09EwE0CqkOc4q9oUmW1yo/edit?usp=sharing"",""เพชรบูรณ์!I472"")"),0)</f>
        <v>0</v>
      </c>
      <c r="J577" s="190">
        <f ca="1">IFERROR(__xludf.DUMMYFUNCTION("IMPORTRANGE(""https://docs.google.com/spreadsheets/d/11923uPwbBZFjjGgGUA6NLw09EwE0CqkOc4q9oUmW1yo/edit?usp=sharing"",""เพชรบูรณ์!J472"")"),5168)</f>
        <v>5168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IFERROR(__xludf.DUMMYFUNCTION("IMPORTRANGE(""https://docs.google.com/spreadsheets/d/11923uPwbBZFjjGgGUA6NLw09EwE0CqkOc4q9oUmW1yo/edit?usp=sharing"",""เพชรบูรณ์!I473"")"),0)</f>
        <v>0</v>
      </c>
      <c r="J578" s="199">
        <f ca="1">IFERROR(__xludf.DUMMYFUNCTION("IMPORTRANGE(""https://docs.google.com/spreadsheets/d/11923uPwbBZFjjGgGUA6NLw09EwE0CqkOc4q9oUmW1yo/edit?usp=sharing"",""เพชรบูรณ์!J473"")"),2)</f>
        <v>2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IFERROR(__xludf.DUMMYFUNCTION("IMPORTRANGE(""https://docs.google.com/spreadsheets/d/11923uPwbBZFjjGgGUA6NLw09EwE0CqkOc4q9oUmW1yo/edit?usp=sharing"",""เพชรบูรณ์!I474"")"),0)</f>
        <v>0</v>
      </c>
      <c r="J579" s="199">
        <f ca="1">IFERROR(__xludf.DUMMYFUNCTION("IMPORTRANGE(""https://docs.google.com/spreadsheets/d/11923uPwbBZFjjGgGUA6NLw09EwE0CqkOc4q9oUmW1yo/edit?usp=sharing"",""เพชรบูรณ์!J474"")"),64)</f>
        <v>64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IFERROR(__xludf.DUMMYFUNCTION("IMPORTRANGE(""https://docs.google.com/spreadsheets/d/11923uPwbBZFjjGgGUA6NLw09EwE0CqkOc4q9oUmW1yo/edit?usp=sharing"",""เพชรบูรณ์!I475"")"),300)</f>
        <v>300</v>
      </c>
      <c r="J580" s="372">
        <f ca="1">IFERROR(__xludf.DUMMYFUNCTION("IMPORTRANGE(""https://docs.google.com/spreadsheets/d/11923uPwbBZFjjGgGUA6NLw09EwE0CqkOc4q9oUmW1yo/edit?usp=sharing"",""เพชรบูรณ์!J475"")"),29)</f>
        <v>29</v>
      </c>
      <c r="K580" s="373">
        <f ca="1">IF(I580&gt;0,J580*100/I580,0)</f>
        <v>9.6666666666666661</v>
      </c>
      <c r="L580" s="374">
        <f ca="1">IFERROR(__xludf.DUMMYFUNCTION("IMPORTRANGE(""https://docs.google.com/spreadsheets/d/11923uPwbBZFjjGgGUA6NLw09EwE0CqkOc4q9oUmW1yo/edit?usp=sharing"",""เพชรบูรณ์!L475"")"),346950)</f>
        <v>346950</v>
      </c>
      <c r="M580" s="374"/>
      <c r="N580" s="374">
        <f ca="1">IFERROR(__xludf.DUMMYFUNCTION("IMPORTRANGE(""https://docs.google.com/spreadsheets/d/11923uPwbBZFjjGgGUA6NLw09EwE0CqkOc4q9oUmW1yo/edit?usp=sharing"",""เพชรบูรณ์!M475"")"),160796)</f>
        <v>160796</v>
      </c>
      <c r="O580" s="374">
        <f t="shared" ref="O580:O584" ca="1" si="124">+IF(L580&gt;0,N580*100/L580,0)</f>
        <v>46.345582937022627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IFERROR(__xludf.DUMMYFUNCTION("IMPORTRANGE(""https://docs.google.com/spreadsheets/d/11923uPwbBZFjjGgGUA6NLw09EwE0CqkOc4q9oUmW1yo/edit?usp=sharing"",""เพชรบูรณ์!L476"")"),0)</f>
        <v>0</v>
      </c>
      <c r="M581" s="166"/>
      <c r="N581" s="170">
        <f ca="1">IFERROR(__xludf.DUMMYFUNCTION("IMPORTRANGE(""https://docs.google.com/spreadsheets/d/11923uPwbBZFjjGgGUA6NLw09EwE0CqkOc4q9oUmW1yo/edit?usp=sharing"",""เพชรบูรณ์!M476"")"),0)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IFERROR(__xludf.DUMMYFUNCTION("IMPORTRANGE(""https://docs.google.com/spreadsheets/d/11923uPwbBZFjjGgGUA6NLw09EwE0CqkOc4q9oUmW1yo/edit?usp=sharing"",""เพชรบูรณ์!L477"")"),346950)</f>
        <v>346950</v>
      </c>
      <c r="M582" s="167"/>
      <c r="N582" s="170">
        <f ca="1">IFERROR(__xludf.DUMMYFUNCTION("IMPORTRANGE(""https://docs.google.com/spreadsheets/d/11923uPwbBZFjjGgGUA6NLw09EwE0CqkOc4q9oUmW1yo/edit?usp=sharing"",""เพชรบูรณ์!M477"")"),160796)</f>
        <v>160796</v>
      </c>
      <c r="O582" s="170">
        <f t="shared" ca="1" si="124"/>
        <v>46.345582937022627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IFERROR(__xludf.DUMMYFUNCTION("IMPORTRANGE(""https://docs.google.com/spreadsheets/d/11923uPwbBZFjjGgGUA6NLw09EwE0CqkOc4q9oUmW1yo/edit?usp=sharing"",""เพชรบูรณ์!L478"")"),0)</f>
        <v>0</v>
      </c>
      <c r="M583" s="170"/>
      <c r="N583" s="170">
        <f ca="1">IFERROR(__xludf.DUMMYFUNCTION("IMPORTRANGE(""https://docs.google.com/spreadsheets/d/11923uPwbBZFjjGgGUA6NLw09EwE0CqkOc4q9oUmW1yo/edit?usp=sharing"",""เพชรบูรณ์!M478"")"),0)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IFERROR(__xludf.DUMMYFUNCTION("IMPORTRANGE(""https://docs.google.com/spreadsheets/d/11923uPwbBZFjjGgGUA6NLw09EwE0CqkOc4q9oUmW1yo/edit?usp=sharing"",""เพชรบูรณ์!L479"")"),346950)</f>
        <v>346950</v>
      </c>
      <c r="M584" s="170"/>
      <c r="N584" s="170">
        <f ca="1">IFERROR(__xludf.DUMMYFUNCTION("IMPORTRANGE(""https://docs.google.com/spreadsheets/d/11923uPwbBZFjjGgGUA6NLw09EwE0CqkOc4q9oUmW1yo/edit?usp=sharing"",""เพชรบูรณ์!M479"")"),160796)</f>
        <v>160796</v>
      </c>
      <c r="O584" s="170">
        <f t="shared" ca="1" si="124"/>
        <v>46.345582937022627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IFERROR(__xludf.DUMMYFUNCTION("IMPORTRANGE(""https://docs.google.com/spreadsheets/d/11923uPwbBZFjjGgGUA6NLw09EwE0CqkOc4q9oUmW1yo/edit?usp=sharing"",""เพชรบูรณ์!M480"")"),0)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IFERROR(__xludf.DUMMYFUNCTION("IMPORTRANGE(""https://docs.google.com/spreadsheets/d/11923uPwbBZFjjGgGUA6NLw09EwE0CqkOc4q9oUmW1yo/edit?usp=sharing"",""เพชรบูรณ์!M481"")"),0)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IFERROR(__xludf.DUMMYFUNCTION("IMPORTRANGE(""https://docs.google.com/spreadsheets/d/11923uPwbBZFjjGgGUA6NLw09EwE0CqkOc4q9oUmW1yo/edit?usp=sharing"",""เพชรบูรณ์!M482"")"),70026)</f>
        <v>70026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IFERROR(__xludf.DUMMYFUNCTION("IMPORTRANGE(""https://docs.google.com/spreadsheets/d/11923uPwbBZFjjGgGUA6NLw09EwE0CqkOc4q9oUmW1yo/edit?usp=sharing"",""เพชรบูรณ์!M483"")"),90770)</f>
        <v>90770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IFERROR(__xludf.DUMMYFUNCTION("IMPORTRANGE(""https://docs.google.com/spreadsheets/d/11923uPwbBZFjjGgGUA6NLw09EwE0CqkOc4q9oUmW1yo/edit?usp=sharing"",""เพชรบูรณ์!I484"")"),300)</f>
        <v>300</v>
      </c>
      <c r="J589" s="189">
        <f ca="1">IFERROR(__xludf.DUMMYFUNCTION("IMPORTRANGE(""https://docs.google.com/spreadsheets/d/11923uPwbBZFjjGgGUA6NLw09EwE0CqkOc4q9oUmW1yo/edit?usp=sharing"",""เพชรบูรณ์!J484"")"),169)</f>
        <v>169</v>
      </c>
      <c r="K589" s="165">
        <f t="shared" ref="K589:K596" ca="1" si="125">IF(I589&gt;0,J589*100/I589,0)</f>
        <v>56.333333333333336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IFERROR(__xludf.DUMMYFUNCTION("IMPORTRANGE(""https://docs.google.com/spreadsheets/d/11923uPwbBZFjjGgGUA6NLw09EwE0CqkOc4q9oUmW1yo/edit?usp=sharing"",""เพชรบูรณ์!I485"")"),0)</f>
        <v>0</v>
      </c>
      <c r="J590" s="189">
        <f ca="1">IFERROR(__xludf.DUMMYFUNCTION("IMPORTRANGE(""https://docs.google.com/spreadsheets/d/11923uPwbBZFjjGgGUA6NLw09EwE0CqkOc4q9oUmW1yo/edit?usp=sharing"",""เพชรบูรณ์!J485"")"),107)</f>
        <v>107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IFERROR(__xludf.DUMMYFUNCTION("IMPORTRANGE(""https://docs.google.com/spreadsheets/d/11923uPwbBZFjjGgGUA6NLw09EwE0CqkOc4q9oUmW1yo/edit?usp=sharing"",""เพชรบูรณ์!I486"")"),300)</f>
        <v>300</v>
      </c>
      <c r="J591" s="189">
        <f ca="1">IFERROR(__xludf.DUMMYFUNCTION("IMPORTRANGE(""https://docs.google.com/spreadsheets/d/11923uPwbBZFjjGgGUA6NLw09EwE0CqkOc4q9oUmW1yo/edit?usp=sharing"",""เพชรบูรณ์!J486"")"),154)</f>
        <v>154</v>
      </c>
      <c r="K591" s="165">
        <f t="shared" ca="1" si="125"/>
        <v>51.333333333333336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IFERROR(__xludf.DUMMYFUNCTION("IMPORTRANGE(""https://docs.google.com/spreadsheets/d/11923uPwbBZFjjGgGUA6NLw09EwE0CqkOc4q9oUmW1yo/edit?usp=sharing"",""เพชรบูรณ์!I487"")"),0)</f>
        <v>0</v>
      </c>
      <c r="J592" s="189">
        <f ca="1">IFERROR(__xludf.DUMMYFUNCTION("IMPORTRANGE(""https://docs.google.com/spreadsheets/d/11923uPwbBZFjjGgGUA6NLw09EwE0CqkOc4q9oUmW1yo/edit?usp=sharing"",""เพชรบูรณ์!J487"")"),78.93)</f>
        <v>78.930000000000007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IFERROR(__xludf.DUMMYFUNCTION("IMPORTRANGE(""https://docs.google.com/spreadsheets/d/11923uPwbBZFjjGgGUA6NLw09EwE0CqkOc4q9oUmW1yo/edit?usp=sharing"",""เพชรบูรณ์!I488"")"),300)</f>
        <v>300</v>
      </c>
      <c r="J593" s="189">
        <f ca="1">IFERROR(__xludf.DUMMYFUNCTION("IMPORTRANGE(""https://docs.google.com/spreadsheets/d/11923uPwbBZFjjGgGUA6NLw09EwE0CqkOc4q9oUmW1yo/edit?usp=sharing"",""เพชรบูรณ์!J488"")"),0)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IFERROR(__xludf.DUMMYFUNCTION("IMPORTRANGE(""https://docs.google.com/spreadsheets/d/11923uPwbBZFjjGgGUA6NLw09EwE0CqkOc4q9oUmW1yo/edit?usp=sharing"",""เพชรบูรณ์!I489"")"),0)</f>
        <v>0</v>
      </c>
      <c r="J594" s="189">
        <f ca="1">IFERROR(__xludf.DUMMYFUNCTION("IMPORTRANGE(""https://docs.google.com/spreadsheets/d/11923uPwbBZFjjGgGUA6NLw09EwE0CqkOc4q9oUmW1yo/edit?usp=sharing"",""เพชรบูรณ์!J489"")"),0)</f>
        <v>0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IFERROR(__xludf.DUMMYFUNCTION("IMPORTRANGE(""https://docs.google.com/spreadsheets/d/11923uPwbBZFjjGgGUA6NLw09EwE0CqkOc4q9oUmW1yo/edit?usp=sharing"",""เพชรบูรณ์!I490"")"),300)</f>
        <v>300</v>
      </c>
      <c r="J595" s="189">
        <f ca="1">IFERROR(__xludf.DUMMYFUNCTION("IMPORTRANGE(""https://docs.google.com/spreadsheets/d/11923uPwbBZFjjGgGUA6NLw09EwE0CqkOc4q9oUmW1yo/edit?usp=sharing"",""เพชรบูรณ์!J490"")"),29)</f>
        <v>29</v>
      </c>
      <c r="K595" s="165">
        <f t="shared" ca="1" si="125"/>
        <v>9.6666666666666661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IFERROR(__xludf.DUMMYFUNCTION("IMPORTRANGE(""https://docs.google.com/spreadsheets/d/11923uPwbBZFjjGgGUA6NLw09EwE0CqkOc4q9oUmW1yo/edit?usp=sharing"",""เพชรบูรณ์!I491"")"),0)</f>
        <v>0</v>
      </c>
      <c r="J596" s="242">
        <f ca="1">IFERROR(__xludf.DUMMYFUNCTION("IMPORTRANGE(""https://docs.google.com/spreadsheets/d/11923uPwbBZFjjGgGUA6NLw09EwE0CqkOc4q9oUmW1yo/edit?usp=sharing"",""เพชรบูรณ์!J491"")"),16.03)</f>
        <v>16.03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IFERROR(__xludf.DUMMYFUNCTION("IMPORTRANGE(""https://docs.google.com/spreadsheets/d/11923uPwbBZFjjGgGUA6NLw09EwE0CqkOc4q9oUmW1yo/edit?usp=sharing"",""เพชรบูรณ์!I492"")"),100)</f>
        <v>100</v>
      </c>
      <c r="J597" s="489">
        <f ca="1">IFERROR(__xludf.DUMMYFUNCTION("IMPORTRANGE(""https://docs.google.com/spreadsheets/d/11923uPwbBZFjjGgGUA6NLw09EwE0CqkOc4q9oUmW1yo/edit?usp=sharing"",""เพชรบูรณ์!J492"")"),0)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IFERROR(__xludf.DUMMYFUNCTION("IMPORTRANGE(""https://docs.google.com/spreadsheets/d/11923uPwbBZFjjGgGUA6NLw09EwE0CqkOc4q9oUmW1yo/edit?usp=sharing"",""เพชรบูรณ์!L492"")"),7300)</f>
        <v>7300</v>
      </c>
      <c r="M597" s="413"/>
      <c r="N597" s="413">
        <f ca="1">IFERROR(__xludf.DUMMYFUNCTION("IMPORTRANGE(""https://docs.google.com/spreadsheets/d/11923uPwbBZFjjGgGUA6NLw09EwE0CqkOc4q9oUmW1yo/edit?usp=sharing"",""เพชรบูรณ์!M492"")"),450)</f>
        <v>450</v>
      </c>
      <c r="O597" s="413">
        <f t="shared" ref="O597:O601" ca="1" si="126">+IF(L597&gt;0,N597*100/L597,0)</f>
        <v>6.1643835616438354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IFERROR(__xludf.DUMMYFUNCTION("IMPORTRANGE(""https://docs.google.com/spreadsheets/d/11923uPwbBZFjjGgGUA6NLw09EwE0CqkOc4q9oUmW1yo/edit?usp=sharing"",""เพชรบูรณ์!L493"")"),0)</f>
        <v>0</v>
      </c>
      <c r="M598" s="166"/>
      <c r="N598" s="170">
        <f ca="1">IFERROR(__xludf.DUMMYFUNCTION("IMPORTRANGE(""https://docs.google.com/spreadsheets/d/11923uPwbBZFjjGgGUA6NLw09EwE0CqkOc4q9oUmW1yo/edit?usp=sharing"",""เพชรบูรณ์!M493"")"),0)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IFERROR(__xludf.DUMMYFUNCTION("IMPORTRANGE(""https://docs.google.com/spreadsheets/d/11923uPwbBZFjjGgGUA6NLw09EwE0CqkOc4q9oUmW1yo/edit?usp=sharing"",""เพชรบูรณ์!L494"")"),7300)</f>
        <v>7300</v>
      </c>
      <c r="M599" s="167"/>
      <c r="N599" s="170">
        <f ca="1">IFERROR(__xludf.DUMMYFUNCTION("IMPORTRANGE(""https://docs.google.com/spreadsheets/d/11923uPwbBZFjjGgGUA6NLw09EwE0CqkOc4q9oUmW1yo/edit?usp=sharing"",""เพชรบูรณ์!M494"")"),450)</f>
        <v>450</v>
      </c>
      <c r="O599" s="170">
        <f t="shared" ca="1" si="126"/>
        <v>6.1643835616438354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IFERROR(__xludf.DUMMYFUNCTION("IMPORTRANGE(""https://docs.google.com/spreadsheets/d/11923uPwbBZFjjGgGUA6NLw09EwE0CqkOc4q9oUmW1yo/edit?usp=sharing"",""เพชรบูรณ์!L495"")"),0)</f>
        <v>0</v>
      </c>
      <c r="M600" s="170"/>
      <c r="N600" s="170">
        <f ca="1">IFERROR(__xludf.DUMMYFUNCTION("IMPORTRANGE(""https://docs.google.com/spreadsheets/d/11923uPwbBZFjjGgGUA6NLw09EwE0CqkOc4q9oUmW1yo/edit?usp=sharing"",""เพชรบูรณ์!M495"")"),0)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IFERROR(__xludf.DUMMYFUNCTION("IMPORTRANGE(""https://docs.google.com/spreadsheets/d/11923uPwbBZFjjGgGUA6NLw09EwE0CqkOc4q9oUmW1yo/edit?usp=sharing"",""เพชรบูรณ์!L496"")"),7300)</f>
        <v>7300</v>
      </c>
      <c r="M601" s="170"/>
      <c r="N601" s="170">
        <f ca="1">IFERROR(__xludf.DUMMYFUNCTION("IMPORTRANGE(""https://docs.google.com/spreadsheets/d/11923uPwbBZFjjGgGUA6NLw09EwE0CqkOc4q9oUmW1yo/edit?usp=sharing"",""เพชรบูรณ์!M496"")"),450)</f>
        <v>450</v>
      </c>
      <c r="O601" s="170">
        <f t="shared" ca="1" si="126"/>
        <v>6.1643835616438354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IFERROR(__xludf.DUMMYFUNCTION("IMPORTRANGE(""https://docs.google.com/spreadsheets/d/11923uPwbBZFjjGgGUA6NLw09EwE0CqkOc4q9oUmW1yo/edit?usp=sharing"",""เพชรบูรณ์!M497"")"),0)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IFERROR(__xludf.DUMMYFUNCTION("IMPORTRANGE(""https://docs.google.com/spreadsheets/d/11923uPwbBZFjjGgGUA6NLw09EwE0CqkOc4q9oUmW1yo/edit?usp=sharing"",""เพชรบูรณ์!M498"")"),0)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IFERROR(__xludf.DUMMYFUNCTION("IMPORTRANGE(""https://docs.google.com/spreadsheets/d/11923uPwbBZFjjGgGUA6NLw09EwE0CqkOc4q9oUmW1yo/edit?usp=sharing"",""เพชรบูรณ์!M499"")"),0)</f>
        <v>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IFERROR(__xludf.DUMMYFUNCTION("IMPORTRANGE(""https://docs.google.com/spreadsheets/d/11923uPwbBZFjjGgGUA6NLw09EwE0CqkOc4q9oUmW1yo/edit?usp=sharing"",""เพชรบูรณ์!M500"")"),450)</f>
        <v>450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IFERROR(__xludf.DUMMYFUNCTION("IMPORTRANGE(""https://docs.google.com/spreadsheets/d/11923uPwbBZFjjGgGUA6NLw09EwE0CqkOc4q9oUmW1yo/edit?usp=sharing"",""เพชรบูรณ์!J502"")"),0)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IFERROR(__xludf.DUMMYFUNCTION("IMPORTRANGE(""https://docs.google.com/spreadsheets/d/11923uPwbBZFjjGgGUA6NLw09EwE0CqkOc4q9oUmW1yo/edit?usp=sharing"",""เพชรบูรณ์!J503"")"),1)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IFERROR(__xludf.DUMMYFUNCTION("IMPORTRANGE(""https://docs.google.com/spreadsheets/d/11923uPwbBZFjjGgGUA6NLw09EwE0CqkOc4q9oUmW1yo/edit?usp=sharing"",""เพชรบูรณ์!J166"")"),0)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IFERROR(__xludf.DUMMYFUNCTION("IMPORTRANGE(""https://docs.google.com/spreadsheets/d/11923uPwbBZFjjGgGUA6NLw09EwE0CqkOc4q9oUmW1yo/edit?usp=sharing"",""เพชรบูรณ์!J166"")"),0)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IFERROR(__xludf.DUMMYFUNCTION("IMPORTRANGE(""https://docs.google.com/spreadsheets/d/11923uPwbBZFjjGgGUA6NLw09EwE0CqkOc4q9oUmW1yo/edit?usp=sharing"",""เพชรบูรณ์!I506"")"),100)</f>
        <v>100</v>
      </c>
      <c r="J611" s="164">
        <f ca="1">IFERROR(__xludf.DUMMYFUNCTION("IMPORTRANGE(""https://docs.google.com/spreadsheets/d/11923uPwbBZFjjGgGUA6NLw09EwE0CqkOc4q9oUmW1yo/edit?usp=sharing"",""เพชรบูรณ์!J506"")"),0)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IFERROR(__xludf.DUMMYFUNCTION("IMPORTRANGE(""https://docs.google.com/spreadsheets/d/11923uPwbBZFjjGgGUA6NLw09EwE0CqkOc4q9oUmW1yo/edit?usp=sharing"",""เพชรบูรณ์!I507"")"),0)</f>
        <v>0</v>
      </c>
      <c r="J612" s="199">
        <f ca="1">IFERROR(__xludf.DUMMYFUNCTION("IMPORTRANGE(""https://docs.google.com/spreadsheets/d/11923uPwbBZFjjGgGUA6NLw09EwE0CqkOc4q9oUmW1yo/edit?usp=sharing"",""เพชรบูรณ์!J507"")"),0)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IFERROR(__xludf.DUMMYFUNCTION("IMPORTRANGE(""https://docs.google.com/spreadsheets/d/11923uPwbBZFjjGgGUA6NLw09EwE0CqkOc4q9oUmW1yo/edit?usp=sharing"",""เพชรบูรณ์!I508"")"),0)</f>
        <v>0</v>
      </c>
      <c r="J613" s="199">
        <f ca="1">IFERROR(__xludf.DUMMYFUNCTION("IMPORTRANGE(""https://docs.google.com/spreadsheets/d/11923uPwbBZFjjGgGUA6NLw09EwE0CqkOc4q9oUmW1yo/edit?usp=sharing"",""เพชรบูรณ์!J508"")"),0)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IFERROR(__xludf.DUMMYFUNCTION("IMPORTRANGE(""https://docs.google.com/spreadsheets/d/11923uPwbBZFjjGgGUA6NLw09EwE0CqkOc4q9oUmW1yo/edit?usp=sharing"",""เพชรบูรณ์!I509"")"),0)</f>
        <v>0</v>
      </c>
      <c r="J614" s="199">
        <f ca="1">IFERROR(__xludf.DUMMYFUNCTION("IMPORTRANGE(""https://docs.google.com/spreadsheets/d/11923uPwbBZFjjGgGUA6NLw09EwE0CqkOc4q9oUmW1yo/edit?usp=sharing"",""เพชรบูรณ์!J509"")"),0)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IFERROR(__xludf.DUMMYFUNCTION("IMPORTRANGE(""https://docs.google.com/spreadsheets/d/11923uPwbBZFjjGgGUA6NLw09EwE0CqkOc4q9oUmW1yo/edit?usp=sharing"",""เพชรบูรณ์!I510"")"),0)</f>
        <v>0</v>
      </c>
      <c r="J615" s="199">
        <f ca="1">IFERROR(__xludf.DUMMYFUNCTION("IMPORTRANGE(""https://docs.google.com/spreadsheets/d/11923uPwbBZFjjGgGUA6NLw09EwE0CqkOc4q9oUmW1yo/edit?usp=sharing"",""เพชรบูรณ์!J510"")"),0)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IFERROR(__xludf.DUMMYFUNCTION("IMPORTRANGE(""https://docs.google.com/spreadsheets/d/11923uPwbBZFjjGgGUA6NLw09EwE0CqkOc4q9oUmW1yo/edit?usp=sharing"",""เพชรบูรณ์!I511"")"),0)</f>
        <v>0</v>
      </c>
      <c r="J616" s="199">
        <f ca="1">IFERROR(__xludf.DUMMYFUNCTION("IMPORTRANGE(""https://docs.google.com/spreadsheets/d/11923uPwbBZFjjGgGUA6NLw09EwE0CqkOc4q9oUmW1yo/edit?usp=sharing"",""เพชรบูรณ์!J511"")"),0)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IFERROR(__xludf.DUMMYFUNCTION("IMPORTRANGE(""https://docs.google.com/spreadsheets/d/11923uPwbBZFjjGgGUA6NLw09EwE0CqkOc4q9oUmW1yo/edit?usp=sharing"",""เพชรบูรณ์!I512"")"),0)</f>
        <v>0</v>
      </c>
      <c r="J617" s="189">
        <f ca="1">IFERROR(__xludf.DUMMYFUNCTION("IMPORTRANGE(""https://docs.google.com/spreadsheets/d/11923uPwbBZFjjGgGUA6NLw09EwE0CqkOc4q9oUmW1yo/edit?usp=sharing"",""เพชรบูรณ์!J512"")"),0)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IFERROR(__xludf.DUMMYFUNCTION("IMPORTRANGE(""https://docs.google.com/spreadsheets/d/11923uPwbBZFjjGgGUA6NLw09EwE0CqkOc4q9oUmW1yo/edit?usp=sharing"",""เพชรบูรณ์!I513"")"),0)</f>
        <v>0</v>
      </c>
      <c r="J618" s="190">
        <f ca="1">IFERROR(__xludf.DUMMYFUNCTION("IMPORTRANGE(""https://docs.google.com/spreadsheets/d/11923uPwbBZFjjGgGUA6NLw09EwE0CqkOc4q9oUmW1yo/edit?usp=sharing"",""เพชรบูรณ์!J513"")"),0)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IFERROR(__xludf.DUMMYFUNCTION("IMPORTRANGE(""https://docs.google.com/spreadsheets/d/11923uPwbBZFjjGgGUA6NLw09EwE0CqkOc4q9oUmW1yo/edit?usp=sharing"",""เพชรบูรณ์!I514"")"),0)</f>
        <v>0</v>
      </c>
      <c r="J619" s="190">
        <f ca="1">IFERROR(__xludf.DUMMYFUNCTION("IMPORTRANGE(""https://docs.google.com/spreadsheets/d/11923uPwbBZFjjGgGUA6NLw09EwE0CqkOc4q9oUmW1yo/edit?usp=sharing"",""เพชรบูรณ์!J514"")"),0)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IFERROR(__xludf.DUMMYFUNCTION("IMPORTRANGE(""https://docs.google.com/spreadsheets/d/11923uPwbBZFjjGgGUA6NLw09EwE0CqkOc4q9oUmW1yo/edit?usp=sharing"",""เพชรบูรณ์!I515"")"),0)</f>
        <v>0</v>
      </c>
      <c r="J620" s="204">
        <f ca="1">IFERROR(__xludf.DUMMYFUNCTION("IMPORTRANGE(""https://docs.google.com/spreadsheets/d/11923uPwbBZFjjGgGUA6NLw09EwE0CqkOc4q9oUmW1yo/edit?usp=sharing"",""เพชรบูรณ์!J515"")"),0)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IFERROR(__xludf.DUMMYFUNCTION("IMPORTRANGE(""https://docs.google.com/spreadsheets/d/11923uPwbBZFjjGgGUA6NLw09EwE0CqkOc4q9oUmW1yo/edit?usp=sharing"",""เพชรบูรณ์!I516"")"),0)</f>
        <v>0</v>
      </c>
      <c r="J621" s="204">
        <f ca="1">IFERROR(__xludf.DUMMYFUNCTION("IMPORTRANGE(""https://docs.google.com/spreadsheets/d/11923uPwbBZFjjGgGUA6NLw09EwE0CqkOc4q9oUmW1yo/edit?usp=sharing"",""เพชรบูรณ์!J516"")"),0)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IFERROR(__xludf.DUMMYFUNCTION("IMPORTRANGE(""https://docs.google.com/spreadsheets/d/11923uPwbBZFjjGgGUA6NLw09EwE0CqkOc4q9oUmW1yo/edit?usp=sharing"",""เพชรบูรณ์!I517"")"),0)</f>
        <v>0</v>
      </c>
      <c r="J622" s="190">
        <f ca="1">IFERROR(__xludf.DUMMYFUNCTION("IMPORTRANGE(""https://docs.google.com/spreadsheets/d/11923uPwbBZFjjGgGUA6NLw09EwE0CqkOc4q9oUmW1yo/edit?usp=sharing"",""เพชรบูรณ์!J517"")"),0)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IFERROR(__xludf.DUMMYFUNCTION("IMPORTRANGE(""https://docs.google.com/spreadsheets/d/11923uPwbBZFjjGgGUA6NLw09EwE0CqkOc4q9oUmW1yo/edit?usp=sharing"",""เพชรบูรณ์!I518"")"),0)</f>
        <v>0</v>
      </c>
      <c r="J623" s="190">
        <f ca="1">IFERROR(__xludf.DUMMYFUNCTION("IMPORTRANGE(""https://docs.google.com/spreadsheets/d/11923uPwbBZFjjGgGUA6NLw09EwE0CqkOc4q9oUmW1yo/edit?usp=sharing"",""เพชรบูรณ์!J518"")"),0)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IFERROR(__xludf.DUMMYFUNCTION("IMPORTRANGE(""https://docs.google.com/spreadsheets/d/11923uPwbBZFjjGgGUA6NLw09EwE0CqkOc4q9oUmW1yo/edit?usp=sharing"",""เพชรบูรณ์!I519"")"),0)</f>
        <v>0</v>
      </c>
      <c r="J624" s="189">
        <f ca="1">IFERROR(__xludf.DUMMYFUNCTION("IMPORTRANGE(""https://docs.google.com/spreadsheets/d/11923uPwbBZFjjGgGUA6NLw09EwE0CqkOc4q9oUmW1yo/edit?usp=sharing"",""เพชรบูรณ์!J519"")"),0)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IFERROR(__xludf.DUMMYFUNCTION("IMPORTRANGE(""https://docs.google.com/spreadsheets/d/11923uPwbBZFjjGgGUA6NLw09EwE0CqkOc4q9oUmW1yo/edit?usp=sharing"",""เพชรบูรณ์!I520"")"),0)</f>
        <v>0</v>
      </c>
      <c r="J625" s="190">
        <f ca="1">IFERROR(__xludf.DUMMYFUNCTION("IMPORTRANGE(""https://docs.google.com/spreadsheets/d/11923uPwbBZFjjGgGUA6NLw09EwE0CqkOc4q9oUmW1yo/edit?usp=sharing"",""เพชรบูรณ์!J520"")"),0)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IFERROR(__xludf.DUMMYFUNCTION("IMPORTRANGE(""https://docs.google.com/spreadsheets/d/11923uPwbBZFjjGgGUA6NLw09EwE0CqkOc4q9oUmW1yo/edit?usp=sharing"",""เพชรบูรณ์!I521"")"),0)</f>
        <v>0</v>
      </c>
      <c r="J626" s="190">
        <f ca="1">IFERROR(__xludf.DUMMYFUNCTION("IMPORTRANGE(""https://docs.google.com/spreadsheets/d/11923uPwbBZFjjGgGUA6NLw09EwE0CqkOc4q9oUmW1yo/edit?usp=sharing"",""เพชรบูรณ์!J521"")"),0)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IFERROR(__xludf.DUMMYFUNCTION("IMPORTRANGE(""https://docs.google.com/spreadsheets/d/11923uPwbBZFjjGgGUA6NLw09EwE0CqkOc4q9oUmW1yo/edit?usp=sharing"",""เพชรบูรณ์!I523"")"),20013464.24)</f>
        <v>20013464.239999998</v>
      </c>
      <c r="J628" s="342">
        <f ca="1">IFERROR(__xludf.DUMMYFUNCTION("IMPORTRANGE(""https://docs.google.com/spreadsheets/d/11923uPwbBZFjjGgGUA6NLw09EwE0CqkOc4q9oUmW1yo/edit?usp=sharing"",""เพชรบูรณ์!J523"")"),7563543.62)</f>
        <v>7563543.6200000001</v>
      </c>
      <c r="K628" s="343">
        <f t="shared" ref="K628:K635" ca="1" si="129">IF(I628&gt;0,J628*100/I628,0)</f>
        <v>37.792275886365992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IFERROR(__xludf.DUMMYFUNCTION("IMPORTRANGE(""https://docs.google.com/spreadsheets/d/11923uPwbBZFjjGgGUA6NLw09EwE0CqkOc4q9oUmW1yo/edit?usp=sharing"",""เพชรบูรณ์!I524"")"),654)</f>
        <v>654</v>
      </c>
      <c r="J629" s="342">
        <f ca="1">IFERROR(__xludf.DUMMYFUNCTION("IMPORTRANGE(""https://docs.google.com/spreadsheets/d/11923uPwbBZFjjGgGUA6NLw09EwE0CqkOc4q9oUmW1yo/edit?usp=sharing"",""เพชรบูรณ์!J524"")"),221)</f>
        <v>221</v>
      </c>
      <c r="K629" s="343">
        <f t="shared" ca="1" si="129"/>
        <v>33.792048929663608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42">
        <f ca="1">IFERROR(__xludf.DUMMYFUNCTION("IMPORTRANGE(""https://docs.google.com/spreadsheets/d/11923uPwbBZFjjGgGUA6NLw09EwE0CqkOc4q9oUmW1yo/edit?usp=sharing"",""เพชรบูรณ์!J525"")"),723971.44)</f>
        <v>723971.44</v>
      </c>
      <c r="K630" s="343">
        <f t="shared" ca="1" si="129"/>
        <v>2.5832159082771917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IFERROR(__xludf.DUMMYFUNCTION("IMPORTRANGE(""https://docs.google.com/spreadsheets/d/11923uPwbBZFjjGgGUA6NLw09EwE0CqkOc4q9oUmW1yo/edit?usp=sharing"",""เพชรบูรณ์!I526"")"),1029)</f>
        <v>1029</v>
      </c>
      <c r="J631" s="342">
        <f ca="1">IFERROR(__xludf.DUMMYFUNCTION("IMPORTRANGE(""https://docs.google.com/spreadsheets/d/11923uPwbBZFjjGgGUA6NLw09EwE0CqkOc4q9oUmW1yo/edit?usp=sharing"",""เพชรบูรณ์!J526"")"),214)</f>
        <v>214</v>
      </c>
      <c r="K631" s="343">
        <f t="shared" ca="1" si="129"/>
        <v>20.796890184645285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42">
        <f ca="1">IFERROR(__xludf.DUMMYFUNCTION("IMPORTRANGE(""https://docs.google.com/spreadsheets/d/11923uPwbBZFjjGgGUA6NLw09EwE0CqkOc4q9oUmW1yo/edit?usp=sharing"",""เพชรบูรณ์!J527"")"),314253.53)</f>
        <v>314253.53000000003</v>
      </c>
      <c r="K632" s="343">
        <f t="shared" ca="1" si="129"/>
        <v>11.893100840690677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IFERROR(__xludf.DUMMYFUNCTION("IMPORTRANGE(""https://docs.google.com/spreadsheets/d/11923uPwbBZFjjGgGUA6NLw09EwE0CqkOc4q9oUmW1yo/edit?usp=sharing"",""เพชรบูรณ์!I528"")"),133)</f>
        <v>133</v>
      </c>
      <c r="J633" s="342">
        <f ca="1">IFERROR(__xludf.DUMMYFUNCTION("IMPORTRANGE(""https://docs.google.com/spreadsheets/d/11923uPwbBZFjjGgGUA6NLw09EwE0CqkOc4q9oUmW1yo/edit?usp=sharing"",""เพชรบูรณ์!J528"")"),64)</f>
        <v>64</v>
      </c>
      <c r="K633" s="343">
        <f t="shared" ca="1" si="129"/>
        <v>48.120300751879697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42">
        <f ca="1">IFERROR(__xludf.DUMMYFUNCTION("IMPORTRANGE(""https://docs.google.com/spreadsheets/d/11923uPwbBZFjjGgGUA6NLw09EwE0CqkOc4q9oUmW1yo/edit?usp=sharing"",""เพชรบูรณ์!J529"")"),4694000)</f>
        <v>4694000</v>
      </c>
      <c r="K634" s="343">
        <f t="shared" ca="1" si="129"/>
        <v>39.116666666666667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IFERROR(__xludf.DUMMYFUNCTION("IMPORTRANGE(""https://docs.google.com/spreadsheets/d/11923uPwbBZFjjGgGUA6NLw09EwE0CqkOc4q9oUmW1yo/edit?usp=sharing"",""เพชรบูรณ์!I530"")"),300)</f>
        <v>300</v>
      </c>
      <c r="J635" s="506">
        <f ca="1">IFERROR(__xludf.DUMMYFUNCTION("IMPORTRANGE(""https://docs.google.com/spreadsheets/d/11923uPwbBZFjjGgGUA6NLw09EwE0CqkOc4q9oUmW1yo/edit?usp=sharing"",""เพชรบูรณ์!J530"")"),138)</f>
        <v>138</v>
      </c>
      <c r="K635" s="488">
        <f t="shared" ca="1" si="129"/>
        <v>46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3880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3880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3880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IFERROR(__xludf.DUMMYFUNCTION("IMPORTRANGE(""https://docs.google.com/spreadsheets/d/11923uPwbBZFjjGgGUA6NLw09EwE0CqkOc4q9oUmW1yo/edit?usp=sharing"",""เพชรบูรณ์!J541"")"),0)</f>
        <v>0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IFERROR(__xludf.DUMMYFUNCTION("IMPORTRANGE(""https://docs.google.com/spreadsheets/d/11923uPwbBZFjjGgGUA6NLw09EwE0CqkOc4q9oUmW1yo/edit?usp=sharing"",""เพชรบูรณ์!J542"")"),0)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IFERROR(__xludf.DUMMYFUNCTION("IMPORTRANGE(""https://docs.google.com/spreadsheets/d/11923uPwbBZFjjGgGUA6NLw09EwE0CqkOc4q9oUmW1yo/edit?usp=sharing"",""เพชรบูรณ์!I543"")"),38)</f>
        <v>38</v>
      </c>
      <c r="J648" s="537">
        <f ca="1">IFERROR(__xludf.DUMMYFUNCTION("IMPORTRANGE(""https://docs.google.com/spreadsheets/d/11923uPwbBZFjjGgGUA6NLw09EwE0CqkOc4q9oUmW1yo/edit?usp=sharing"",""เพชรบูรณ์!J543"")"),0)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IFERROR(__xludf.DUMMYFUNCTION("IMPORTRANGE(""https://docs.google.com/spreadsheets/d/11923uPwbBZFjjGgGUA6NLw09EwE0CqkOc4q9oUmW1yo/edit?usp=sharing"",""เพชรบูรณ์!L543"")"),3040)</f>
        <v>3040</v>
      </c>
      <c r="M648" s="522"/>
      <c r="N648" s="539">
        <f ca="1">IFERROR(__xludf.DUMMYFUNCTION("IMPORTRANGE(""https://docs.google.com/spreadsheets/d/11923uPwbBZFjjGgGUA6NLw09EwE0CqkOc4q9oUmW1yo/edit?usp=sharing"",""เพชรบูรณ์!M543"")"),0)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IFERROR(__xludf.DUMMYFUNCTION("IMPORTRANGE(""https://docs.google.com/spreadsheets/d/11923uPwbBZFjjGgGUA6NLw09EwE0CqkOc4q9oUmW1yo/edit?usp=sharing"",""เพชรบูรณ์!I544"")"),4)</f>
        <v>4</v>
      </c>
      <c r="J649" s="537">
        <f ca="1">IFERROR(__xludf.DUMMYFUNCTION("IMPORTRANGE(""https://docs.google.com/spreadsheets/d/11923uPwbBZFjjGgGUA6NLw09EwE0CqkOc4q9oUmW1yo/edit?usp=sharing"",""เพชรบูรณ์!J544"")"),0)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IFERROR(__xludf.DUMMYFUNCTION("IMPORTRANGE(""https://docs.google.com/spreadsheets/d/11923uPwbBZFjjGgGUA6NLw09EwE0CqkOc4q9oUmW1yo/edit?usp=sharing"",""เพชรบูรณ์!L544"")"),480)</f>
        <v>480</v>
      </c>
      <c r="M649" s="522"/>
      <c r="N649" s="539">
        <f ca="1">IFERROR(__xludf.DUMMYFUNCTION("IMPORTRANGE(""https://docs.google.com/spreadsheets/d/11923uPwbBZFjjGgGUA6NLw09EwE0CqkOc4q9oUmW1yo/edit?usp=sharing"",""เพชรบูรณ์!M544"")"),0)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IFERROR(__xludf.DUMMYFUNCTION("IMPORTRANGE(""https://docs.google.com/spreadsheets/d/11923uPwbBZFjjGgGUA6NLw09EwE0CqkOc4q9oUmW1yo/edit?usp=sharing"",""เพชรบูรณ์!I545"")"),0)</f>
        <v>0</v>
      </c>
      <c r="J650" s="537">
        <f ca="1">IFERROR(__xludf.DUMMYFUNCTION("IMPORTRANGE(""https://docs.google.com/spreadsheets/d/11923uPwbBZFjjGgGUA6NLw09EwE0CqkOc4q9oUmW1yo/edit?usp=sharing"",""เพชรบูรณ์!J545"")"),0)</f>
        <v>0</v>
      </c>
      <c r="K650" s="538">
        <f t="shared" ca="1" si="131"/>
        <v>0</v>
      </c>
      <c r="L650" s="523">
        <f ca="1">IFERROR(__xludf.DUMMYFUNCTION("IMPORTRANGE(""https://docs.google.com/spreadsheets/d/11923uPwbBZFjjGgGUA6NLw09EwE0CqkOc4q9oUmW1yo/edit?usp=sharing"",""เพชรบูรณ์!L545"")"),0)</f>
        <v>0</v>
      </c>
      <c r="M650" s="522"/>
      <c r="N650" s="539">
        <f ca="1">IFERROR(__xludf.DUMMYFUNCTION("IMPORTRANGE(""https://docs.google.com/spreadsheets/d/11923uPwbBZFjjGgGUA6NLw09EwE0CqkOc4q9oUmW1yo/edit?usp=sharing"",""เพชรบูรณ์!M545"")"),0)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IFERROR(__xludf.DUMMYFUNCTION("IMPORTRANGE(""https://docs.google.com/spreadsheets/d/11923uPwbBZFjjGgGUA6NLw09EwE0CqkOc4q9oUmW1yo/edit?usp=sharing"",""เพชรบูรณ์!I546"")"),0)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IFERROR(__xludf.DUMMYFUNCTION("IMPORTRANGE(""https://docs.google.com/spreadsheets/d/11923uPwbBZFjjGgGUA6NLw09EwE0CqkOc4q9oUmW1yo/edit?usp=sharing"",""เพชรบูรณ์!L546"")"),0)</f>
        <v>0</v>
      </c>
      <c r="M651" s="522"/>
      <c r="N651" s="539">
        <f ca="1">IFERROR(__xludf.DUMMYFUNCTION("IMPORTRANGE(""https://docs.google.com/spreadsheets/d/11923uPwbBZFjjGgGUA6NLw09EwE0CqkOc4q9oUmW1yo/edit?usp=sharing"",""เพชรบูรณ์!M546"")"),0)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IFERROR(__xludf.DUMMYFUNCTION("IMPORTRANGE(""https://docs.google.com/spreadsheets/d/11923uPwbBZFjjGgGUA6NLw09EwE0CqkOc4q9oUmW1yo/edit?usp=sharing"",""เพชรบูรณ์!J547"")"),0)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IFERROR(__xludf.DUMMYFUNCTION("IMPORTRANGE(""https://docs.google.com/spreadsheets/d/11923uPwbBZFjjGgGUA6NLw09EwE0CqkOc4q9oUmW1yo/edit?usp=sharing"",""เพชรบูรณ์!J548"")"),0)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IFERROR(__xludf.DUMMYFUNCTION("IMPORTRANGE(""https://docs.google.com/spreadsheets/d/11923uPwbBZFjjGgGUA6NLw09EwE0CqkOc4q9oUmW1yo/edit?usp=sharing"",""เพชรบูรณ์!J550"")"),0)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IFERROR(__xludf.DUMMYFUNCTION("IMPORTRANGE(""https://docs.google.com/spreadsheets/d/11923uPwbBZFjjGgGUA6NLw09EwE0CqkOc4q9oUmW1yo/edit?usp=sharing"",""เพชรบูรณ์!J551"")"),0)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IFERROR(__xludf.DUMMYFUNCTION("IMPORTRANGE(""https://docs.google.com/spreadsheets/d/11923uPwbBZFjjGgGUA6NLw09EwE0CqkOc4q9oUmW1yo/edit?usp=sharing"",""เพชรบูรณ์!J552"")"),0)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IFERROR(__xludf.DUMMYFUNCTION("IMPORTRANGE(""https://docs.google.com/spreadsheets/d/11923uPwbBZFjjGgGUA6NLw09EwE0CqkOc4q9oUmW1yo/edit?usp=sharing"",""เพชรบูรณ์!J553"")"),0)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IFERROR(__xludf.DUMMYFUNCTION("IMPORTRANGE(""https://docs.google.com/spreadsheets/d/11923uPwbBZFjjGgGUA6NLw09EwE0CqkOc4q9oUmW1yo/edit?usp=sharing"",""เพชรบูรณ์!J554"")"),0)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IFERROR(__xludf.DUMMYFUNCTION("IMPORTRANGE(""https://docs.google.com/spreadsheets/d/11923uPwbBZFjjGgGUA6NLw09EwE0CqkOc4q9oUmW1yo/edit?usp=sharing"",""เพชรบูรณ์!J555"")"),0)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IFERROR(__xludf.DUMMYFUNCTION("IMPORTRANGE(""https://docs.google.com/spreadsheets/d/11923uPwbBZFjjGgGUA6NLw09EwE0CqkOc4q9oUmW1yo/edit?usp=sharing"",""เพชรบูรณ์!J556"")"),0)</f>
        <v>0</v>
      </c>
      <c r="K661" s="538"/>
      <c r="L661" s="523">
        <f ca="1">IFERROR(__xludf.DUMMYFUNCTION("IMPORTRANGE(""https://docs.google.com/spreadsheets/d/11923uPwbBZFjjGgGUA6NLw09EwE0CqkOc4q9oUmW1yo/edit?usp=sharing"",""เพชรบูรณ์!L556"")"),0)</f>
        <v>0</v>
      </c>
      <c r="M661" s="522"/>
      <c r="N661" s="539">
        <f ca="1">IFERROR(__xludf.DUMMYFUNCTION("IMPORTRANGE(""https://docs.google.com/spreadsheets/d/11923uPwbBZFjjGgGUA6NLw09EwE0CqkOc4q9oUmW1yo/edit?usp=sharing"",""เพชรบูรณ์!M556"")"),0)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IFERROR(__xludf.DUMMYFUNCTION("IMPORTRANGE(""https://docs.google.com/spreadsheets/d/11923uPwbBZFjjGgGUA6NLw09EwE0CqkOc4q9oUmW1yo/edit?usp=sharing"",""เพชรบูรณ์!J557"")"),0)</f>
        <v>0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IFERROR(__xludf.DUMMYFUNCTION("IMPORTRANGE(""https://docs.google.com/spreadsheets/d/11923uPwbBZFjjGgGUA6NLw09EwE0CqkOc4q9oUmW1yo/edit?usp=sharing"",""เพชรบูรณ์!I558"")"),0)</f>
        <v>0</v>
      </c>
      <c r="J663" s="537">
        <f ca="1">IFERROR(__xludf.DUMMYFUNCTION("IMPORTRANGE(""https://docs.google.com/spreadsheets/d/11923uPwbBZFjjGgGUA6NLw09EwE0CqkOc4q9oUmW1yo/edit?usp=sharing"",""เพชรบูรณ์!J558"")"),0)</f>
        <v>0</v>
      </c>
      <c r="K663" s="538">
        <f ca="1">IF(I663&gt;0,J663*100/I663,0)</f>
        <v>0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IFERROR(__xludf.DUMMYFUNCTION("IMPORTRANGE(""https://docs.google.com/spreadsheets/d/11923uPwbBZFjjGgGUA6NLw09EwE0CqkOc4q9oUmW1yo/edit?usp=sharing"",""เพชรบูรณ์!I560"")"),3)</f>
        <v>3</v>
      </c>
      <c r="J665" s="537">
        <f ca="1">IFERROR(__xludf.DUMMYFUNCTION("IMPORTRANGE(""https://docs.google.com/spreadsheets/d/11923uPwbBZFjjGgGUA6NLw09EwE0CqkOc4q9oUmW1yo/edit?usp=sharing"",""เพชรบูรณ์!J560"")"),0)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IFERROR(__xludf.DUMMYFUNCTION("IMPORTRANGE(""https://docs.google.com/spreadsheets/d/11923uPwbBZFjjGgGUA6NLw09EwE0CqkOc4q9oUmW1yo/edit?usp=sharing"",""เพชรบูรณ์!L560"")"),360)</f>
        <v>360</v>
      </c>
      <c r="M665" s="522"/>
      <c r="N665" s="539">
        <f ca="1">IFERROR(__xludf.DUMMYFUNCTION("IMPORTRANGE(""https://docs.google.com/spreadsheets/d/11923uPwbBZFjjGgGUA6NLw09EwE0CqkOc4q9oUmW1yo/edit?usp=sharing"",""เพชรบูรณ์!M560"")"),0)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IFERROR(__xludf.DUMMYFUNCTION("IMPORTRANGE(""https://docs.google.com/spreadsheets/d/11923uPwbBZFjjGgGUA6NLw09EwE0CqkOc4q9oUmW1yo/edit?usp=sharing"",""เพชรบูรณ์!J561"")"),0)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IFERROR(__xludf.DUMMYFUNCTION("IMPORTRANGE(""https://docs.google.com/spreadsheets/d/11923uPwbBZFjjGgGUA6NLw09EwE0CqkOc4q9oUmW1yo/edit?usp=sharing"",""เพชรบูรณ์!J562"")"),0)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IFERROR(__xludf.DUMMYFUNCTION("IMPORTRANGE(""https://docs.google.com/spreadsheets/d/11923uPwbBZFjjGgGUA6NLw09EwE0CqkOc4q9oUmW1yo/edit?usp=sharing"",""เพชรบูรณ์!I563"")"),0)</f>
        <v>0</v>
      </c>
      <c r="J668" s="537">
        <f ca="1">IFERROR(__xludf.DUMMYFUNCTION("IMPORTRANGE(""https://docs.google.com/spreadsheets/d/11923uPwbBZFjjGgGUA6NLw09EwE0CqkOc4q9oUmW1yo/edit?usp=sharing"",""เพชรบูรณ์!J563"")"),0)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IFERROR(__xludf.DUMMYFUNCTION("IMPORTRANGE(""https://docs.google.com/spreadsheets/d/11923uPwbBZFjjGgGUA6NLw09EwE0CqkOc4q9oUmW1yo/edit?usp=sharing"",""เพชรบูรณ์!L563"")"),0)</f>
        <v>0</v>
      </c>
      <c r="M668" s="522"/>
      <c r="N668" s="539">
        <f ca="1">IFERROR(__xludf.DUMMYFUNCTION("IMPORTRANGE(""https://docs.google.com/spreadsheets/d/11923uPwbBZFjjGgGUA6NLw09EwE0CqkOc4q9oUmW1yo/edit?usp=sharing"",""เพชรบูรณ์!M563"")"),0)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IFERROR(__xludf.DUMMYFUNCTION("IMPORTRANGE(""https://docs.google.com/spreadsheets/d/11923uPwbBZFjjGgGUA6NLw09EwE0CqkOc4q9oUmW1yo/edit?usp=sharing"",""เพชรบูรณ์!J564"")"),0)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IFERROR(__xludf.DUMMYFUNCTION("IMPORTRANGE(""https://docs.google.com/spreadsheets/d/11923uPwbBZFjjGgGUA6NLw09EwE0CqkOc4q9oUmW1yo/edit?usp=sharing"",""เพชรบูรณ์!J565"")"),0)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IFERROR(__xludf.DUMMYFUNCTION("IMPORTRANGE(""https://docs.google.com/spreadsheets/d/11923uPwbBZFjjGgGUA6NLw09EwE0CqkOc4q9oUmW1yo/edit?usp=sharing"",""เพชรบูรณ์!I566"")"),0)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IFERROR(__xludf.DUMMYFUNCTION("IMPORTRANGE(""https://docs.google.com/spreadsheets/d/11923uPwbBZFjjGgGUA6NLw09EwE0CqkOc4q9oUmW1yo/edit?usp=sharing"",""เพชรบูรณ์!L566"")"),0)</f>
        <v>0</v>
      </c>
      <c r="M671" s="522"/>
      <c r="N671" s="539">
        <f ca="1">IFERROR(__xludf.DUMMYFUNCTION("IMPORTRANGE(""https://docs.google.com/spreadsheets/d/11923uPwbBZFjjGgGUA6NLw09EwE0CqkOc4q9oUmW1yo/edit?usp=sharing"",""เพชรบูรณ์!M566"")"),0)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IFERROR(__xludf.DUMMYFUNCTION("IMPORTRANGE(""https://docs.google.com/spreadsheets/d/11923uPwbBZFjjGgGUA6NLw09EwE0CqkOc4q9oUmW1yo/edit?usp=sharing"",""เพชรบูรณ์!J567"")"),0)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IFERROR(__xludf.DUMMYFUNCTION("IMPORTRANGE(""https://docs.google.com/spreadsheets/d/11923uPwbBZFjjGgGUA6NLw09EwE0CqkOc4q9oUmW1yo/edit?usp=sharing"",""เพชรบูรณ์!J568"")"),0)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IFERROR(__xludf.DUMMYFUNCTION("IMPORTRANGE(""https://docs.google.com/spreadsheets/d/11923uPwbBZFjjGgGUA6NLw09EwE0CqkOc4q9oUmW1yo/edit?usp=sharing"",""เพชรบูรณ์!J569"")"),0)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IFERROR(__xludf.DUMMYFUNCTION("IMPORTRANGE(""https://docs.google.com/spreadsheets/d/11923uPwbBZFjjGgGUA6NLw09EwE0CqkOc4q9oUmW1yo/edit?usp=sharing"",""เพชรบูรณ์!J570"")"),0)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IFERROR(__xludf.DUMMYFUNCTION("IMPORTRANGE(""https://docs.google.com/spreadsheets/d/11923uPwbBZFjjGgGUA6NLw09EwE0CqkOc4q9oUmW1yo/edit?usp=sharing"",""เพชรบูรณ์!J571"")"),0)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IFERROR(__xludf.DUMMYFUNCTION("IMPORTRANGE(""https://docs.google.com/spreadsheets/d/11923uPwbBZFjjGgGUA6NLw09EwE0CqkOc4q9oUmW1yo/edit?usp=sharing"",""เพชรบูรณ์!J572"")"),0)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280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15031639.24</v>
      </c>
      <c r="M8" s="25">
        <f t="shared" ca="1" si="0"/>
        <v>12548599.24</v>
      </c>
      <c r="N8" s="25">
        <f t="shared" ca="1" si="0"/>
        <v>12935788.030000001</v>
      </c>
      <c r="O8" s="24">
        <f t="shared" ref="O8:O16" ca="1" si="1">IF(L8&gt;0,N8*100/L8,0)</f>
        <v>86.05706818440116</v>
      </c>
      <c r="P8" s="24">
        <f t="shared" ref="P8:P16" ca="1" si="2">IF(M8&gt;0,N8*100/M8,0)</f>
        <v>103.08551402905429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15031639.24</v>
      </c>
      <c r="M10" s="32">
        <f t="shared" ca="1" si="4"/>
        <v>12548599.24</v>
      </c>
      <c r="N10" s="32">
        <f t="shared" ca="1" si="4"/>
        <v>12935788.030000001</v>
      </c>
      <c r="O10" s="31">
        <f t="shared" ca="1" si="1"/>
        <v>86.05706818440116</v>
      </c>
      <c r="P10" s="31">
        <f t="shared" ca="1" si="2"/>
        <v>103.08551402905429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4665965</v>
      </c>
      <c r="M12" s="41">
        <f t="shared" ca="1" si="6"/>
        <v>2182925</v>
      </c>
      <c r="N12" s="41">
        <f t="shared" ca="1" si="6"/>
        <v>2570113.79</v>
      </c>
      <c r="O12" s="41">
        <f t="shared" ca="1" si="1"/>
        <v>55.08214892310594</v>
      </c>
      <c r="P12" s="41">
        <f t="shared" ca="1" si="2"/>
        <v>117.73715496409633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1871100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2794865</v>
      </c>
      <c r="M14" s="41">
        <f t="shared" si="8"/>
        <v>0</v>
      </c>
      <c r="N14" s="41">
        <f t="shared" ca="1" si="8"/>
        <v>781319.85</v>
      </c>
      <c r="O14" s="41">
        <f t="shared" ca="1" si="1"/>
        <v>27.955548836884788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10365674.24</v>
      </c>
      <c r="M16" s="41">
        <f t="shared" ca="1" si="10"/>
        <v>10365674.24</v>
      </c>
      <c r="N16" s="41">
        <f t="shared" ca="1" si="10"/>
        <v>10365674.24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13166179.24</v>
      </c>
      <c r="M18" s="25">
        <f t="shared" ca="1" si="11"/>
        <v>12548599.24</v>
      </c>
      <c r="N18" s="25">
        <f t="shared" ca="1" si="11"/>
        <v>12154468.18</v>
      </c>
      <c r="O18" s="24">
        <f t="shared" ref="O18:O20" ca="1" si="12">IF(L18&gt;0,N18*100/L18,0)</f>
        <v>92.315834065768044</v>
      </c>
      <c r="P18" s="24">
        <f t="shared" ref="P18:P26" ca="1" si="13">IF(M18&gt;0,N18*100/M18,0)</f>
        <v>96.859162903667638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13166179.24</v>
      </c>
      <c r="M20" s="32">
        <f t="shared" ca="1" si="15"/>
        <v>12548599.24</v>
      </c>
      <c r="N20" s="32">
        <f t="shared" ca="1" si="15"/>
        <v>12154468.18</v>
      </c>
      <c r="O20" s="31">
        <f t="shared" ca="1" si="12"/>
        <v>92.315834065768044</v>
      </c>
      <c r="P20" s="31">
        <f t="shared" ca="1" si="13"/>
        <v>96.859162903667638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2800505</v>
      </c>
      <c r="M22" s="44">
        <f t="shared" ca="1" si="18"/>
        <v>2182925</v>
      </c>
      <c r="N22" s="41">
        <f t="shared" ca="1" si="18"/>
        <v>1788793.94</v>
      </c>
      <c r="O22" s="41">
        <f t="shared" ca="1" si="17"/>
        <v>63.87397772901673</v>
      </c>
      <c r="P22" s="41">
        <f t="shared" ca="1" si="13"/>
        <v>81.944818992865081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1871100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929405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10365674.24</v>
      </c>
      <c r="M26" s="52">
        <f t="shared" ca="1" si="22"/>
        <v>10365674.24</v>
      </c>
      <c r="N26" s="52">
        <f t="shared" ca="1" si="22"/>
        <v>10365674.24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1865460</v>
      </c>
      <c r="M28" s="25">
        <f t="shared" si="23"/>
        <v>0</v>
      </c>
      <c r="N28" s="25">
        <f t="shared" ca="1" si="23"/>
        <v>781319.85</v>
      </c>
      <c r="O28" s="24">
        <f t="shared" ref="O28:O30" ca="1" si="24">IF(L28&gt;0,N28*100/L28,0)</f>
        <v>41.883495223698176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1865460</v>
      </c>
      <c r="M30" s="32">
        <f t="shared" si="27"/>
        <v>0</v>
      </c>
      <c r="N30" s="32">
        <f t="shared" ca="1" si="27"/>
        <v>781319.85</v>
      </c>
      <c r="O30" s="31">
        <f t="shared" ca="1" si="24"/>
        <v>41.883495223698176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1865460</v>
      </c>
      <c r="M32" s="41">
        <f t="shared" si="30"/>
        <v>0</v>
      </c>
      <c r="N32" s="41">
        <f t="shared" ca="1" si="30"/>
        <v>781319.85</v>
      </c>
      <c r="O32" s="41">
        <f t="shared" ca="1" si="29"/>
        <v>41.883495223698176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1865460</v>
      </c>
      <c r="M34" s="41">
        <f t="shared" si="32"/>
        <v>0</v>
      </c>
      <c r="N34" s="41">
        <f t="shared" ca="1" si="32"/>
        <v>781319.85</v>
      </c>
      <c r="O34" s="41">
        <f t="shared" ca="1" si="29"/>
        <v>41.883495223698176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13166179.24</v>
      </c>
      <c r="M37" s="57">
        <f t="shared" ca="1" si="33"/>
        <v>12548599.24</v>
      </c>
      <c r="N37" s="57">
        <f t="shared" ca="1" si="33"/>
        <v>12154468.18</v>
      </c>
      <c r="O37" s="58">
        <f t="shared" ca="1" si="29"/>
        <v>92.315834065768044</v>
      </c>
      <c r="P37" s="58">
        <f t="shared" ca="1" si="25"/>
        <v>96.859162903667638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7765700</v>
      </c>
      <c r="M41" s="81">
        <f t="shared" ca="1" si="34"/>
        <v>7613100</v>
      </c>
      <c r="N41" s="81">
        <f t="shared" ca="1" si="34"/>
        <v>7562050.3499999996</v>
      </c>
      <c r="O41" s="80">
        <f t="shared" ref="O41:O43" ca="1" si="35">IF(L41&gt;0,N41*100/L41,0)</f>
        <v>97.377575105914474</v>
      </c>
      <c r="P41" s="80">
        <f t="shared" ref="P41:P43" ca="1" si="36">IF(M41&gt;0,N41*100/M41,0)</f>
        <v>99.32944989557474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7765700</v>
      </c>
      <c r="M43" s="81">
        <f t="shared" ca="1" si="38"/>
        <v>7613100</v>
      </c>
      <c r="N43" s="81">
        <f t="shared" ca="1" si="38"/>
        <v>7562050.3499999996</v>
      </c>
      <c r="O43" s="80">
        <f t="shared" ca="1" si="35"/>
        <v>97.377575105914474</v>
      </c>
      <c r="P43" s="80">
        <f t="shared" ca="1" si="36"/>
        <v>99.32944989557474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610700</v>
      </c>
      <c r="M45" s="52">
        <f ca="1">IFERROR(__xludf.DUMMYFUNCTION("IMPORTRANGE(""https://docs.google.com/spreadsheets/d/1Yj_ptqi66GCucihVvJfMjLAmec39IyEx_6qawtMGysU/edit?usp=sharing"",""สบก!Q30"")"),458100)</f>
        <v>458100</v>
      </c>
      <c r="N45" s="52">
        <f ca="1">IFERROR(__xludf.DUMMYFUNCTION("IMPORTRANGE(""https://docs.google.com/spreadsheets/d/1Yj_ptqi66GCucihVvJfMjLAmec39IyEx_6qawtMGysU/edit?usp=sharing"",""สบก!R30"")"),407050.35)</f>
        <v>407050.35</v>
      </c>
      <c r="O45" s="41">
        <f ca="1">IF(L45&gt;0,N45*100/L45,0)</f>
        <v>66.653078434583264</v>
      </c>
      <c r="P45" s="41">
        <f ca="1">IF(M45&gt;0,N45*100/M45,0)</f>
        <v>88.856221349050429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IFERROR(__xludf.DUMMYFUNCTION("IMPORTRANGE(""https://docs.google.com/spreadsheets/d/1Yj_ptqi66GCucihVvJfMjLAmec39IyEx_6qawtMGysU/edit?usp=sharing"",""สบก!M30"")"),610700)</f>
        <v>610700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IFERROR(__xludf.DUMMYFUNCTION("IMPORTRANGE(""https://docs.google.com/spreadsheets/d/1Yj_ptqi66GCucihVvJfMjLAmec39IyEx_6qawtMGysU/edit?usp=sharing"",""สบก!N30"")"),0)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IFERROR(__xludf.DUMMYFUNCTION("IMPORTRANGE(""https://docs.google.com/spreadsheets/d/1Yj_ptqi66GCucihVvJfMjLAmec39IyEx_6qawtMGysU/edit?usp=sharing"",""สบก!O30"")"),7155000)</f>
        <v>7155000</v>
      </c>
      <c r="M49" s="52">
        <f ca="1">L49</f>
        <v>7155000</v>
      </c>
      <c r="N49" s="52">
        <f ca="1">IFERROR(__xludf.DUMMYFUNCTION("IMPORTRANGE(""https://docs.google.com/spreadsheets/d/1Yj_ptqi66GCucihVvJfMjLAmec39IyEx_6qawtMGysU/edit?usp=sharing"",""สบก!S30"")"),7155000)</f>
        <v>7155000</v>
      </c>
      <c r="O49" s="52">
        <f ca="1">IF(L49&gt;0,N49*100/L49,0)</f>
        <v>100</v>
      </c>
      <c r="P49" s="54">
        <f ca="1">IF(M49&gt;0,N49*100/M49,0)</f>
        <v>100</v>
      </c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637200</v>
      </c>
      <c r="M53" s="123">
        <f t="shared" ca="1" si="39"/>
        <v>477900</v>
      </c>
      <c r="N53" s="123">
        <f t="shared" ca="1" si="39"/>
        <v>397700</v>
      </c>
      <c r="O53" s="122">
        <f t="shared" ref="O53:O55" ca="1" si="40">IF(L53&gt;0,N53*100/L53,0)</f>
        <v>62.413684871311993</v>
      </c>
      <c r="P53" s="122">
        <f t="shared" ref="P53:P55" ca="1" si="41">IF(M53&gt;0,N53*100/M53,0)</f>
        <v>83.218246495082653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637200</v>
      </c>
      <c r="M55" s="123">
        <f t="shared" ca="1" si="43"/>
        <v>477900</v>
      </c>
      <c r="N55" s="123">
        <f t="shared" ca="1" si="43"/>
        <v>397700</v>
      </c>
      <c r="O55" s="122">
        <f t="shared" ca="1" si="40"/>
        <v>62.413684871311993</v>
      </c>
      <c r="P55" s="122">
        <f t="shared" ca="1" si="41"/>
        <v>83.218246495082653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637200</v>
      </c>
      <c r="M57" s="52">
        <f ca="1">IFERROR(__xludf.DUMMYFUNCTION("IMPORTRANGE(""https://docs.google.com/spreadsheets/d/1Yj_ptqi66GCucihVvJfMjLAmec39IyEx_6qawtMGysU/edit?usp=sharing"",""สบก!Z30"")"),477900)</f>
        <v>477900</v>
      </c>
      <c r="N57" s="52">
        <f ca="1">IFERROR(__xludf.DUMMYFUNCTION("IMPORTRANGE(""https://docs.google.com/spreadsheets/d/1Yj_ptqi66GCucihVvJfMjLAmec39IyEx_6qawtMGysU/edit?usp=sharing"",""สบก!AA30"")"),397700)</f>
        <v>397700</v>
      </c>
      <c r="O57" s="41">
        <f ca="1">IF(L57&gt;0,N57*100/L57,0)</f>
        <v>62.413684871311993</v>
      </c>
      <c r="P57" s="41">
        <f ca="1">IF(M57&gt;0,N57*100/M57,0)</f>
        <v>83.218246495082653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IFERROR(__xludf.DUMMYFUNCTION("IMPORTRANGE(""https://docs.google.com/spreadsheets/d/1Yj_ptqi66GCucihVvJfMjLAmec39IyEx_6qawtMGysU/edit?usp=sharing"",""สบก!V30"")"),637200)</f>
        <v>637200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IFERROR(__xludf.DUMMYFUNCTION("IMPORTRANGE(""https://docs.google.com/spreadsheets/d/1Yj_ptqi66GCucihVvJfMjLAmec39IyEx_6qawtMGysU/edit?usp=sharing"",""สบก!W30"")"),0)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IFERROR(__xludf.DUMMYFUNCTION("IMPORTRANGE(""https://docs.google.com/spreadsheets/d/1Yj_ptqi66GCucihVvJfMjLAmec39IyEx_6qawtMGysU/edit?usp=sharing"",""สบก!X30"")"),0)</f>
        <v>0</v>
      </c>
      <c r="M61" s="52"/>
      <c r="N61" s="52">
        <f ca="1">IFERROR(__xludf.DUMMYFUNCTION("IMPORTRANGE(""https://docs.google.com/spreadsheets/d/1Yj_ptqi66GCucihVvJfMjLAmec39IyEx_6qawtMGysU/edit?usp=sharing"",""สบก!AB30"")"),0)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IFERROR(__xludf.DUMMYFUNCTION("IMPORTRANGE(""https://docs.google.com/spreadsheets/d/11923uPwbBZFjjGgGUA6NLw09EwE0CqkOc4q9oUmW1yo/edit?usp=sharing"",""แพร่!I9"")"),0)</f>
        <v>0</v>
      </c>
      <c r="J64" s="144">
        <f ca="1">IFERROR(__xludf.DUMMYFUNCTION("IMPORTRANGE(""https://docs.google.com/spreadsheets/d/11923uPwbBZFjjGgGUA6NLw09EwE0CqkOc4q9oUmW1yo/edit?usp=sharing"",""แพร่!J9"")"),0)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IFERROR(__xludf.DUMMYFUNCTION("IMPORTRANGE(""https://docs.google.com/spreadsheets/d/11923uPwbBZFjjGgGUA6NLw09EwE0CqkOc4q9oUmW1yo/edit?usp=sharing"",""แพร่!I10"")"),0)</f>
        <v>0</v>
      </c>
      <c r="J65" s="144">
        <f ca="1">IFERROR(__xludf.DUMMYFUNCTION("IMPORTRANGE(""https://docs.google.com/spreadsheets/d/11923uPwbBZFjjGgGUA6NLw09EwE0CqkOc4q9oUmW1yo/edit?usp=sharing"",""แพร่!J10"")"),0)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3015874.24</v>
      </c>
      <c r="M66" s="154">
        <f t="shared" ca="1" si="45"/>
        <v>3015874.24</v>
      </c>
      <c r="N66" s="154">
        <f t="shared" ca="1" si="45"/>
        <v>3015874.24</v>
      </c>
      <c r="O66" s="153">
        <f t="shared" ref="O66:O68" ca="1" si="46">IF(L66&gt;0,N66*100/L66,0)</f>
        <v>99.999999999999986</v>
      </c>
      <c r="P66" s="153">
        <f t="shared" ref="P66:P68" ca="1" si="47">IF(M66&gt;0,N66*100/M66,0)</f>
        <v>99.999999999999986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3015874.24</v>
      </c>
      <c r="M68" s="90">
        <f t="shared" ca="1" si="49"/>
        <v>3015874.24</v>
      </c>
      <c r="N68" s="90">
        <f t="shared" ca="1" si="49"/>
        <v>3015874.24</v>
      </c>
      <c r="O68" s="158">
        <f t="shared" ca="1" si="46"/>
        <v>99.999999999999986</v>
      </c>
      <c r="P68" s="158">
        <f t="shared" ca="1" si="47"/>
        <v>99.999999999999986</v>
      </c>
    </row>
    <row r="69" spans="1:16" ht="21.75" customHeight="1">
      <c r="A69" s="159"/>
      <c r="B69" s="160"/>
      <c r="C69" s="160" t="s">
        <v>16</v>
      </c>
      <c r="D69" s="570" t="s">
        <v>20</v>
      </c>
      <c r="E69" s="565"/>
      <c r="F69" s="565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IFERROR(__xludf.DUMMYFUNCTION("IMPORTRANGE(""https://docs.google.com/spreadsheets/d/1Yj_ptqi66GCucihVvJfMjLAmec39IyEx_6qawtMGysU/edit?usp=sharing"",""สบก!AI30"")"),0)</f>
        <v>0</v>
      </c>
      <c r="N70" s="170">
        <f ca="1">IFERROR(__xludf.DUMMYFUNCTION("IMPORTRANGE(""https://docs.google.com/spreadsheets/d/1Yj_ptqi66GCucihVvJfMjLAmec39IyEx_6qawtMGysU/edit?usp=sharing"",""สบก!AJ30"")"),0)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IFERROR(__xludf.DUMMYFUNCTION("IMPORTRANGE(""https://docs.google.com/spreadsheets/d/1Yj_ptqi66GCucihVvJfMjLAmec39IyEx_6qawtMGysU/edit?usp=sharing"",""สบก!AE30"")"),0)</f>
        <v>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IFERROR(__xludf.DUMMYFUNCTION("IMPORTRANGE(""https://docs.google.com/spreadsheets/d/1Yj_ptqi66GCucihVvJfMjLAmec39IyEx_6qawtMGysU/edit?usp=sharing"",""สบก!AF30"")"),0)</f>
        <v>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IFERROR(__xludf.DUMMYFUNCTION("IMPORTRANGE(""https://docs.google.com/spreadsheets/d/1Yj_ptqi66GCucihVvJfMjLAmec39IyEx_6qawtMGysU/edit?usp=sharing"",""สบก!AG30"")"),3015874.24)</f>
        <v>3015874.24</v>
      </c>
      <c r="M74" s="52">
        <f ca="1">L74</f>
        <v>3015874.24</v>
      </c>
      <c r="N74" s="52">
        <f ca="1">IFERROR(__xludf.DUMMYFUNCTION("IMPORTRANGE(""https://docs.google.com/spreadsheets/d/1Yj_ptqi66GCucihVvJfMjLAmec39IyEx_6qawtMGysU/edit?usp=sharing"",""สบก!AK30"")"),3015874.24)</f>
        <v>3015874.24</v>
      </c>
      <c r="O74" s="52">
        <f ca="1">IF(L74&gt;0,N74*100/L74,0)</f>
        <v>99.999999999999986</v>
      </c>
      <c r="P74" s="52">
        <f ca="1">IF(M74&gt;0,N74*100/M74,0)</f>
        <v>99.999999999999986</v>
      </c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IFERROR(__xludf.DUMMYFUNCTION("IMPORTRANGE(""https://docs.google.com/spreadsheets/d/11923uPwbBZFjjGgGUA6NLw09EwE0CqkOc4q9oUmW1yo/edit?usp=sharing"",""แพร่!J16"")"),0)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IFERROR(__xludf.DUMMYFUNCTION("IMPORTRANGE(""https://docs.google.com/spreadsheets/d/11923uPwbBZFjjGgGUA6NLw09EwE0CqkOc4q9oUmW1yo/edit?usp=sharing"",""แพร่!J17"")"),0)</f>
        <v>0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IFERROR(__xludf.DUMMYFUNCTION("IMPORTRANGE(""https://docs.google.com/spreadsheets/d/11923uPwbBZFjjGgGUA6NLw09EwE0CqkOc4q9oUmW1yo/edit?usp=sharing"",""แพร่!J18"")"),0)</f>
        <v>0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IFERROR(__xludf.DUMMYFUNCTION("IMPORTRANGE(""https://docs.google.com/spreadsheets/d/11923uPwbBZFjjGgGUA6NLw09EwE0CqkOc4q9oUmW1yo/edit?usp=sharing"",""แพร่!J19"")"),0)</f>
        <v>0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IFERROR(__xludf.DUMMYFUNCTION("IMPORTRANGE(""https://docs.google.com/spreadsheets/d/11923uPwbBZFjjGgGUA6NLw09EwE0CqkOc4q9oUmW1yo/edit?usp=sharing"",""แพร่!I20"")"),0)</f>
        <v>0</v>
      </c>
      <c r="J80" s="202">
        <f ca="1">IFERROR(__xludf.DUMMYFUNCTION("IMPORTRANGE(""https://docs.google.com/spreadsheets/d/11923uPwbBZFjjGgGUA6NLw09EwE0CqkOc4q9oUmW1yo/edit?usp=sharing"",""แพร่!J20"")"),0)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IFERROR(__xludf.DUMMYFUNCTION("IMPORTRANGE(""https://docs.google.com/spreadsheets/d/11923uPwbBZFjjGgGUA6NLw09EwE0CqkOc4q9oUmW1yo/edit?usp=sharing"",""แพร่!I21"")"),0)</f>
        <v>0</v>
      </c>
      <c r="J81" s="202">
        <f ca="1">IFERROR(__xludf.DUMMYFUNCTION("IMPORTRANGE(""https://docs.google.com/spreadsheets/d/11923uPwbBZFjjGgGUA6NLw09EwE0CqkOc4q9oUmW1yo/edit?usp=sharing"",""แพร่!J21"")"),0)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IFERROR(__xludf.DUMMYFUNCTION("IMPORTRANGE(""https://docs.google.com/spreadsheets/d/11923uPwbBZFjjGgGUA6NLw09EwE0CqkOc4q9oUmW1yo/edit?usp=sharing"",""แพร่!I22"")"),0)</f>
        <v>0</v>
      </c>
      <c r="J82" s="205">
        <f ca="1">IFERROR(__xludf.DUMMYFUNCTION("IMPORTRANGE(""https://docs.google.com/spreadsheets/d/11923uPwbBZFjjGgGUA6NLw09EwE0CqkOc4q9oUmW1yo/edit?usp=sharing"",""แพร่!J22"")"),0)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IFERROR(__xludf.DUMMYFUNCTION("IMPORTRANGE(""https://docs.google.com/spreadsheets/d/11923uPwbBZFjjGgGUA6NLw09EwE0CqkOc4q9oUmW1yo/edit?usp=sharing"",""แพร่!I23"")"),0)</f>
        <v>0</v>
      </c>
      <c r="J83" s="205">
        <f ca="1">IFERROR(__xludf.DUMMYFUNCTION("IMPORTRANGE(""https://docs.google.com/spreadsheets/d/11923uPwbBZFjjGgGUA6NLw09EwE0CqkOc4q9oUmW1yo/edit?usp=sharing"",""แพร่!J23"")"),0)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IFERROR(__xludf.DUMMYFUNCTION("IMPORTRANGE(""https://docs.google.com/spreadsheets/d/11923uPwbBZFjjGgGUA6NLw09EwE0CqkOc4q9oUmW1yo/edit?usp=sharing"",""แพร่!I24"")"),0)</f>
        <v>0</v>
      </c>
      <c r="J84" s="190">
        <f ca="1">IFERROR(__xludf.DUMMYFUNCTION("IMPORTRANGE(""https://docs.google.com/spreadsheets/d/11923uPwbBZFjjGgGUA6NLw09EwE0CqkOc4q9oUmW1yo/edit?usp=sharing"",""แพร่!J24"")"),0)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IFERROR(__xludf.DUMMYFUNCTION("IMPORTRANGE(""https://docs.google.com/spreadsheets/d/11923uPwbBZFjjGgGUA6NLw09EwE0CqkOc4q9oUmW1yo/edit?usp=sharing"",""แพร่!I25"")"),0)</f>
        <v>0</v>
      </c>
      <c r="J85" s="190">
        <f ca="1">IFERROR(__xludf.DUMMYFUNCTION("IMPORTRANGE(""https://docs.google.com/spreadsheets/d/11923uPwbBZFjjGgGUA6NLw09EwE0CqkOc4q9oUmW1yo/edit?usp=sharing"",""แพร่!J25"")"),0)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IFERROR(__xludf.DUMMYFUNCTION("IMPORTRANGE(""https://docs.google.com/spreadsheets/d/11923uPwbBZFjjGgGUA6NLw09EwE0CqkOc4q9oUmW1yo/edit?usp=sharing"",""แพร่!I26"")"),0)</f>
        <v>0</v>
      </c>
      <c r="J86" s="205">
        <f ca="1">IFERROR(__xludf.DUMMYFUNCTION("IMPORTRANGE(""https://docs.google.com/spreadsheets/d/11923uPwbBZFjjGgGUA6NLw09EwE0CqkOc4q9oUmW1yo/edit?usp=sharing"",""แพร่!J26"")"),0)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IFERROR(__xludf.DUMMYFUNCTION("IMPORTRANGE(""https://docs.google.com/spreadsheets/d/11923uPwbBZFjjGgGUA6NLw09EwE0CqkOc4q9oUmW1yo/edit?usp=sharing"",""แพร่!I27"")"),0)</f>
        <v>0</v>
      </c>
      <c r="J87" s="205">
        <f ca="1">IFERROR(__xludf.DUMMYFUNCTION("IMPORTRANGE(""https://docs.google.com/spreadsheets/d/11923uPwbBZFjjGgGUA6NLw09EwE0CqkOc4q9oUmW1yo/edit?usp=sharing"",""แพร่!J27"")"),0)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IFERROR(__xludf.DUMMYFUNCTION("IMPORTRANGE(""https://docs.google.com/spreadsheets/d/11923uPwbBZFjjGgGUA6NLw09EwE0CqkOc4q9oUmW1yo/edit?usp=sharing"",""แพร่!I28"")"),0)</f>
        <v>0</v>
      </c>
      <c r="J88" s="205">
        <f ca="1">IFERROR(__xludf.DUMMYFUNCTION("IMPORTRANGE(""https://docs.google.com/spreadsheets/d/11923uPwbBZFjjGgGUA6NLw09EwE0CqkOc4q9oUmW1yo/edit?usp=sharing"",""แพร่!J28"")"),0)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IFERROR(__xludf.DUMMYFUNCTION("IMPORTRANGE(""https://docs.google.com/spreadsheets/d/11923uPwbBZFjjGgGUA6NLw09EwE0CqkOc4q9oUmW1yo/edit?usp=sharing"",""แพร่!J29"")"),0)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IFERROR(__xludf.DUMMYFUNCTION("IMPORTRANGE(""https://docs.google.com/spreadsheets/d/11923uPwbBZFjjGgGUA6NLw09EwE0CqkOc4q9oUmW1yo/edit?usp=sharing"",""แพร่!J30"")"),0)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IFERROR(__xludf.DUMMYFUNCTION("IMPORTRANGE(""https://docs.google.com/spreadsheets/d/11923uPwbBZFjjGgGUA6NLw09EwE0CqkOc4q9oUmW1yo/edit?usp=sharing"",""แพร่!I32"")"),7)</f>
        <v>7</v>
      </c>
      <c r="J92" s="144">
        <f ca="1">IFERROR(__xludf.DUMMYFUNCTION("IMPORTRANGE(""https://docs.google.com/spreadsheets/d/11923uPwbBZFjjGgGUA6NLw09EwE0CqkOc4q9oUmW1yo/edit?usp=sharing"",""แพร่!J32"")"),0)</f>
        <v>0</v>
      </c>
      <c r="K92" s="145">
        <f t="shared" ref="K92:K93" ca="1" si="51">IF(I92&gt;0,J92*100/I92,0)</f>
        <v>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IFERROR(__xludf.DUMMYFUNCTION("IMPORTRANGE(""https://docs.google.com/spreadsheets/d/11923uPwbBZFjjGgGUA6NLw09EwE0CqkOc4q9oUmW1yo/edit?usp=sharing"",""แพร่!I33"")"),2)</f>
        <v>2</v>
      </c>
      <c r="J93" s="144">
        <f ca="1">IFERROR(__xludf.DUMMYFUNCTION("IMPORTRANGE(""https://docs.google.com/spreadsheets/d/11923uPwbBZFjjGgGUA6NLw09EwE0CqkOc4q9oUmW1yo/edit?usp=sharing"",""แพร่!J33"")"),2)</f>
        <v>2</v>
      </c>
      <c r="K93" s="145">
        <f t="shared" ca="1" si="51"/>
        <v>100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318960</v>
      </c>
      <c r="M94" s="154">
        <f t="shared" ca="1" si="52"/>
        <v>298915</v>
      </c>
      <c r="N94" s="154">
        <f t="shared" ca="1" si="52"/>
        <v>253285</v>
      </c>
      <c r="O94" s="153">
        <f t="shared" ref="O94:O96" ca="1" si="53">IF(L94&gt;0,N94*100/L94,0)</f>
        <v>79.40964384248808</v>
      </c>
      <c r="P94" s="153">
        <f t="shared" ref="P94:P96" ca="1" si="54">IF(M94&gt;0,N94*100/M94,0)</f>
        <v>84.734790826823684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318960</v>
      </c>
      <c r="M96" s="90">
        <f t="shared" ca="1" si="56"/>
        <v>298915</v>
      </c>
      <c r="N96" s="90">
        <f t="shared" ca="1" si="56"/>
        <v>253285</v>
      </c>
      <c r="O96" s="158">
        <f t="shared" ca="1" si="53"/>
        <v>79.40964384248808</v>
      </c>
      <c r="P96" s="158">
        <f t="shared" ca="1" si="54"/>
        <v>84.734790826823684</v>
      </c>
    </row>
    <row r="97" spans="1:16" ht="21.75" customHeight="1">
      <c r="A97" s="159"/>
      <c r="B97" s="160"/>
      <c r="C97" s="160" t="s">
        <v>16</v>
      </c>
      <c r="D97" s="570" t="s">
        <v>20</v>
      </c>
      <c r="E97" s="565"/>
      <c r="F97" s="565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134160</v>
      </c>
      <c r="M98" s="169">
        <f ca="1">IFERROR(__xludf.DUMMYFUNCTION("IMPORTRANGE(""https://docs.google.com/spreadsheets/d/1Yj_ptqi66GCucihVvJfMjLAmec39IyEx_6qawtMGysU/edit?usp=sharing"",""สบก!AR30"")"),114115)</f>
        <v>114115</v>
      </c>
      <c r="N98" s="170">
        <f ca="1">IFERROR(__xludf.DUMMYFUNCTION("IMPORTRANGE(""https://docs.google.com/spreadsheets/d/1Yj_ptqi66GCucihVvJfMjLAmec39IyEx_6qawtMGysU/edit?usp=sharing"",""สบก!AS30"")"),68485)</f>
        <v>68485</v>
      </c>
      <c r="O98" s="170">
        <f ca="1">IF(L98&gt;0,N98*100/L98,0)</f>
        <v>51.047257006559335</v>
      </c>
      <c r="P98" s="170">
        <f ca="1">IF(M98&gt;0,N98*100/M98,0)</f>
        <v>60.014020943784779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IFERROR(__xludf.DUMMYFUNCTION("IMPORTRANGE(""https://docs.google.com/spreadsheets/d/1Yj_ptqi66GCucihVvJfMjLAmec39IyEx_6qawtMGysU/edit?usp=sharing"",""สบก!AN30"")"),0)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IFERROR(__xludf.DUMMYFUNCTION("IMPORTRANGE(""https://docs.google.com/spreadsheets/d/1Yj_ptqi66GCucihVvJfMjLAmec39IyEx_6qawtMGysU/edit?usp=sharing"",""สบก!AO30"")"),134160)</f>
        <v>134160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IFERROR(__xludf.DUMMYFUNCTION("IMPORTRANGE(""https://docs.google.com/spreadsheets/d/1Yj_ptqi66GCucihVvJfMjLAmec39IyEx_6qawtMGysU/edit?usp=sharing"",""สบก!AP30"")"),184800)</f>
        <v>184800</v>
      </c>
      <c r="M102" s="52">
        <f ca="1">L102</f>
        <v>184800</v>
      </c>
      <c r="N102" s="52">
        <f ca="1">IFERROR(__xludf.DUMMYFUNCTION("IMPORTRANGE(""https://docs.google.com/spreadsheets/d/1Yj_ptqi66GCucihVvJfMjLAmec39IyEx_6qawtMGysU/edit?usp=sharing"",""สบก!AT30"")"),184800)</f>
        <v>184800</v>
      </c>
      <c r="O102" s="52">
        <f ca="1">IF(L102&gt;0,N102*100/L102,0)</f>
        <v>100</v>
      </c>
      <c r="P102" s="52">
        <f ca="1">IF(M102&gt;0,N102*100/M102,0)</f>
        <v>100</v>
      </c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IFERROR(__xludf.DUMMYFUNCTION("IMPORTRANGE(""https://docs.google.com/spreadsheets/d/11923uPwbBZFjjGgGUA6NLw09EwE0CqkOc4q9oUmW1yo/edit?usp=sharing"",""แพร่!J39"")"),0)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IFERROR(__xludf.DUMMYFUNCTION("IMPORTRANGE(""https://docs.google.com/spreadsheets/d/11923uPwbBZFjjGgGUA6NLw09EwE0CqkOc4q9oUmW1yo/edit?usp=sharing"",""แพร่!J40"")"),1)</f>
        <v>1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IFERROR(__xludf.DUMMYFUNCTION("IMPORTRANGE(""https://docs.google.com/spreadsheets/d/11923uPwbBZFjjGgGUA6NLw09EwE0CqkOc4q9oUmW1yo/edit?usp=sharing"",""แพร่!J41"")"),1)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IFERROR(__xludf.DUMMYFUNCTION("IMPORTRANGE(""https://docs.google.com/spreadsheets/d/11923uPwbBZFjjGgGUA6NLw09EwE0CqkOc4q9oUmW1yo/edit?usp=sharing"",""แพร่!J42"")"),1)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IFERROR(__xludf.DUMMYFUNCTION("IMPORTRANGE(""https://docs.google.com/spreadsheets/d/11923uPwbBZFjjGgGUA6NLw09EwE0CqkOc4q9oUmW1yo/edit?usp=sharing"",""แพร่!I43"")"),1)</f>
        <v>1</v>
      </c>
      <c r="J108" s="205">
        <f ca="1">IFERROR(__xludf.DUMMYFUNCTION("IMPORTRANGE(""https://docs.google.com/spreadsheets/d/11923uPwbBZFjjGgGUA6NLw09EwE0CqkOc4q9oUmW1yo/edit?usp=sharing"",""แพร่!J43"")"),1)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IFERROR(__xludf.DUMMYFUNCTION("IMPORTRANGE(""https://docs.google.com/spreadsheets/d/11923uPwbBZFjjGgGUA6NLw09EwE0CqkOc4q9oUmW1yo/edit?usp=sharing"",""แพร่!I44"")"),7)</f>
        <v>7</v>
      </c>
      <c r="J109" s="205">
        <f ca="1">IFERROR(__xludf.DUMMYFUNCTION("IMPORTRANGE(""https://docs.google.com/spreadsheets/d/11923uPwbBZFjjGgGUA6NLw09EwE0CqkOc4q9oUmW1yo/edit?usp=sharing"",""แพร่!J44"")"),0)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IFERROR(__xludf.DUMMYFUNCTION("IMPORTRANGE(""https://docs.google.com/spreadsheets/d/11923uPwbBZFjjGgGUA6NLw09EwE0CqkOc4q9oUmW1yo/edit?usp=sharing"",""แพร่!I45"")"),7)</f>
        <v>7</v>
      </c>
      <c r="J110" s="205">
        <f ca="1">IFERROR(__xludf.DUMMYFUNCTION("IMPORTRANGE(""https://docs.google.com/spreadsheets/d/11923uPwbBZFjjGgGUA6NLw09EwE0CqkOc4q9oUmW1yo/edit?usp=sharing"",""แพร่!J45"")"),7)</f>
        <v>7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IFERROR(__xludf.DUMMYFUNCTION("IMPORTRANGE(""https://docs.google.com/spreadsheets/d/11923uPwbBZFjjGgGUA6NLw09EwE0CqkOc4q9oUmW1yo/edit?usp=sharing"",""แพร่!I46"")"),7)</f>
        <v>7</v>
      </c>
      <c r="J111" s="205">
        <f ca="1">IFERROR(__xludf.DUMMYFUNCTION("IMPORTRANGE(""https://docs.google.com/spreadsheets/d/11923uPwbBZFjjGgGUA6NLw09EwE0CqkOc4q9oUmW1yo/edit?usp=sharing"",""แพร่!J46"")"),0)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IFERROR(__xludf.DUMMYFUNCTION("IMPORTRANGE(""https://docs.google.com/spreadsheets/d/11923uPwbBZFjjGgGUA6NLw09EwE0CqkOc4q9oUmW1yo/edit?usp=sharing"",""แพร่!I47"")"),7)</f>
        <v>7</v>
      </c>
      <c r="J112" s="205">
        <f ca="1">IFERROR(__xludf.DUMMYFUNCTION("IMPORTRANGE(""https://docs.google.com/spreadsheets/d/11923uPwbBZFjjGgGUA6NLw09EwE0CqkOc4q9oUmW1yo/edit?usp=sharing"",""แพร่!J47"")"),0)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IFERROR(__xludf.DUMMYFUNCTION("IMPORTRANGE(""https://docs.google.com/spreadsheets/d/11923uPwbBZFjjGgGUA6NLw09EwE0CqkOc4q9oUmW1yo/edit?usp=sharing"",""แพร่!I48"")"),2)</f>
        <v>2</v>
      </c>
      <c r="J113" s="205">
        <f ca="1">IFERROR(__xludf.DUMMYFUNCTION("IMPORTRANGE(""https://docs.google.com/spreadsheets/d/11923uPwbBZFjjGgGUA6NLw09EwE0CqkOc4q9oUmW1yo/edit?usp=sharing"",""แพร่!J48"")"),2)</f>
        <v>2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IFERROR(__xludf.DUMMYFUNCTION("IMPORTRANGE(""https://docs.google.com/spreadsheets/d/11923uPwbBZFjjGgGUA6NLw09EwE0CqkOc4q9oUmW1yo/edit?usp=sharing"",""แพร่!J49"")"),0)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IFERROR(__xludf.DUMMYFUNCTION("IMPORTRANGE(""https://docs.google.com/spreadsheets/d/11923uPwbBZFjjGgGUA6NLw09EwE0CqkOc4q9oUmW1yo/edit?usp=sharing"",""แพร่!J50"")"),0)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IFERROR(__xludf.DUMMYFUNCTION("IMPORTRANGE(""https://docs.google.com/spreadsheets/d/11923uPwbBZFjjGgGUA6NLw09EwE0CqkOc4q9oUmW1yo/edit?usp=sharing"",""แพร่!I52"")"),20)</f>
        <v>20</v>
      </c>
      <c r="J117" s="144">
        <f ca="1">IFERROR(__xludf.DUMMYFUNCTION("IMPORTRANGE(""https://docs.google.com/spreadsheets/d/11923uPwbBZFjjGgGUA6NLw09EwE0CqkOc4q9oUmW1yo/edit?usp=sharing"",""แพร่!J52"")"),20)</f>
        <v>20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82440</v>
      </c>
      <c r="M118" s="154">
        <f t="shared" ca="1" si="58"/>
        <v>82440</v>
      </c>
      <c r="N118" s="154">
        <f t="shared" ca="1" si="58"/>
        <v>66440</v>
      </c>
      <c r="O118" s="153">
        <f t="shared" ref="O118:O120" ca="1" si="59">IF(L118&gt;0,N118*100/L118,0)</f>
        <v>80.591945657447837</v>
      </c>
      <c r="P118" s="153">
        <f t="shared" ref="P118:P120" ca="1" si="60">IF(M118&gt;0,N118*100/M118,0)</f>
        <v>80.591945657447837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82440</v>
      </c>
      <c r="M120" s="90">
        <f t="shared" ca="1" si="62"/>
        <v>82440</v>
      </c>
      <c r="N120" s="90">
        <f t="shared" ca="1" si="62"/>
        <v>66440</v>
      </c>
      <c r="O120" s="158">
        <f t="shared" ca="1" si="59"/>
        <v>80.591945657447837</v>
      </c>
      <c r="P120" s="158">
        <f t="shared" ca="1" si="60"/>
        <v>80.591945657447837</v>
      </c>
    </row>
    <row r="121" spans="1:16" ht="21.75" customHeight="1">
      <c r="A121" s="159"/>
      <c r="B121" s="160"/>
      <c r="C121" s="160" t="s">
        <v>16</v>
      </c>
      <c r="D121" s="570" t="s">
        <v>20</v>
      </c>
      <c r="E121" s="565"/>
      <c r="F121" s="565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IFERROR(__xludf.DUMMYFUNCTION("IMPORTRANGE(""https://docs.google.com/spreadsheets/d/1Yj_ptqi66GCucihVvJfMjLAmec39IyEx_6qawtMGysU/edit?usp=sharing"",""สบก!BA30"")"),82440)</f>
        <v>82440</v>
      </c>
      <c r="N122" s="170">
        <f ca="1">IFERROR(__xludf.DUMMYFUNCTION("IMPORTRANGE(""https://docs.google.com/spreadsheets/d/1Yj_ptqi66GCucihVvJfMjLAmec39IyEx_6qawtMGysU/edit?usp=sharing"",""สบก!BB30"")"),66440)</f>
        <v>66440</v>
      </c>
      <c r="O122" s="170">
        <f ca="1">IF(L122&gt;0,N122*100/L122,0)</f>
        <v>80.591945657447837</v>
      </c>
      <c r="P122" s="170">
        <f ca="1">IF(M122&gt;0,N122*100/M122,0)</f>
        <v>80.591945657447837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IFERROR(__xludf.DUMMYFUNCTION("IMPORTRANGE(""https://docs.google.com/spreadsheets/d/1Yj_ptqi66GCucihVvJfMjLAmec39IyEx_6qawtMGysU/edit?usp=sharing"",""สบก!AW30"")"),0)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IFERROR(__xludf.DUMMYFUNCTION("IMPORTRANGE(""https://docs.google.com/spreadsheets/d/1Yj_ptqi66GCucihVvJfMjLAmec39IyEx_6qawtMGysU/edit?usp=sharing"",""สบก!AX30"")"),82440)</f>
        <v>82440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IFERROR(__xludf.DUMMYFUNCTION("IMPORTRANGE(""https://docs.google.com/spreadsheets/d/1Yj_ptqi66GCucihVvJfMjLAmec39IyEx_6qawtMGysU/edit?usp=sharing"",""สบก!AY30"")"),0)</f>
        <v>0</v>
      </c>
      <c r="M126" s="52"/>
      <c r="N126" s="52">
        <f ca="1">IFERROR(__xludf.DUMMYFUNCTION("IMPORTRANGE(""https://docs.google.com/spreadsheets/d/1Yj_ptqi66GCucihVvJfMjLAmec39IyEx_6qawtMGysU/edit?usp=sharing"",""สบก!BC30"")"),0)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281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IFERROR(__xludf.DUMMYFUNCTION("IMPORTRANGE(""https://docs.google.com/spreadsheets/d/11923uPwbBZFjjGgGUA6NLw09EwE0CqkOc4q9oUmW1yo/edit?usp=sharing"",""แพร่!J58"")"),0)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IFERROR(__xludf.DUMMYFUNCTION("IMPORTRANGE(""https://docs.google.com/spreadsheets/d/11923uPwbBZFjjGgGUA6NLw09EwE0CqkOc4q9oUmW1yo/edit?usp=sharing"",""แพร่!J59"")"),1)</f>
        <v>1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IFERROR(__xludf.DUMMYFUNCTION("IMPORTRANGE(""https://docs.google.com/spreadsheets/d/11923uPwbBZFjjGgGUA6NLw09EwE0CqkOc4q9oUmW1yo/edit?usp=sharing"",""แพร่!J60"")"),1)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IFERROR(__xludf.DUMMYFUNCTION("IMPORTRANGE(""https://docs.google.com/spreadsheets/d/11923uPwbBZFjjGgGUA6NLw09EwE0CqkOc4q9oUmW1yo/edit?usp=sharing"",""แพร่!J61"")"),1)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IFERROR(__xludf.DUMMYFUNCTION("IMPORTRANGE(""https://docs.google.com/spreadsheets/d/11923uPwbBZFjjGgGUA6NLw09EwE0CqkOc4q9oUmW1yo/edit?usp=sharing"",""แพร่!I62"")"),20)</f>
        <v>20</v>
      </c>
      <c r="J132" s="205">
        <f ca="1">IFERROR(__xludf.DUMMYFUNCTION("IMPORTRANGE(""https://docs.google.com/spreadsheets/d/11923uPwbBZFjjGgGUA6NLw09EwE0CqkOc4q9oUmW1yo/edit?usp=sharing"",""แพร่!J62"")"),20)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IFERROR(__xludf.DUMMYFUNCTION("IMPORTRANGE(""https://docs.google.com/spreadsheets/d/11923uPwbBZFjjGgGUA6NLw09EwE0CqkOc4q9oUmW1yo/edit?usp=sharing"",""แพร่!I63"")"),20)</f>
        <v>20</v>
      </c>
      <c r="J133" s="205">
        <f ca="1">IFERROR(__xludf.DUMMYFUNCTION("IMPORTRANGE(""https://docs.google.com/spreadsheets/d/11923uPwbBZFjjGgGUA6NLw09EwE0CqkOc4q9oUmW1yo/edit?usp=sharing"",""แพร่!J63"")"),30)</f>
        <v>30</v>
      </c>
      <c r="K133" s="225">
        <f t="shared" ca="1" si="63"/>
        <v>150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IFERROR(__xludf.DUMMYFUNCTION("IMPORTRANGE(""https://docs.google.com/spreadsheets/d/11923uPwbBZFjjGgGUA6NLw09EwE0CqkOc4q9oUmW1yo/edit?usp=sharing"",""แพร่!J64"")"),0)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IFERROR(__xludf.DUMMYFUNCTION("IMPORTRANGE(""https://docs.google.com/spreadsheets/d/11923uPwbBZFjjGgGUA6NLw09EwE0CqkOc4q9oUmW1yo/edit?usp=sharing"",""แพร่!J65"")"),0)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IFERROR(__xludf.DUMMYFUNCTION("IMPORTRANGE(""https://docs.google.com/spreadsheets/d/11923uPwbBZFjjGgGUA6NLw09EwE0CqkOc4q9oUmW1yo/edit?usp=sharing"",""แพร่!I68"")"),0)</f>
        <v>0</v>
      </c>
      <c r="J138" s="268">
        <f ca="1">IFERROR(__xludf.DUMMYFUNCTION("IMPORTRANGE(""https://docs.google.com/spreadsheets/d/11923uPwbBZFjjGgGUA6NLw09EwE0CqkOc4q9oUmW1yo/edit?usp=sharing"",""แพร่!J68"")"),0)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69000</v>
      </c>
      <c r="M140" s="154">
        <f t="shared" ca="1" si="64"/>
        <v>55625</v>
      </c>
      <c r="N140" s="154">
        <f t="shared" ca="1" si="64"/>
        <v>34889</v>
      </c>
      <c r="O140" s="153">
        <f t="shared" ref="O140:O142" ca="1" si="65">IF(L140&gt;0,N140*100/L140,0)</f>
        <v>50.563768115942032</v>
      </c>
      <c r="P140" s="153">
        <f t="shared" ref="P140:P142" ca="1" si="66">IF(M140&gt;0,N140*100/M140,0)</f>
        <v>62.721797752808989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69000</v>
      </c>
      <c r="M142" s="90">
        <f t="shared" ca="1" si="68"/>
        <v>55625</v>
      </c>
      <c r="N142" s="90">
        <f t="shared" ca="1" si="68"/>
        <v>34889</v>
      </c>
      <c r="O142" s="158">
        <f t="shared" ca="1" si="65"/>
        <v>50.563768115942032</v>
      </c>
      <c r="P142" s="158">
        <f t="shared" ca="1" si="66"/>
        <v>62.721797752808989</v>
      </c>
    </row>
    <row r="143" spans="1:16" ht="21.75" customHeight="1">
      <c r="A143" s="159"/>
      <c r="B143" s="160"/>
      <c r="C143" s="160" t="s">
        <v>16</v>
      </c>
      <c r="D143" s="570" t="s">
        <v>20</v>
      </c>
      <c r="E143" s="565"/>
      <c r="F143" s="565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69000</v>
      </c>
      <c r="M144" s="169">
        <f ca="1">IFERROR(__xludf.DUMMYFUNCTION("IMPORTRANGE(""https://docs.google.com/spreadsheets/d/1Yj_ptqi66GCucihVvJfMjLAmec39IyEx_6qawtMGysU/edit?usp=sharing"",""สบก!BJ30"")"),55625)</f>
        <v>55625</v>
      </c>
      <c r="N144" s="170">
        <f ca="1">IFERROR(__xludf.DUMMYFUNCTION("IMPORTRANGE(""https://docs.google.com/spreadsheets/d/1Yj_ptqi66GCucihVvJfMjLAmec39IyEx_6qawtMGysU/edit?usp=sharing"",""สบก!BK30"")"),34889)</f>
        <v>34889</v>
      </c>
      <c r="O144" s="170">
        <f ca="1">IF(L144&gt;0,N144*100/L144,0)</f>
        <v>50.563768115942032</v>
      </c>
      <c r="P144" s="170">
        <f ca="1">IF(M144&gt;0,N144*100/M144,0)</f>
        <v>62.721797752808989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IFERROR(__xludf.DUMMYFUNCTION("IMPORTRANGE(""https://docs.google.com/spreadsheets/d/1Yj_ptqi66GCucihVvJfMjLAmec39IyEx_6qawtMGysU/edit?usp=sharing"",""สบก!BF30"")"),0)</f>
        <v>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IFERROR(__xludf.DUMMYFUNCTION("IMPORTRANGE(""https://docs.google.com/spreadsheets/d/1Yj_ptqi66GCucihVvJfMjLAmec39IyEx_6qawtMGysU/edit?usp=sharing"",""สบก!BG30"")"),69000)</f>
        <v>69000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IFERROR(__xludf.DUMMYFUNCTION("IMPORTRANGE(""https://docs.google.com/spreadsheets/d/1Yj_ptqi66GCucihVvJfMjLAmec39IyEx_6qawtMGysU/edit?usp=sharing"",""สบก!BH30"")"),0)</f>
        <v>0</v>
      </c>
      <c r="M148" s="52"/>
      <c r="N148" s="52">
        <f ca="1">IFERROR(__xludf.DUMMYFUNCTION("IMPORTRANGE(""https://docs.google.com/spreadsheets/d/1Yj_ptqi66GCucihVvJfMjLAmec39IyEx_6qawtMGysU/edit?usp=sharing"",""สบก!BL30"")"),0)</f>
        <v>0</v>
      </c>
      <c r="O148" s="52">
        <f ca="1">IF(L148&gt;0,N148*100/L148,0)</f>
        <v>0</v>
      </c>
      <c r="P148" s="52"/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IFERROR(__xludf.DUMMYFUNCTION("IMPORTRANGE(""https://docs.google.com/spreadsheets/d/11923uPwbBZFjjGgGUA6NLw09EwE0CqkOc4q9oUmW1yo/edit?usp=sharing"",""แพร่!I74"")"),4)</f>
        <v>4</v>
      </c>
      <c r="J149" s="276">
        <f ca="1">IFERROR(__xludf.DUMMYFUNCTION("IMPORTRANGE(""https://docs.google.com/spreadsheets/d/11923uPwbBZFjjGgGUA6NLw09EwE0CqkOc4q9oUmW1yo/edit?usp=sharing"",""แพร่!J74"")"),2)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IFERROR(__xludf.DUMMYFUNCTION("IMPORTRANGE(""https://docs.google.com/spreadsheets/d/11923uPwbBZFjjGgGUA6NLw09EwE0CqkOc4q9oUmW1yo/edit?usp=sharing"",""แพร่!J79"")"),0)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IFERROR(__xludf.DUMMYFUNCTION("IMPORTRANGE(""https://docs.google.com/spreadsheets/d/11923uPwbBZFjjGgGUA6NLw09EwE0CqkOc4q9oUmW1yo/edit?usp=sharing"",""แพร่!J80"")"),1)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IFERROR(__xludf.DUMMYFUNCTION("IMPORTRANGE(""https://docs.google.com/spreadsheets/d/11923uPwbBZFjjGgGUA6NLw09EwE0CqkOc4q9oUmW1yo/edit?usp=sharing"",""แพร่!J81"")"),1)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IFERROR(__xludf.DUMMYFUNCTION("IMPORTRANGE(""https://docs.google.com/spreadsheets/d/11923uPwbBZFjjGgGUA6NLw09EwE0CqkOc4q9oUmW1yo/edit?usp=sharing"",""แพร่!J82"")"),1)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IFERROR(__xludf.DUMMYFUNCTION("IMPORTRANGE(""https://docs.google.com/spreadsheets/d/11923uPwbBZFjjGgGUA6NLw09EwE0CqkOc4q9oUmW1yo/edit?usp=sharing"",""แพร่!I83"")"),4)</f>
        <v>4</v>
      </c>
      <c r="J158" s="190">
        <f ca="1">IFERROR(__xludf.DUMMYFUNCTION("IMPORTRANGE(""https://docs.google.com/spreadsheets/d/11923uPwbBZFjjGgGUA6NLw09EwE0CqkOc4q9oUmW1yo/edit?usp=sharing"",""แพร่!J83"")"),2)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IFERROR(__xludf.DUMMYFUNCTION("IMPORTRANGE(""https://docs.google.com/spreadsheets/d/11923uPwbBZFjjGgGUA6NLw09EwE0CqkOc4q9oUmW1yo/edit?usp=sharing"",""แพร่!J84"")"),103)</f>
        <v>103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IFERROR(__xludf.DUMMYFUNCTION("IMPORTRANGE(""https://docs.google.com/spreadsheets/d/11923uPwbBZFjjGgGUA6NLw09EwE0CqkOc4q9oUmW1yo/edit?usp=sharing"",""แพร่!J85"")"),103)</f>
        <v>103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IFERROR(__xludf.DUMMYFUNCTION("IMPORTRANGE(""https://docs.google.com/spreadsheets/d/11923uPwbBZFjjGgGUA6NLw09EwE0CqkOc4q9oUmW1yo/edit?usp=sharing"",""แพร่!J86"")"),0)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IFERROR(__xludf.DUMMYFUNCTION("IMPORTRANGE(""https://docs.google.com/spreadsheets/d/11923uPwbBZFjjGgGUA6NLw09EwE0CqkOc4q9oUmW1yo/edit?usp=sharing"",""แพร่!J87"")"),0)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IFERROR(__xludf.DUMMYFUNCTION("IMPORTRANGE(""https://docs.google.com/spreadsheets/d/11923uPwbBZFjjGgGUA6NLw09EwE0CqkOc4q9oUmW1yo/edit?usp=sharing"",""แพร่!J88"")"),0)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IFERROR(__xludf.DUMMYFUNCTION("IMPORTRANGE(""https://docs.google.com/spreadsheets/d/11923uPwbBZFjjGgGUA6NLw09EwE0CqkOc4q9oUmW1yo/edit?usp=sharing"",""แพร่!I89"")"),3)</f>
        <v>3</v>
      </c>
      <c r="J164" s="285">
        <f ca="1">IFERROR(__xludf.DUMMYFUNCTION("IMPORTRANGE(""https://docs.google.com/spreadsheets/d/11923uPwbBZFjjGgGUA6NLw09EwE0CqkOc4q9oUmW1yo/edit?usp=sharing"",""แพร่!J89"")"),2)</f>
        <v>2</v>
      </c>
      <c r="K164" s="286">
        <f ca="1">IF(I164&gt;0,J164*100/I164,0)</f>
        <v>66.666666666666671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IFERROR(__xludf.DUMMYFUNCTION("IMPORTRANGE(""https://docs.google.com/spreadsheets/d/11923uPwbBZFjjGgGUA6NLw09EwE0CqkOc4q9oUmW1yo/edit?usp=sharing"",""แพร่!J94"")"),0)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IFERROR(__xludf.DUMMYFUNCTION("IMPORTRANGE(""https://docs.google.com/spreadsheets/d/11923uPwbBZFjjGgGUA6NLw09EwE0CqkOc4q9oUmW1yo/edit?usp=sharing"",""แพร่!J95"")"),1)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IFERROR(__xludf.DUMMYFUNCTION("IMPORTRANGE(""https://docs.google.com/spreadsheets/d/11923uPwbBZFjjGgGUA6NLw09EwE0CqkOc4q9oUmW1yo/edit?usp=sharing"",""แพร่!J96"")"),1)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IFERROR(__xludf.DUMMYFUNCTION("IMPORTRANGE(""https://docs.google.com/spreadsheets/d/11923uPwbBZFjjGgGUA6NLw09EwE0CqkOc4q9oUmW1yo/edit?usp=sharing"",""แพร่!J97"")"),1)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IFERROR(__xludf.DUMMYFUNCTION("IMPORTRANGE(""https://docs.google.com/spreadsheets/d/11923uPwbBZFjjGgGUA6NLw09EwE0CqkOc4q9oUmW1yo/edit?usp=sharing"",""แพร่!I98"")"),3)</f>
        <v>3</v>
      </c>
      <c r="J173" s="190">
        <f ca="1">IFERROR(__xludf.DUMMYFUNCTION("IMPORTRANGE(""https://docs.google.com/spreadsheets/d/11923uPwbBZFjjGgGUA6NLw09EwE0CqkOc4q9oUmW1yo/edit?usp=sharing"",""แพร่!J98"")"),2)</f>
        <v>2</v>
      </c>
      <c r="K173" s="165">
        <f ca="1">IF(I173&gt;0,J173*100/I173,0)</f>
        <v>66.666666666666671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IFERROR(__xludf.DUMMYFUNCTION("IMPORTRANGE(""https://docs.google.com/spreadsheets/d/11923uPwbBZFjjGgGUA6NLw09EwE0CqkOc4q9oUmW1yo/edit?usp=sharing"",""แพร่!J99"")"),0)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IFERROR(__xludf.DUMMYFUNCTION("IMPORTRANGE(""https://docs.google.com/spreadsheets/d/11923uPwbBZFjjGgGUA6NLw09EwE0CqkOc4q9oUmW1yo/edit?usp=sharing"",""แพร่!J100"")"),0)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IFERROR(__xludf.DUMMYFUNCTION("IMPORTRANGE(""https://docs.google.com/spreadsheets/d/11923uPwbBZFjjGgGUA6NLw09EwE0CqkOc4q9oUmW1yo/edit?usp=sharing"",""แพร่!I101"")"),0)</f>
        <v>0</v>
      </c>
      <c r="J176" s="285">
        <f ca="1">IFERROR(__xludf.DUMMYFUNCTION("IMPORTRANGE(""https://docs.google.com/spreadsheets/d/11923uPwbBZFjjGgGUA6NLw09EwE0CqkOc4q9oUmW1yo/edit?usp=sharing"",""แพร่!J101"")"),0)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IFERROR(__xludf.DUMMYFUNCTION("IMPORTRANGE(""https://docs.google.com/spreadsheets/d/11923uPwbBZFjjGgGUA6NLw09EwE0CqkOc4q9oUmW1yo/edit?usp=sharing"",""แพร่!J106"")"),0)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IFERROR(__xludf.DUMMYFUNCTION("IMPORTRANGE(""https://docs.google.com/spreadsheets/d/11923uPwbBZFjjGgGUA6NLw09EwE0CqkOc4q9oUmW1yo/edit?usp=sharing"",""แพร่!J107"")"),0)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IFERROR(__xludf.DUMMYFUNCTION("IMPORTRANGE(""https://docs.google.com/spreadsheets/d/11923uPwbBZFjjGgGUA6NLw09EwE0CqkOc4q9oUmW1yo/edit?usp=sharing"",""แพร่!J108"")"),0)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IFERROR(__xludf.DUMMYFUNCTION("IMPORTRANGE(""https://docs.google.com/spreadsheets/d/11923uPwbBZFjjGgGUA6NLw09EwE0CqkOc4q9oUmW1yo/edit?usp=sharing"",""แพร่!J109"")"),0)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IFERROR(__xludf.DUMMYFUNCTION("IMPORTRANGE(""https://docs.google.com/spreadsheets/d/11923uPwbBZFjjGgGUA6NLw09EwE0CqkOc4q9oUmW1yo/edit?usp=sharing"",""แพร่!I110"")"),0)</f>
        <v>0</v>
      </c>
      <c r="J185" s="205">
        <f ca="1">IFERROR(__xludf.DUMMYFUNCTION("IMPORTRANGE(""https://docs.google.com/spreadsheets/d/11923uPwbBZFjjGgGUA6NLw09EwE0CqkOc4q9oUmW1yo/edit?usp=sharing"",""แพร่!J110"")"),0)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IFERROR(__xludf.DUMMYFUNCTION("IMPORTRANGE(""https://docs.google.com/spreadsheets/d/11923uPwbBZFjjGgGUA6NLw09EwE0CqkOc4q9oUmW1yo/edit?usp=sharing"",""แพร่!I111"")"),0)</f>
        <v>0</v>
      </c>
      <c r="J186" s="205">
        <f ca="1">IFERROR(__xludf.DUMMYFUNCTION("IMPORTRANGE(""https://docs.google.com/spreadsheets/d/11923uPwbBZFjjGgGUA6NLw09EwE0CqkOc4q9oUmW1yo/edit?usp=sharing"",""แพร่!J111"")"),0)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IFERROR(__xludf.DUMMYFUNCTION("IMPORTRANGE(""https://docs.google.com/spreadsheets/d/11923uPwbBZFjjGgGUA6NLw09EwE0CqkOc4q9oUmW1yo/edit?usp=sharing"",""แพร่!J112"")"),0)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IFERROR(__xludf.DUMMYFUNCTION("IMPORTRANGE(""https://docs.google.com/spreadsheets/d/11923uPwbBZFjjGgGUA6NLw09EwE0CqkOc4q9oUmW1yo/edit?usp=sharing"",""แพร่!J113"")"),0)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IFERROR(__xludf.DUMMYFUNCTION("IMPORTRANGE(""https://docs.google.com/spreadsheets/d/11923uPwbBZFjjGgGUA6NLw09EwE0CqkOc4q9oUmW1yo/edit?usp=sharing"",""แพร่!I114"")"),50000)</f>
        <v>50000</v>
      </c>
      <c r="J189" s="285">
        <f ca="1">IFERROR(__xludf.DUMMYFUNCTION("IMPORTRANGE(""https://docs.google.com/spreadsheets/d/11923uPwbBZFjjGgGUA6NLw09EwE0CqkOc4q9oUmW1yo/edit?usp=sharing"",""แพร่!J114"")"),0)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IFERROR(__xludf.DUMMYFUNCTION("IMPORTRANGE(""https://docs.google.com/spreadsheets/d/11923uPwbBZFjjGgGUA6NLw09EwE0CqkOc4q9oUmW1yo/edit?usp=sharing"",""แพร่!J119"")"),1)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IFERROR(__xludf.DUMMYFUNCTION("IMPORTRANGE(""https://docs.google.com/spreadsheets/d/11923uPwbBZFjjGgGUA6NLw09EwE0CqkOc4q9oUmW1yo/edit?usp=sharing"",""แพร่!J120"")"),0)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IFERROR(__xludf.DUMMYFUNCTION("IMPORTRANGE(""https://docs.google.com/spreadsheets/d/11923uPwbBZFjjGgGUA6NLw09EwE0CqkOc4q9oUmW1yo/edit?usp=sharing"",""แพร่!J121"")"),0)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IFERROR(__xludf.DUMMYFUNCTION("IMPORTRANGE(""https://docs.google.com/spreadsheets/d/11923uPwbBZFjjGgGUA6NLw09EwE0CqkOc4q9oUmW1yo/edit?usp=sharing"",""แพร่!J122"")"),0)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IFERROR(__xludf.DUMMYFUNCTION("IMPORTRANGE(""https://docs.google.com/spreadsheets/d/11923uPwbBZFjjGgGUA6NLw09EwE0CqkOc4q9oUmW1yo/edit?usp=sharing"",""แพร่!I124"")"),50000)</f>
        <v>50000</v>
      </c>
      <c r="J199" s="190">
        <f ca="1">IFERROR(__xludf.DUMMYFUNCTION("IMPORTRANGE(""https://docs.google.com/spreadsheets/d/11923uPwbBZFjjGgGUA6NLw09EwE0CqkOc4q9oUmW1yo/edit?usp=sharing"",""แพร่!J124"")"),0)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IFERROR(__xludf.DUMMYFUNCTION("IMPORTRANGE(""https://docs.google.com/spreadsheets/d/11923uPwbBZFjjGgGUA6NLw09EwE0CqkOc4q9oUmW1yo/edit?usp=sharing"",""แพร่!I125"")"),50000)</f>
        <v>50000</v>
      </c>
      <c r="J200" s="190">
        <f ca="1">IFERROR(__xludf.DUMMYFUNCTION("IMPORTRANGE(""https://docs.google.com/spreadsheets/d/11923uPwbBZFjjGgGUA6NLw09EwE0CqkOc4q9oUmW1yo/edit?usp=sharing"",""แพร่!J125"")"),0)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IFERROR(__xludf.DUMMYFUNCTION("IMPORTRANGE(""https://docs.google.com/spreadsheets/d/11923uPwbBZFjjGgGUA6NLw09EwE0CqkOc4q9oUmW1yo/edit?usp=sharing"",""แพร่!I126"")"),0)</f>
        <v>0</v>
      </c>
      <c r="J201" s="190">
        <f ca="1">IFERROR(__xludf.DUMMYFUNCTION("IMPORTRANGE(""https://docs.google.com/spreadsheets/d/11923uPwbBZFjjGgGUA6NLw09EwE0CqkOc4q9oUmW1yo/edit?usp=sharing"",""แพร่!J126"")"),0)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IFERROR(__xludf.DUMMYFUNCTION("IMPORTRANGE(""https://docs.google.com/spreadsheets/d/11923uPwbBZFjjGgGUA6NLw09EwE0CqkOc4q9oUmW1yo/edit?usp=sharing"",""แพร่!J127"")"),0)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IFERROR(__xludf.DUMMYFUNCTION("IMPORTRANGE(""https://docs.google.com/spreadsheets/d/11923uPwbBZFjjGgGUA6NLw09EwE0CqkOc4q9oUmW1yo/edit?usp=sharing"",""แพร่!J128"")"),0)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IFERROR(__xludf.DUMMYFUNCTION("IMPORTRANGE(""https://docs.google.com/spreadsheets/d/11923uPwbBZFjjGgGUA6NLw09EwE0CqkOc4q9oUmW1yo/edit?usp=sharing"",""แพร่!I129"")"),0)</f>
        <v>0</v>
      </c>
      <c r="J204" s="285">
        <f ca="1">IFERROR(__xludf.DUMMYFUNCTION("IMPORTRANGE(""https://docs.google.com/spreadsheets/d/11923uPwbBZFjjGgGUA6NLw09EwE0CqkOc4q9oUmW1yo/edit?usp=sharing"",""แพร่!J129"")"),0)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IFERROR(__xludf.DUMMYFUNCTION("IMPORTRANGE(""https://docs.google.com/spreadsheets/d/11923uPwbBZFjjGgGUA6NLw09EwE0CqkOc4q9oUmW1yo/edit?usp=sharing"",""แพร่!J134"")"),0)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IFERROR(__xludf.DUMMYFUNCTION("IMPORTRANGE(""https://docs.google.com/spreadsheets/d/11923uPwbBZFjjGgGUA6NLw09EwE0CqkOc4q9oUmW1yo/edit?usp=sharing"",""แพร่!J135"")"),0)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IFERROR(__xludf.DUMMYFUNCTION("IMPORTRANGE(""https://docs.google.com/spreadsheets/d/11923uPwbBZFjjGgGUA6NLw09EwE0CqkOc4q9oUmW1yo/edit?usp=sharing"",""แพร่!J136"")"),0)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IFERROR(__xludf.DUMMYFUNCTION("IMPORTRANGE(""https://docs.google.com/spreadsheets/d/11923uPwbBZFjjGgGUA6NLw09EwE0CqkOc4q9oUmW1yo/edit?usp=sharing"",""แพร่!J137"")"),0)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IFERROR(__xludf.DUMMYFUNCTION("IMPORTRANGE(""https://docs.google.com/spreadsheets/d/11923uPwbBZFjjGgGUA6NLw09EwE0CqkOc4q9oUmW1yo/edit?usp=sharing"",""แพร่!I138"")"),0)</f>
        <v>0</v>
      </c>
      <c r="J213" s="205">
        <f ca="1">IFERROR(__xludf.DUMMYFUNCTION("IMPORTRANGE(""https://docs.google.com/spreadsheets/d/11923uPwbBZFjjGgGUA6NLw09EwE0CqkOc4q9oUmW1yo/edit?usp=sharing"",""แพร่!J138"")"),0)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IFERROR(__xludf.DUMMYFUNCTION("IMPORTRANGE(""https://docs.google.com/spreadsheets/d/11923uPwbBZFjjGgGUA6NLw09EwE0CqkOc4q9oUmW1yo/edit?usp=sharing"",""แพร่!I140"")"),0)</f>
        <v>0</v>
      </c>
      <c r="J215" s="205">
        <f ca="1">IFERROR(__xludf.DUMMYFUNCTION("IMPORTRANGE(""https://docs.google.com/spreadsheets/d/11923uPwbBZFjjGgGUA6NLw09EwE0CqkOc4q9oUmW1yo/edit?usp=sharing"",""แพร่!J140"")"),0)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IFERROR(__xludf.DUMMYFUNCTION("IMPORTRANGE(""https://docs.google.com/spreadsheets/d/11923uPwbBZFjjGgGUA6NLw09EwE0CqkOc4q9oUmW1yo/edit?usp=sharing"",""แพร่!I141"")"),0)</f>
        <v>0</v>
      </c>
      <c r="J216" s="205">
        <f ca="1">IFERROR(__xludf.DUMMYFUNCTION("IMPORTRANGE(""https://docs.google.com/spreadsheets/d/11923uPwbBZFjjGgGUA6NLw09EwE0CqkOc4q9oUmW1yo/edit?usp=sharing"",""แพร่!J141"")"),0)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IFERROR(__xludf.DUMMYFUNCTION("IMPORTRANGE(""https://docs.google.com/spreadsheets/d/11923uPwbBZFjjGgGUA6NLw09EwE0CqkOc4q9oUmW1yo/edit?usp=sharing"",""แพร่!J142"")"),0)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IFERROR(__xludf.DUMMYFUNCTION("IMPORTRANGE(""https://docs.google.com/spreadsheets/d/11923uPwbBZFjjGgGUA6NLw09EwE0CqkOc4q9oUmW1yo/edit?usp=sharing"",""แพร่!J143"")"),0)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IFERROR(__xludf.DUMMYFUNCTION("IMPORTRANGE(""https://docs.google.com/spreadsheets/d/11923uPwbBZFjjGgGUA6NLw09EwE0CqkOc4q9oUmW1yo/edit?usp=sharing"",""แพร่!I144"")"),15)</f>
        <v>15</v>
      </c>
      <c r="J219" s="268">
        <f ca="1">IFERROR(__xludf.DUMMYFUNCTION("IMPORTRANGE(""https://docs.google.com/spreadsheets/d/11923uPwbBZFjjGgGUA6NLw09EwE0CqkOc4q9oUmW1yo/edit?usp=sharing"",""แพร่!J144"")"),15)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21125</v>
      </c>
      <c r="M222" s="90">
        <f t="shared" ca="1" si="76"/>
        <v>21125</v>
      </c>
      <c r="N222" s="90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59"/>
      <c r="B223" s="160"/>
      <c r="C223" s="160" t="s">
        <v>16</v>
      </c>
      <c r="D223" s="570" t="s">
        <v>20</v>
      </c>
      <c r="E223" s="565"/>
      <c r="F223" s="565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IFERROR(__xludf.DUMMYFUNCTION("IMPORTRANGE(""https://docs.google.com/spreadsheets/d/1Yj_ptqi66GCucihVvJfMjLAmec39IyEx_6qawtMGysU/edit?usp=sharing"",""สบก!BS30"")"),21125)</f>
        <v>21125</v>
      </c>
      <c r="N224" s="170">
        <f ca="1">IFERROR(__xludf.DUMMYFUNCTION("IMPORTRANGE(""https://docs.google.com/spreadsheets/d/1Yj_ptqi66GCucihVvJfMjLAmec39IyEx_6qawtMGysU/edit?usp=sharing"",""สบก!BT30"")"),21125)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IFERROR(__xludf.DUMMYFUNCTION("IMPORTRANGE(""https://docs.google.com/spreadsheets/d/1Yj_ptqi66GCucihVvJfMjLAmec39IyEx_6qawtMGysU/edit?usp=sharing"",""สบก!BO30"")"),0)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IFERROR(__xludf.DUMMYFUNCTION("IMPORTRANGE(""https://docs.google.com/spreadsheets/d/1Yj_ptqi66GCucihVvJfMjLAmec39IyEx_6qawtMGysU/edit?usp=sharing"",""สบก!BP30"")"),21125)</f>
        <v>21125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IFERROR(__xludf.DUMMYFUNCTION("IMPORTRANGE(""https://docs.google.com/spreadsheets/d/1Yj_ptqi66GCucihVvJfMjLAmec39IyEx_6qawtMGysU/edit?usp=sharing"",""สบก!BQ30"")"),0)</f>
        <v>0</v>
      </c>
      <c r="M228" s="52"/>
      <c r="N228" s="52">
        <f ca="1">IFERROR(__xludf.DUMMYFUNCTION("IMPORTRANGE(""https://docs.google.com/spreadsheets/d/1Yj_ptqi66GCucihVvJfMjLAmec39IyEx_6qawtMGysU/edit?usp=sharing"",""สบก!BU30"")"),0)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IFERROR(__xludf.DUMMYFUNCTION("IMPORTRANGE(""https://docs.google.com/spreadsheets/d/11923uPwbBZFjjGgGUA6NLw09EwE0CqkOc4q9oUmW1yo/edit?usp=sharing"",""แพร่!I149"")"),15)</f>
        <v>15</v>
      </c>
      <c r="J229" s="268">
        <f ca="1">IFERROR(__xludf.DUMMYFUNCTION("IMPORTRANGE(""https://docs.google.com/spreadsheets/d/11923uPwbBZFjjGgGUA6NLw09EwE0CqkOc4q9oUmW1yo/edit?usp=sharing"",""แพร่!J149"")"),15)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IFERROR(__xludf.DUMMYFUNCTION("IMPORTRANGE(""https://docs.google.com/spreadsheets/d/11923uPwbBZFjjGgGUA6NLw09EwE0CqkOc4q9oUmW1yo/edit?usp=sharing"",""แพร่!J151"")"),0)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IFERROR(__xludf.DUMMYFUNCTION("IMPORTRANGE(""https://docs.google.com/spreadsheets/d/11923uPwbBZFjjGgGUA6NLw09EwE0CqkOc4q9oUmW1yo/edit?usp=sharing"",""แพร่!J152"")"),1)</f>
        <v>1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IFERROR(__xludf.DUMMYFUNCTION("IMPORTRANGE(""https://docs.google.com/spreadsheets/d/11923uPwbBZFjjGgGUA6NLw09EwE0CqkOc4q9oUmW1yo/edit?usp=sharing"",""แพร่!J153"")"),1)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IFERROR(__xludf.DUMMYFUNCTION("IMPORTRANGE(""https://docs.google.com/spreadsheets/d/11923uPwbBZFjjGgGUA6NLw09EwE0CqkOc4q9oUmW1yo/edit?usp=sharing"",""แพร่!J154"")"),1)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IFERROR(__xludf.DUMMYFUNCTION("IMPORTRANGE(""https://docs.google.com/spreadsheets/d/11923uPwbBZFjjGgGUA6NLw09EwE0CqkOc4q9oUmW1yo/edit?usp=sharing"",""แพร่!I155"")"),15)</f>
        <v>15</v>
      </c>
      <c r="J235" s="190">
        <f ca="1">IFERROR(__xludf.DUMMYFUNCTION("IMPORTRANGE(""https://docs.google.com/spreadsheets/d/11923uPwbBZFjjGgGUA6NLw09EwE0CqkOc4q9oUmW1yo/edit?usp=sharing"",""แพร่!J155"")"),15)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IFERROR(__xludf.DUMMYFUNCTION("IMPORTRANGE(""https://docs.google.com/spreadsheets/d/11923uPwbBZFjjGgGUA6NLw09EwE0CqkOc4q9oUmW1yo/edit?usp=sharing"",""แพร่!J156"")"),0)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IFERROR(__xludf.DUMMYFUNCTION("IMPORTRANGE(""https://docs.google.com/spreadsheets/d/11923uPwbBZFjjGgGUA6NLw09EwE0CqkOc4q9oUmW1yo/edit?usp=sharing"",""แพร่!J157"")"),0)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IFERROR(__xludf.DUMMYFUNCTION("IMPORTRANGE(""https://docs.google.com/spreadsheets/d/11923uPwbBZFjjGgGUA6NLw09EwE0CqkOc4q9oUmW1yo/edit?usp=sharing"",""แพร่!I158"")"),0)</f>
        <v>0</v>
      </c>
      <c r="J238" s="268">
        <f ca="1">IFERROR(__xludf.DUMMYFUNCTION("IMPORTRANGE(""https://docs.google.com/spreadsheets/d/11923uPwbBZFjjGgGUA6NLw09EwE0CqkOc4q9oUmW1yo/edit?usp=sharing"",""แพร่!J158"")"),0)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IFERROR(__xludf.DUMMYFUNCTION("IMPORTRANGE(""https://docs.google.com/spreadsheets/d/11923uPwbBZFjjGgGUA6NLw09EwE0CqkOc4q9oUmW1yo/edit?usp=sharing"",""แพร่!J159"")"),"")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IFERROR(__xludf.DUMMYFUNCTION("IMPORTRANGE(""https://docs.google.com/spreadsheets/d/11923uPwbBZFjjGgGUA6NLw09EwE0CqkOc4q9oUmW1yo/edit?usp=sharing"",""แพร่!J161"")"),0)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IFERROR(__xludf.DUMMYFUNCTION("IMPORTRANGE(""https://docs.google.com/spreadsheets/d/11923uPwbBZFjjGgGUA6NLw09EwE0CqkOc4q9oUmW1yo/edit?usp=sharing"",""แพร่!J162"")"),0)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IFERROR(__xludf.DUMMYFUNCTION("IMPORTRANGE(""https://docs.google.com/spreadsheets/d/11923uPwbBZFjjGgGUA6NLw09EwE0CqkOc4q9oUmW1yo/edit?usp=sharing"",""แพร่!J163"")"),0)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IFERROR(__xludf.DUMMYFUNCTION("IMPORTRANGE(""https://docs.google.com/spreadsheets/d/11923uPwbBZFjjGgGUA6NLw09EwE0CqkOc4q9oUmW1yo/edit?usp=sharing"",""แพร่!I164"")"),0)</f>
        <v>0</v>
      </c>
      <c r="J244" s="189">
        <f ca="1">IFERROR(__xludf.DUMMYFUNCTION("IMPORTRANGE(""https://docs.google.com/spreadsheets/d/11923uPwbBZFjjGgGUA6NLw09EwE0CqkOc4q9oUmW1yo/edit?usp=sharing"",""แพร่!J164"")"),0)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IFERROR(__xludf.DUMMYFUNCTION("IMPORTRANGE(""https://docs.google.com/spreadsheets/d/11923uPwbBZFjjGgGUA6NLw09EwE0CqkOc4q9oUmW1yo/edit?usp=sharing"",""แพร่!J165"")"),0)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IFERROR(__xludf.DUMMYFUNCTION("IMPORTRANGE(""https://docs.google.com/spreadsheets/d/11923uPwbBZFjjGgGUA6NLw09EwE0CqkOc4q9oUmW1yo/edit?usp=sharing"",""แพร่!J166"")"),0)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IFERROR(__xludf.DUMMYFUNCTION("IMPORTRANGE(""https://docs.google.com/spreadsheets/d/11923uPwbBZFjjGgGUA6NLw09EwE0CqkOc4q9oUmW1yo/edit?usp=sharing"",""แพร่!I169"")"),30)</f>
        <v>30</v>
      </c>
      <c r="J249" s="317">
        <f ca="1">IFERROR(__xludf.DUMMYFUNCTION("IMPORTRANGE(""https://docs.google.com/spreadsheets/d/11923uPwbBZFjjGgGUA6NLw09EwE0CqkOc4q9oUmW1yo/edit?usp=sharing"",""แพร่!J169"")"),30)</f>
        <v>30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217000</v>
      </c>
      <c r="M250" s="154">
        <f t="shared" ca="1" si="77"/>
        <v>195000</v>
      </c>
      <c r="N250" s="154">
        <f t="shared" ca="1" si="77"/>
        <v>150500</v>
      </c>
      <c r="O250" s="153">
        <f t="shared" ref="O250:O252" ca="1" si="78">IF(L250&gt;0,N250*100/L250,0)</f>
        <v>69.354838709677423</v>
      </c>
      <c r="P250" s="153">
        <f t="shared" ref="P250:P252" ca="1" si="79">IF(M250&gt;0,N250*100/M250,0)</f>
        <v>77.179487179487182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217000</v>
      </c>
      <c r="M252" s="90">
        <f t="shared" ca="1" si="81"/>
        <v>195000</v>
      </c>
      <c r="N252" s="90">
        <f t="shared" ca="1" si="81"/>
        <v>150500</v>
      </c>
      <c r="O252" s="158">
        <f t="shared" ca="1" si="78"/>
        <v>69.354838709677423</v>
      </c>
      <c r="P252" s="158">
        <f t="shared" ca="1" si="79"/>
        <v>77.179487179487182</v>
      </c>
    </row>
    <row r="253" spans="1:16" ht="21.75" customHeight="1">
      <c r="A253" s="159"/>
      <c r="B253" s="160"/>
      <c r="C253" s="160" t="s">
        <v>16</v>
      </c>
      <c r="D253" s="570" t="s">
        <v>20</v>
      </c>
      <c r="E253" s="565"/>
      <c r="F253" s="565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217000</v>
      </c>
      <c r="M254" s="169">
        <f ca="1">IFERROR(__xludf.DUMMYFUNCTION("IMPORTRANGE(""https://docs.google.com/spreadsheets/d/1Yj_ptqi66GCucihVvJfMjLAmec39IyEx_6qawtMGysU/edit?usp=sharing"",""สบก!CB30"")"),195000)</f>
        <v>195000</v>
      </c>
      <c r="N254" s="170">
        <f ca="1">IFERROR(__xludf.DUMMYFUNCTION("IMPORTRANGE(""https://docs.google.com/spreadsheets/d/1Yj_ptqi66GCucihVvJfMjLAmec39IyEx_6qawtMGysU/edit?usp=sharing"",""สบก!CC30"")"),150500)</f>
        <v>150500</v>
      </c>
      <c r="O254" s="170">
        <f ca="1">IF(L254&gt;0,N254*100/L254,0)</f>
        <v>69.354838709677423</v>
      </c>
      <c r="P254" s="170">
        <f ca="1">IF(M254&gt;0,N254*100/M254,0)</f>
        <v>77.179487179487182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IFERROR(__xludf.DUMMYFUNCTION("IMPORTRANGE(""https://docs.google.com/spreadsheets/d/1Yj_ptqi66GCucihVvJfMjLAmec39IyEx_6qawtMGysU/edit?usp=sharing"",""สบก!BX30"")"),0)</f>
        <v>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IFERROR(__xludf.DUMMYFUNCTION("IMPORTRANGE(""https://docs.google.com/spreadsheets/d/1Yj_ptqi66GCucihVvJfMjLAmec39IyEx_6qawtMGysU/edit?usp=sharing"",""สบก!BY30"")"),217000)</f>
        <v>217000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IFERROR(__xludf.DUMMYFUNCTION("IMPORTRANGE(""https://docs.google.com/spreadsheets/d/1Yj_ptqi66GCucihVvJfMjLAmec39IyEx_6qawtMGysU/edit?usp=sharing"",""สบก!BZ30"")"),0)</f>
        <v>0</v>
      </c>
      <c r="M258" s="52"/>
      <c r="N258" s="52">
        <f ca="1">IFERROR(__xludf.DUMMYFUNCTION("IMPORTRANGE(""https://docs.google.com/spreadsheets/d/1Yj_ptqi66GCucihVvJfMjLAmec39IyEx_6qawtMGysU/edit?usp=sharing"",""สบก!CD30"")"),0)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IFERROR(__xludf.DUMMYFUNCTION("IMPORTRANGE(""https://docs.google.com/spreadsheets/d/11923uPwbBZFjjGgGUA6NLw09EwE0CqkOc4q9oUmW1yo/edit?usp=sharing"",""แพร่!J175"")"),0)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IFERROR(__xludf.DUMMYFUNCTION("IMPORTRANGE(""https://docs.google.com/spreadsheets/d/11923uPwbBZFjjGgGUA6NLw09EwE0CqkOc4q9oUmW1yo/edit?usp=sharing"",""แพร่!J176"")"),1)</f>
        <v>1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IFERROR(__xludf.DUMMYFUNCTION("IMPORTRANGE(""https://docs.google.com/spreadsheets/d/11923uPwbBZFjjGgGUA6NLw09EwE0CqkOc4q9oUmW1yo/edit?usp=sharing"",""แพร่!J177"")"),1)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IFERROR(__xludf.DUMMYFUNCTION("IMPORTRANGE(""https://docs.google.com/spreadsheets/d/11923uPwbBZFjjGgGUA6NLw09EwE0CqkOc4q9oUmW1yo/edit?usp=sharing"",""แพร่!J178"")"),1)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IFERROR(__xludf.DUMMYFUNCTION("IMPORTRANGE(""https://docs.google.com/spreadsheets/d/11923uPwbBZFjjGgGUA6NLw09EwE0CqkOc4q9oUmW1yo/edit?usp=sharing"",""แพร่!I179"")"),1)</f>
        <v>1</v>
      </c>
      <c r="J264" s="190">
        <f ca="1">IFERROR(__xludf.DUMMYFUNCTION("IMPORTRANGE(""https://docs.google.com/spreadsheets/d/11923uPwbBZFjjGgGUA6NLw09EwE0CqkOc4q9oUmW1yo/edit?usp=sharing"",""แพร่!J179"")"),1)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IFERROR(__xludf.DUMMYFUNCTION("IMPORTRANGE(""https://docs.google.com/spreadsheets/d/11923uPwbBZFjjGgGUA6NLw09EwE0CqkOc4q9oUmW1yo/edit?usp=sharing"",""แพร่!I180"")"),30)</f>
        <v>30</v>
      </c>
      <c r="J265" s="190">
        <f ca="1">IFERROR(__xludf.DUMMYFUNCTION("IMPORTRANGE(""https://docs.google.com/spreadsheets/d/11923uPwbBZFjjGgGUA6NLw09EwE0CqkOc4q9oUmW1yo/edit?usp=sharing"",""แพร่!J180"")"),30)</f>
        <v>30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IFERROR(__xludf.DUMMYFUNCTION("IMPORTRANGE(""https://docs.google.com/spreadsheets/d/11923uPwbBZFjjGgGUA6NLw09EwE0CqkOc4q9oUmW1yo/edit?usp=sharing"",""แพร่!I181"")"),30)</f>
        <v>30</v>
      </c>
      <c r="J266" s="190">
        <f ca="1">IFERROR(__xludf.DUMMYFUNCTION("IMPORTRANGE(""https://docs.google.com/spreadsheets/d/11923uPwbBZFjjGgGUA6NLw09EwE0CqkOc4q9oUmW1yo/edit?usp=sharing"",""แพร่!J181"")"),0)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IFERROR(__xludf.DUMMYFUNCTION("IMPORTRANGE(""https://docs.google.com/spreadsheets/d/11923uPwbBZFjjGgGUA6NLw09EwE0CqkOc4q9oUmW1yo/edit?usp=sharing"",""แพร่!I182"")"),1)</f>
        <v>1</v>
      </c>
      <c r="J267" s="190">
        <f ca="1">IFERROR(__xludf.DUMMYFUNCTION("IMPORTRANGE(""https://docs.google.com/spreadsheets/d/11923uPwbBZFjjGgGUA6NLw09EwE0CqkOc4q9oUmW1yo/edit?usp=sharing"",""แพร่!J182"")"),1)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IFERROR(__xludf.DUMMYFUNCTION("IMPORTRANGE(""https://docs.google.com/spreadsheets/d/11923uPwbBZFjjGgGUA6NLw09EwE0CqkOc4q9oUmW1yo/edit?usp=sharing"",""แพร่!J183"")"),0)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IFERROR(__xludf.DUMMYFUNCTION("IMPORTRANGE(""https://docs.google.com/spreadsheets/d/11923uPwbBZFjjGgGUA6NLw09EwE0CqkOc4q9oUmW1yo/edit?usp=sharing"",""แพร่!J184"")"),0)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IFERROR(__xludf.DUMMYFUNCTION("IMPORTRANGE(""https://docs.google.com/spreadsheets/d/11923uPwbBZFjjGgGUA6NLw09EwE0CqkOc4q9oUmW1yo/edit?usp=sharing"",""แพร่!I185"")"),20)</f>
        <v>20</v>
      </c>
      <c r="J270" s="317">
        <f ca="1">IFERROR(__xludf.DUMMYFUNCTION("IMPORTRANGE(""https://docs.google.com/spreadsheets/d/11923uPwbBZFjjGgGUA6NLw09EwE0CqkOc4q9oUmW1yo/edit?usp=sharing"",""แพร่!J185"")"),20)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205700</v>
      </c>
      <c r="M271" s="154">
        <f t="shared" ca="1" si="83"/>
        <v>132000</v>
      </c>
      <c r="N271" s="154">
        <f t="shared" ca="1" si="83"/>
        <v>116682</v>
      </c>
      <c r="O271" s="153">
        <f t="shared" ref="O271:O273" ca="1" si="84">IF(L271&gt;0,N271*100/L271,0)</f>
        <v>56.724355858045698</v>
      </c>
      <c r="P271" s="153">
        <f t="shared" ref="P271:P273" ca="1" si="85">IF(M271&gt;0,N271*100/M271,0)</f>
        <v>88.395454545454541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205700</v>
      </c>
      <c r="M273" s="90">
        <f t="shared" ca="1" si="87"/>
        <v>132000</v>
      </c>
      <c r="N273" s="90">
        <f t="shared" ca="1" si="87"/>
        <v>116682</v>
      </c>
      <c r="O273" s="158">
        <f t="shared" ca="1" si="84"/>
        <v>56.724355858045698</v>
      </c>
      <c r="P273" s="158">
        <f t="shared" ca="1" si="85"/>
        <v>88.395454545454541</v>
      </c>
    </row>
    <row r="274" spans="1:16" ht="21.75" customHeight="1">
      <c r="A274" s="159"/>
      <c r="B274" s="160"/>
      <c r="C274" s="160" t="s">
        <v>16</v>
      </c>
      <c r="D274" s="570" t="s">
        <v>20</v>
      </c>
      <c r="E274" s="565"/>
      <c r="F274" s="565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205700</v>
      </c>
      <c r="M275" s="169">
        <f ca="1">IFERROR(__xludf.DUMMYFUNCTION("IMPORTRANGE(""https://docs.google.com/spreadsheets/d/1Yj_ptqi66GCucihVvJfMjLAmec39IyEx_6qawtMGysU/edit?usp=sharing"",""สบก!CK30"")"),132000)</f>
        <v>132000</v>
      </c>
      <c r="N275" s="170">
        <f ca="1">IFERROR(__xludf.DUMMYFUNCTION("IMPORTRANGE(""https://docs.google.com/spreadsheets/d/1Yj_ptqi66GCucihVvJfMjLAmec39IyEx_6qawtMGysU/edit?usp=sharing"",""สบก!CL30"")"),116682)</f>
        <v>116682</v>
      </c>
      <c r="O275" s="170">
        <f ca="1">IF(L275&gt;0,N275*100/L275,0)</f>
        <v>56.724355858045698</v>
      </c>
      <c r="P275" s="170">
        <f ca="1">IF(M275&gt;0,N275*100/M275,0)</f>
        <v>88.395454545454541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IFERROR(__xludf.DUMMYFUNCTION("IMPORTRANGE(""https://docs.google.com/spreadsheets/d/1Yj_ptqi66GCucihVvJfMjLAmec39IyEx_6qawtMGysU/edit?usp=sharing"",""สบก!CG30"")"),132000)</f>
        <v>132000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IFERROR(__xludf.DUMMYFUNCTION("IMPORTRANGE(""https://docs.google.com/spreadsheets/d/1Yj_ptqi66GCucihVvJfMjLAmec39IyEx_6qawtMGysU/edit?usp=sharing"",""สบก!CH30"")"),73700)</f>
        <v>73700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IFERROR(__xludf.DUMMYFUNCTION("IMPORTRANGE(""https://docs.google.com/spreadsheets/d/1Yj_ptqi66GCucihVvJfMjLAmec39IyEx_6qawtMGysU/edit?usp=sharing"",""สบก!CI30"")"),0)</f>
        <v>0</v>
      </c>
      <c r="M279" s="52"/>
      <c r="N279" s="52">
        <f ca="1">IFERROR(__xludf.DUMMYFUNCTION("IMPORTRANGE(""https://docs.google.com/spreadsheets/d/1Yj_ptqi66GCucihVvJfMjLAmec39IyEx_6qawtMGysU/edit?usp=sharing"",""สบก!CM30"")"),0)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IFERROR(__xludf.DUMMYFUNCTION("IMPORTRANGE(""https://docs.google.com/spreadsheets/d/11923uPwbBZFjjGgGUA6NLw09EwE0CqkOc4q9oUmW1yo/edit?usp=sharing"",""แพร่!J191"")"),0)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IFERROR(__xludf.DUMMYFUNCTION("IMPORTRANGE(""https://docs.google.com/spreadsheets/d/11923uPwbBZFjjGgGUA6NLw09EwE0CqkOc4q9oUmW1yo/edit?usp=sharing"",""แพร่!J192"")"),1)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IFERROR(__xludf.DUMMYFUNCTION("IMPORTRANGE(""https://docs.google.com/spreadsheets/d/11923uPwbBZFjjGgGUA6NLw09EwE0CqkOc4q9oUmW1yo/edit?usp=sharing"",""แพร่!J193"")"),1)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IFERROR(__xludf.DUMMYFUNCTION("IMPORTRANGE(""https://docs.google.com/spreadsheets/d/11923uPwbBZFjjGgGUA6NLw09EwE0CqkOc4q9oUmW1yo/edit?usp=sharing"",""แพร่!J194"")"),1)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IFERROR(__xludf.DUMMYFUNCTION("IMPORTRANGE(""https://docs.google.com/spreadsheets/d/11923uPwbBZFjjGgGUA6NLw09EwE0CqkOc4q9oUmW1yo/edit?usp=sharing"",""แพร่!I195"")"),20)</f>
        <v>20</v>
      </c>
      <c r="J285" s="190">
        <f ca="1">IFERROR(__xludf.DUMMYFUNCTION("IMPORTRANGE(""https://docs.google.com/spreadsheets/d/11923uPwbBZFjjGgGUA6NLw09EwE0CqkOc4q9oUmW1yo/edit?usp=sharing"",""แพร่!J195"")"),20)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IFERROR(__xludf.DUMMYFUNCTION("IMPORTRANGE(""https://docs.google.com/spreadsheets/d/11923uPwbBZFjjGgGUA6NLw09EwE0CqkOc4q9oUmW1yo/edit?usp=sharing"",""แพร่!J196"")"),0)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IFERROR(__xludf.DUMMYFUNCTION("IMPORTRANGE(""https://docs.google.com/spreadsheets/d/11923uPwbBZFjjGgGUA6NLw09EwE0CqkOc4q9oUmW1yo/edit?usp=sharing"",""แพร่!J197"")"),0)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IFERROR(__xludf.DUMMYFUNCTION("IMPORTRANGE(""https://docs.google.com/spreadsheets/d/11923uPwbBZFjjGgGUA6NLw09EwE0CqkOc4q9oUmW1yo/edit?usp=sharing"",""แพร่!I199"")"),0)</f>
        <v>0</v>
      </c>
      <c r="J289" s="317">
        <f ca="1">IFERROR(__xludf.DUMMYFUNCTION("IMPORTRANGE(""https://docs.google.com/spreadsheets/d/11923uPwbBZFjjGgGUA6NLw09EwE0CqkOc4q9oUmW1yo/edit?usp=sharing"",""แพร่!J199"")"),0)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0</v>
      </c>
      <c r="M292" s="90">
        <f t="shared" ca="1" si="92"/>
        <v>0</v>
      </c>
      <c r="N292" s="90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59"/>
      <c r="B293" s="160"/>
      <c r="C293" s="160" t="s">
        <v>16</v>
      </c>
      <c r="D293" s="570" t="s">
        <v>20</v>
      </c>
      <c r="E293" s="565"/>
      <c r="F293" s="565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IFERROR(__xludf.DUMMYFUNCTION("IMPORTRANGE(""https://docs.google.com/spreadsheets/d/1Yj_ptqi66GCucihVvJfMjLAmec39IyEx_6qawtMGysU/edit?usp=sharing"",""สบก!CT30"")"),0)</f>
        <v>0</v>
      </c>
      <c r="N294" s="170">
        <f ca="1">IFERROR(__xludf.DUMMYFUNCTION("IMPORTRANGE(""https://docs.google.com/spreadsheets/d/1Yj_ptqi66GCucihVvJfMjLAmec39IyEx_6qawtMGysU/edit?usp=sharing"",""สบก!CU30"")"),0)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IFERROR(__xludf.DUMMYFUNCTION("IMPORTRANGE(""https://docs.google.com/spreadsheets/d/1Yj_ptqi66GCucihVvJfMjLAmec39IyEx_6qawtMGysU/edit?usp=sharing"",""สบก!CP30"")"),0)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IFERROR(__xludf.DUMMYFUNCTION("IMPORTRANGE(""https://docs.google.com/spreadsheets/d/1Yj_ptqi66GCucihVvJfMjLAmec39IyEx_6qawtMGysU/edit?usp=sharing"",""สบก!CQ30"")"),0)</f>
        <v>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IFERROR(__xludf.DUMMYFUNCTION("IMPORTRANGE(""https://docs.google.com/spreadsheets/d/1Yj_ptqi66GCucihVvJfMjLAmec39IyEx_6qawtMGysU/edit?usp=sharing"",""สบก!CR30"")"),0)</f>
        <v>0</v>
      </c>
      <c r="M298" s="52"/>
      <c r="N298" s="52">
        <f ca="1">IFERROR(__xludf.DUMMYFUNCTION("IMPORTRANGE(""https://docs.google.com/spreadsheets/d/1Yj_ptqi66GCucihVvJfMjLAmec39IyEx_6qawtMGysU/edit?usp=sharing"",""สบก!CV30"")"),0)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IFERROR(__xludf.DUMMYFUNCTION("IMPORTRANGE(""https://docs.google.com/spreadsheets/d/11923uPwbBZFjjGgGUA6NLw09EwE0CqkOc4q9oUmW1yo/edit?usp=sharing"",""แพร่!J205"")"),0)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IFERROR(__xludf.DUMMYFUNCTION("IMPORTRANGE(""https://docs.google.com/spreadsheets/d/11923uPwbBZFjjGgGUA6NLw09EwE0CqkOc4q9oUmW1yo/edit?usp=sharing"",""แพร่!J206"")"),0)</f>
        <v>0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IFERROR(__xludf.DUMMYFUNCTION("IMPORTRANGE(""https://docs.google.com/spreadsheets/d/11923uPwbBZFjjGgGUA6NLw09EwE0CqkOc4q9oUmW1yo/edit?usp=sharing"",""แพร่!J207"")"),0)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IFERROR(__xludf.DUMMYFUNCTION("IMPORTRANGE(""https://docs.google.com/spreadsheets/d/11923uPwbBZFjjGgGUA6NLw09EwE0CqkOc4q9oUmW1yo/edit?usp=sharing"",""แพร่!J208"")"),0)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IFERROR(__xludf.DUMMYFUNCTION("IMPORTRANGE(""https://docs.google.com/spreadsheets/d/11923uPwbBZFjjGgGUA6NLw09EwE0CqkOc4q9oUmW1yo/edit?usp=sharing"",""แพร่!I209"")"),0)</f>
        <v>0</v>
      </c>
      <c r="J304" s="205">
        <f ca="1">IFERROR(__xludf.DUMMYFUNCTION("IMPORTRANGE(""https://docs.google.com/spreadsheets/d/11923uPwbBZFjjGgGUA6NLw09EwE0CqkOc4q9oUmW1yo/edit?usp=sharing"",""แพร่!J209"")"),0)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IFERROR(__xludf.DUMMYFUNCTION("IMPORTRANGE(""https://docs.google.com/spreadsheets/d/11923uPwbBZFjjGgGUA6NLw09EwE0CqkOc4q9oUmW1yo/edit?usp=sharing"",""แพร่!I211"")"),0)</f>
        <v>0</v>
      </c>
      <c r="J306" s="205">
        <f ca="1">IFERROR(__xludf.DUMMYFUNCTION("IMPORTRANGE(""https://docs.google.com/spreadsheets/d/11923uPwbBZFjjGgGUA6NLw09EwE0CqkOc4q9oUmW1yo/edit?usp=sharing"",""แพร่!J211"")"),0)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IFERROR(__xludf.DUMMYFUNCTION("IMPORTRANGE(""https://docs.google.com/spreadsheets/d/11923uPwbBZFjjGgGUA6NLw09EwE0CqkOc4q9oUmW1yo/edit?usp=sharing"",""แพร่!J212"")"),0)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IFERROR(__xludf.DUMMYFUNCTION("IMPORTRANGE(""https://docs.google.com/spreadsheets/d/11923uPwbBZFjjGgGUA6NLw09EwE0CqkOc4q9oUmW1yo/edit?usp=sharing"",""แพร่!J213"")"),0)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IFERROR(__xludf.DUMMYFUNCTION("IMPORTRANGE(""https://docs.google.com/spreadsheets/d/11923uPwbBZFjjGgGUA6NLw09EwE0CqkOc4q9oUmW1yo/edit?usp=sharing"",""แพร่!I214"")"),0)</f>
        <v>0</v>
      </c>
      <c r="J309" s="334">
        <f ca="1">IFERROR(__xludf.DUMMYFUNCTION("IMPORTRANGE(""https://docs.google.com/spreadsheets/d/11923uPwbBZFjjGgGUA6NLw09EwE0CqkOc4q9oUmW1yo/edit?usp=sharing"",""แพร่!J214"")"),0)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0</v>
      </c>
      <c r="M312" s="90">
        <f t="shared" ca="1" si="97"/>
        <v>0</v>
      </c>
      <c r="N312" s="90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59"/>
      <c r="B313" s="160"/>
      <c r="C313" s="160" t="s">
        <v>16</v>
      </c>
      <c r="D313" s="570" t="s">
        <v>20</v>
      </c>
      <c r="E313" s="565"/>
      <c r="F313" s="565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IFERROR(__xludf.DUMMYFUNCTION("IMPORTRANGE(""https://docs.google.com/spreadsheets/d/1Yj_ptqi66GCucihVvJfMjLAmec39IyEx_6qawtMGysU/edit?usp=sharing"",""สบก!DC30"")"),0)</f>
        <v>0</v>
      </c>
      <c r="N314" s="170">
        <f ca="1">IFERROR(__xludf.DUMMYFUNCTION("IMPORTRANGE(""https://docs.google.com/spreadsheets/d/1Yj_ptqi66GCucihVvJfMjLAmec39IyEx_6qawtMGysU/edit?usp=sharing"",""สบก!DD30"")"),0)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IFERROR(__xludf.DUMMYFUNCTION("IMPORTRANGE(""https://docs.google.com/spreadsheets/d/1Yj_ptqi66GCucihVvJfMjLAmec39IyEx_6qawtMGysU/edit?usp=sharing"",""สบก!CY30"")"),0)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IFERROR(__xludf.DUMMYFUNCTION("IMPORTRANGE(""https://docs.google.com/spreadsheets/d/1Yj_ptqi66GCucihVvJfMjLAmec39IyEx_6qawtMGysU/edit?usp=sharing"",""สบก!CZ30"")"),0)</f>
        <v>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IFERROR(__xludf.DUMMYFUNCTION("IMPORTRANGE(""https://docs.google.com/spreadsheets/d/1Yj_ptqi66GCucihVvJfMjLAmec39IyEx_6qawtMGysU/edit?usp=sharing"",""สบก!DA30"")"),0)</f>
        <v>0</v>
      </c>
      <c r="M318" s="52"/>
      <c r="N318" s="52">
        <f ca="1">IFERROR(__xludf.DUMMYFUNCTION("IMPORTRANGE(""https://docs.google.com/spreadsheets/d/1Yj_ptqi66GCucihVvJfMjLAmec39IyEx_6qawtMGysU/edit?usp=sharing"",""สบก!DE30"")"),0)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IFERROR(__xludf.DUMMYFUNCTION("IMPORTRANGE(""https://docs.google.com/spreadsheets/d/11923uPwbBZFjjGgGUA6NLw09EwE0CqkOc4q9oUmW1yo/edit?usp=sharing"",""แพร่!J220"")"),0)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IFERROR(__xludf.DUMMYFUNCTION("IMPORTRANGE(""https://docs.google.com/spreadsheets/d/11923uPwbBZFjjGgGUA6NLw09EwE0CqkOc4q9oUmW1yo/edit?usp=sharing"",""แพร่!J221"")"),0)</f>
        <v>0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IFERROR(__xludf.DUMMYFUNCTION("IMPORTRANGE(""https://docs.google.com/spreadsheets/d/11923uPwbBZFjjGgGUA6NLw09EwE0CqkOc4q9oUmW1yo/edit?usp=sharing"",""แพร่!J222"")"),0)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IFERROR(__xludf.DUMMYFUNCTION("IMPORTRANGE(""https://docs.google.com/spreadsheets/d/11923uPwbBZFjjGgGUA6NLw09EwE0CqkOc4q9oUmW1yo/edit?usp=sharing"",""แพร่!J223"")"),0)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IFERROR(__xludf.DUMMYFUNCTION("IMPORTRANGE(""https://docs.google.com/spreadsheets/d/11923uPwbBZFjjGgGUA6NLw09EwE0CqkOc4q9oUmW1yo/edit?usp=sharing"",""แพร่!I224"")"),0)</f>
        <v>0</v>
      </c>
      <c r="J324" s="205">
        <f ca="1">IFERROR(__xludf.DUMMYFUNCTION("IMPORTRANGE(""https://docs.google.com/spreadsheets/d/11923uPwbBZFjjGgGUA6NLw09EwE0CqkOc4q9oUmW1yo/edit?usp=sharing"",""แพร่!J224"")"),0)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IFERROR(__xludf.DUMMYFUNCTION("IMPORTRANGE(""https://docs.google.com/spreadsheets/d/11923uPwbBZFjjGgGUA6NLw09EwE0CqkOc4q9oUmW1yo/edit?usp=sharing"",""แพร่!J225"")"),0)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IFERROR(__xludf.DUMMYFUNCTION("IMPORTRANGE(""https://docs.google.com/spreadsheets/d/11923uPwbBZFjjGgGUA6NLw09EwE0CqkOc4q9oUmW1yo/edit?usp=sharing"",""แพร่!J226"")"),0)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IFERROR(__xludf.DUMMYFUNCTION("IMPORTRANGE(""https://docs.google.com/spreadsheets/d/11923uPwbBZFjjGgGUA6NLw09EwE0CqkOc4q9oUmW1yo/edit?usp=sharing"",""แพร่!I228"")"),360)</f>
        <v>360</v>
      </c>
      <c r="J328" s="340">
        <f ca="1">IFERROR(__xludf.DUMMYFUNCTION("IMPORTRANGE(""https://docs.google.com/spreadsheets/d/11923uPwbBZFjjGgGUA6NLw09EwE0CqkOc4q9oUmW1yo/edit?usp=sharing"",""แพร่!J228"")"),366)</f>
        <v>366</v>
      </c>
      <c r="K328" s="318">
        <f ca="1">IF(I328&gt;0,J328*100/I328,0)</f>
        <v>101.66666666666667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833180</v>
      </c>
      <c r="M329" s="154">
        <f t="shared" ca="1" si="98"/>
        <v>656620</v>
      </c>
      <c r="N329" s="154">
        <f t="shared" ca="1" si="98"/>
        <v>535922.59</v>
      </c>
      <c r="O329" s="153">
        <f t="shared" ref="O329:O331" ca="1" si="99">IF(L329&gt;0,N329*100/L329,0)</f>
        <v>64.322546148491327</v>
      </c>
      <c r="P329" s="153">
        <f t="shared" ref="P329:P331" ca="1" si="100">IF(M329&gt;0,N329*100/M329,0)</f>
        <v>81.618377448143519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833180</v>
      </c>
      <c r="M331" s="90">
        <f t="shared" ca="1" si="102"/>
        <v>656620</v>
      </c>
      <c r="N331" s="90">
        <f t="shared" ca="1" si="102"/>
        <v>535922.59</v>
      </c>
      <c r="O331" s="158">
        <f t="shared" ca="1" si="99"/>
        <v>64.322546148491327</v>
      </c>
      <c r="P331" s="158">
        <f t="shared" ca="1" si="100"/>
        <v>81.618377448143519</v>
      </c>
    </row>
    <row r="332" spans="1:16" ht="21.75" customHeight="1">
      <c r="A332" s="159"/>
      <c r="B332" s="160"/>
      <c r="C332" s="160" t="s">
        <v>16</v>
      </c>
      <c r="D332" s="570" t="s">
        <v>20</v>
      </c>
      <c r="E332" s="565"/>
      <c r="F332" s="565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823180</v>
      </c>
      <c r="M333" s="169">
        <f ca="1">IFERROR(__xludf.DUMMYFUNCTION("IMPORTRANGE(""https://docs.google.com/spreadsheets/d/1Yj_ptqi66GCucihVvJfMjLAmec39IyEx_6qawtMGysU/edit?usp=sharing"",""สบก!DL30"")"),646620)</f>
        <v>646620</v>
      </c>
      <c r="N333" s="170">
        <f ca="1">IFERROR(__xludf.DUMMYFUNCTION("IMPORTRANGE(""https://docs.google.com/spreadsheets/d/1Yj_ptqi66GCucihVvJfMjLAmec39IyEx_6qawtMGysU/edit?usp=sharing"",""สบก!DM30"")"),525922.59)</f>
        <v>525922.59</v>
      </c>
      <c r="O333" s="170">
        <f ca="1">IF(L333&gt;0,N333*100/L333,0)</f>
        <v>63.889136033431328</v>
      </c>
      <c r="P333" s="170">
        <f ca="1">IF(M333&gt;0,N333*100/M333,0)</f>
        <v>81.334105038507928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IFERROR(__xludf.DUMMYFUNCTION("IMPORTRANGE(""https://docs.google.com/spreadsheets/d/1Yj_ptqi66GCucihVvJfMjLAmec39IyEx_6qawtMGysU/edit?usp=sharing"",""สบก!DH30"")"),491200)</f>
        <v>491200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IFERROR(__xludf.DUMMYFUNCTION("IMPORTRANGE(""https://docs.google.com/spreadsheets/d/1Yj_ptqi66GCucihVvJfMjLAmec39IyEx_6qawtMGysU/edit?usp=sharing"",""สบก!DI30"")"),331980)</f>
        <v>331980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IFERROR(__xludf.DUMMYFUNCTION("IMPORTRANGE(""https://docs.google.com/spreadsheets/d/1Yj_ptqi66GCucihVvJfMjLAmec39IyEx_6qawtMGysU/edit?usp=sharing"",""สบก!DJ30"")"),10000)</f>
        <v>10000</v>
      </c>
      <c r="M337" s="52">
        <f ca="1">L337</f>
        <v>10000</v>
      </c>
      <c r="N337" s="52">
        <f ca="1">IFERROR(__xludf.DUMMYFUNCTION("IMPORTRANGE(""https://docs.google.com/spreadsheets/d/1Yj_ptqi66GCucihVvJfMjLAmec39IyEx_6qawtMGysU/edit?usp=sharing"",""สบก!DN30"")"),10000)</f>
        <v>10000</v>
      </c>
      <c r="O337" s="52">
        <f ca="1">IF(L337&gt;0,N337*100/L337,0)</f>
        <v>100</v>
      </c>
      <c r="P337" s="52">
        <f ca="1">IF(M337&gt;0,N337*100/M337,0)</f>
        <v>100</v>
      </c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IFERROR(__xludf.DUMMYFUNCTION("IMPORTRANGE(""https://docs.google.com/spreadsheets/d/11923uPwbBZFjjGgGUA6NLw09EwE0CqkOc4q9oUmW1yo/edit?usp=sharing"",""แพร่!I234"")"),0)</f>
        <v>0</v>
      </c>
      <c r="J339" s="189">
        <f ca="1">IFERROR(__xludf.DUMMYFUNCTION("IMPORTRANGE(""https://docs.google.com/spreadsheets/d/11923uPwbBZFjjGgGUA6NLw09EwE0CqkOc4q9oUmW1yo/edit?usp=sharing"",""แพร่!J234"")"),127)</f>
        <v>127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IFERROR(__xludf.DUMMYFUNCTION("IMPORTRANGE(""https://docs.google.com/spreadsheets/d/11923uPwbBZFjjGgGUA6NLw09EwE0CqkOc4q9oUmW1yo/edit?usp=sharing"",""แพร่!I235"")"),1300)</f>
        <v>1300</v>
      </c>
      <c r="J340" s="189">
        <f ca="1">IFERROR(__xludf.DUMMYFUNCTION("IMPORTRANGE(""https://docs.google.com/spreadsheets/d/11923uPwbBZFjjGgGUA6NLw09EwE0CqkOc4q9oUmW1yo/edit?usp=sharing"",""แพร่!J235"")"),953.41)</f>
        <v>953.41</v>
      </c>
      <c r="K340" s="343">
        <f t="shared" ca="1" si="103"/>
        <v>73.339230769230767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IFERROR(__xludf.DUMMYFUNCTION("IMPORTRANGE(""https://docs.google.com/spreadsheets/d/11923uPwbBZFjjGgGUA6NLw09EwE0CqkOc4q9oUmW1yo/edit?usp=sharing"",""แพร่!I236"")"),360)</f>
        <v>360</v>
      </c>
      <c r="J341" s="189">
        <f ca="1">IFERROR(__xludf.DUMMYFUNCTION("IMPORTRANGE(""https://docs.google.com/spreadsheets/d/11923uPwbBZFjjGgGUA6NLw09EwE0CqkOc4q9oUmW1yo/edit?usp=sharing"",""แพร่!J236"")"),447)</f>
        <v>447</v>
      </c>
      <c r="K341" s="343">
        <f t="shared" ca="1" si="103"/>
        <v>124.16666666666667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IFERROR(__xludf.DUMMYFUNCTION("IMPORTRANGE(""https://docs.google.com/spreadsheets/d/11923uPwbBZFjjGgGUA6NLw09EwE0CqkOc4q9oUmW1yo/edit?usp=sharing"",""แพร่!I237"")"),0)</f>
        <v>0</v>
      </c>
      <c r="J342" s="189">
        <f ca="1">IFERROR(__xludf.DUMMYFUNCTION("IMPORTRANGE(""https://docs.google.com/spreadsheets/d/11923uPwbBZFjjGgGUA6NLw09EwE0CqkOc4q9oUmW1yo/edit?usp=sharing"",""แพร่!J237"")"),3809.19)</f>
        <v>3809.19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IFERROR(__xludf.DUMMYFUNCTION("IMPORTRANGE(""https://docs.google.com/spreadsheets/d/11923uPwbBZFjjGgGUA6NLw09EwE0CqkOc4q9oUmW1yo/edit?usp=sharing"",""แพร่!I238"")"),360)</f>
        <v>360</v>
      </c>
      <c r="J343" s="189">
        <f ca="1">IFERROR(__xludf.DUMMYFUNCTION("IMPORTRANGE(""https://docs.google.com/spreadsheets/d/11923uPwbBZFjjGgGUA6NLw09EwE0CqkOc4q9oUmW1yo/edit?usp=sharing"",""แพร่!J238"")"),0)</f>
        <v>0</v>
      </c>
      <c r="K343" s="343">
        <f t="shared" ca="1" si="103"/>
        <v>0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IFERROR(__xludf.DUMMYFUNCTION("IMPORTRANGE(""https://docs.google.com/spreadsheets/d/11923uPwbBZFjjGgGUA6NLw09EwE0CqkOc4q9oUmW1yo/edit?usp=sharing"",""แพร่!I239"")"),0)</f>
        <v>0</v>
      </c>
      <c r="J344" s="189">
        <f ca="1">IFERROR(__xludf.DUMMYFUNCTION("IMPORTRANGE(""https://docs.google.com/spreadsheets/d/11923uPwbBZFjjGgGUA6NLw09EwE0CqkOc4q9oUmW1yo/edit?usp=sharing"",""แพร่!J239"")"),0)</f>
        <v>0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IFERROR(__xludf.DUMMYFUNCTION("IMPORTRANGE(""https://docs.google.com/spreadsheets/d/11923uPwbBZFjjGgGUA6NLw09EwE0CqkOc4q9oUmW1yo/edit?usp=sharing"",""แพร่!I240"")"),360)</f>
        <v>360</v>
      </c>
      <c r="J345" s="189">
        <f ca="1">IFERROR(__xludf.DUMMYFUNCTION("IMPORTRANGE(""https://docs.google.com/spreadsheets/d/11923uPwbBZFjjGgGUA6NLw09EwE0CqkOc4q9oUmW1yo/edit?usp=sharing"",""แพร่!J240"")"),366)</f>
        <v>366</v>
      </c>
      <c r="K345" s="343">
        <f t="shared" ca="1" si="103"/>
        <v>101.66666666666667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IFERROR(__xludf.DUMMYFUNCTION("IMPORTRANGE(""https://docs.google.com/spreadsheets/d/11923uPwbBZFjjGgGUA6NLw09EwE0CqkOc4q9oUmW1yo/edit?usp=sharing"",""แพร่!I241"")"),0)</f>
        <v>0</v>
      </c>
      <c r="J346" s="189">
        <f ca="1">IFERROR(__xludf.DUMMYFUNCTION("IMPORTRANGE(""https://docs.google.com/spreadsheets/d/11923uPwbBZFjjGgGUA6NLw09EwE0CqkOc4q9oUmW1yo/edit?usp=sharing"",""แพร่!J241"")"),3224.8)</f>
        <v>3224.8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IFERROR(__xludf.DUMMYFUNCTION("IMPORTRANGE(""https://docs.google.com/spreadsheets/d/11923uPwbBZFjjGgGUA6NLw09EwE0CqkOc4q9oUmW1yo/edit?usp=sharing"",""แพร่!L242"")"),1865460)</f>
        <v>1865460</v>
      </c>
      <c r="M347" s="359"/>
      <c r="N347" s="359">
        <f ca="1">IFERROR(__xludf.DUMMYFUNCTION("IMPORTRANGE(""https://docs.google.com/spreadsheets/d/11923uPwbBZFjjGgGUA6NLw09EwE0CqkOc4q9oUmW1yo/edit?usp=sharing"",""แพร่!M242"")"),781319.85)</f>
        <v>781319.85</v>
      </c>
      <c r="O347" s="359">
        <f ca="1">+IF(L347&gt;0,N347*100/L347,0)</f>
        <v>41.883495223698176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IFERROR(__xludf.DUMMYFUNCTION("IMPORTRANGE(""https://docs.google.com/spreadsheets/d/11923uPwbBZFjjGgGUA6NLw09EwE0CqkOc4q9oUmW1yo/edit?usp=sharing"",""แพร่!I244"")"),90)</f>
        <v>90</v>
      </c>
      <c r="J349" s="372">
        <f ca="1">IFERROR(__xludf.DUMMYFUNCTION("IMPORTRANGE(""https://docs.google.com/spreadsheets/d/11923uPwbBZFjjGgGUA6NLw09EwE0CqkOc4q9oUmW1yo/edit?usp=sharing"",""แพร่!J244"")"),90)</f>
        <v>90</v>
      </c>
      <c r="K349" s="373">
        <f t="shared" ref="K349:K350" ca="1" si="104">IF(I349&gt;0,J349*100/I349,0)</f>
        <v>100</v>
      </c>
      <c r="L349" s="374">
        <f ca="1">IFERROR(__xludf.DUMMYFUNCTION("IMPORTRANGE(""https://docs.google.com/spreadsheets/d/11923uPwbBZFjjGgGUA6NLw09EwE0CqkOc4q9oUmW1yo/edit?usp=sharing"",""แพร่!L244"")"),348030)</f>
        <v>348030</v>
      </c>
      <c r="M349" s="374"/>
      <c r="N349" s="374">
        <f ca="1">IFERROR(__xludf.DUMMYFUNCTION("IMPORTRANGE(""https://docs.google.com/spreadsheets/d/11923uPwbBZFjjGgGUA6NLw09EwE0CqkOc4q9oUmW1yo/edit?usp=sharing"",""แพร่!M244"")"),272436)</f>
        <v>272436</v>
      </c>
      <c r="O349" s="374">
        <f ca="1">+IF(L349&gt;0,N349*100/L349,0)</f>
        <v>78.279458667356266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IFERROR(__xludf.DUMMYFUNCTION("IMPORTRANGE(""https://docs.google.com/spreadsheets/d/11923uPwbBZFjjGgGUA6NLw09EwE0CqkOc4q9oUmW1yo/edit?usp=sharing"",""แพร่!I245"")"),55)</f>
        <v>55</v>
      </c>
      <c r="J350" s="372">
        <f ca="1">IFERROR(__xludf.DUMMYFUNCTION("IMPORTRANGE(""https://docs.google.com/spreadsheets/d/11923uPwbBZFjjGgGUA6NLw09EwE0CqkOc4q9oUmW1yo/edit?usp=sharing"",""แพร่!J245"")"),55)</f>
        <v>55</v>
      </c>
      <c r="K350" s="373">
        <f t="shared" ca="1" si="104"/>
        <v>100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IFERROR(__xludf.DUMMYFUNCTION("IMPORTRANGE(""https://docs.google.com/spreadsheets/d/11923uPwbBZFjjGgGUA6NLw09EwE0CqkOc4q9oUmW1yo/edit?usp=sharing"",""แพร่!L246"")"),0)</f>
        <v>0</v>
      </c>
      <c r="M351" s="166"/>
      <c r="N351" s="166">
        <f ca="1">IFERROR(__xludf.DUMMYFUNCTION("IMPORTRANGE(""https://docs.google.com/spreadsheets/d/11923uPwbBZFjjGgGUA6NLw09EwE0CqkOc4q9oUmW1yo/edit?usp=sharing"",""แพร่!M246"")"),0)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IFERROR(__xludf.DUMMYFUNCTION("IMPORTRANGE(""https://docs.google.com/spreadsheets/d/11923uPwbBZFjjGgGUA6NLw09EwE0CqkOc4q9oUmW1yo/edit?usp=sharing"",""แพร่!L247"")"),348030)</f>
        <v>348030</v>
      </c>
      <c r="M352" s="167"/>
      <c r="N352" s="166">
        <f ca="1">IFERROR(__xludf.DUMMYFUNCTION("IMPORTRANGE(""https://docs.google.com/spreadsheets/d/11923uPwbBZFjjGgGUA6NLw09EwE0CqkOc4q9oUmW1yo/edit?usp=sharing"",""แพร่!M247"")"),272436)</f>
        <v>272436</v>
      </c>
      <c r="O352" s="167">
        <f t="shared" ca="1" si="105"/>
        <v>78.279458667356266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IFERROR(__xludf.DUMMYFUNCTION("IMPORTRANGE(""https://docs.google.com/spreadsheets/d/11923uPwbBZFjjGgGUA6NLw09EwE0CqkOc4q9oUmW1yo/edit?usp=sharing"",""แพร่!L248"")"),0)</f>
        <v>0</v>
      </c>
      <c r="M353" s="170"/>
      <c r="N353" s="170">
        <f ca="1">IFERROR(__xludf.DUMMYFUNCTION("IMPORTRANGE(""https://docs.google.com/spreadsheets/d/11923uPwbBZFjjGgGUA6NLw09EwE0CqkOc4q9oUmW1yo/edit?usp=sharing"",""แพร่!M248"")"),0)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IFERROR(__xludf.DUMMYFUNCTION("IMPORTRANGE(""https://docs.google.com/spreadsheets/d/11923uPwbBZFjjGgGUA6NLw09EwE0CqkOc4q9oUmW1yo/edit?usp=sharing"",""แพร่!L249"")"),348030)</f>
        <v>348030</v>
      </c>
      <c r="M354" s="170"/>
      <c r="N354" s="169">
        <f ca="1">IFERROR(__xludf.DUMMYFUNCTION("IMPORTRANGE(""https://docs.google.com/spreadsheets/d/11923uPwbBZFjjGgGUA6NLw09EwE0CqkOc4q9oUmW1yo/edit?usp=sharing"",""แพร่!M249"")"),272436)</f>
        <v>272436</v>
      </c>
      <c r="O354" s="170">
        <f t="shared" ca="1" si="105"/>
        <v>78.279458667356266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IFERROR(__xludf.DUMMYFUNCTION("IMPORTRANGE(""https://docs.google.com/spreadsheets/d/11923uPwbBZFjjGgGUA6NLw09EwE0CqkOc4q9oUmW1yo/edit?usp=sharing"",""แพร่!M250"")"),67500)</f>
        <v>67500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IFERROR(__xludf.DUMMYFUNCTION("IMPORTRANGE(""https://docs.google.com/spreadsheets/d/11923uPwbBZFjjGgGUA6NLw09EwE0CqkOc4q9oUmW1yo/edit?usp=sharing"",""แพร่!M251"")"),93000)</f>
        <v>93000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IFERROR(__xludf.DUMMYFUNCTION("IMPORTRANGE(""https://docs.google.com/spreadsheets/d/11923uPwbBZFjjGgGUA6NLw09EwE0CqkOc4q9oUmW1yo/edit?usp=sharing"",""แพร่!M252"")"),55000)</f>
        <v>55000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IFERROR(__xludf.DUMMYFUNCTION("IMPORTRANGE(""https://docs.google.com/spreadsheets/d/11923uPwbBZFjjGgGUA6NLw09EwE0CqkOc4q9oUmW1yo/edit?usp=sharing"",""แพร่!M253"")"),56936)</f>
        <v>56936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IFERROR(__xludf.DUMMYFUNCTION("IMPORTRANGE(""https://docs.google.com/spreadsheets/d/11923uPwbBZFjjGgGUA6NLw09EwE0CqkOc4q9oUmW1yo/edit?usp=sharing"",""แพร่!J255"")"),0)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IFERROR(__xludf.DUMMYFUNCTION("IMPORTRANGE(""https://docs.google.com/spreadsheets/d/11923uPwbBZFjjGgGUA6NLw09EwE0CqkOc4q9oUmW1yo/edit?usp=sharing"",""แพร่!J256"")"),1)</f>
        <v>1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IFERROR(__xludf.DUMMYFUNCTION("IMPORTRANGE(""https://docs.google.com/spreadsheets/d/11923uPwbBZFjjGgGUA6NLw09EwE0CqkOc4q9oUmW1yo/edit?usp=sharing"",""แพร่!J257"")"),1)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IFERROR(__xludf.DUMMYFUNCTION("IMPORTRANGE(""https://docs.google.com/spreadsheets/d/11923uPwbBZFjjGgGUA6NLw09EwE0CqkOc4q9oUmW1yo/edit?usp=sharing"",""แพร่!J258"")"),1)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IFERROR(__xludf.DUMMYFUNCTION("IMPORTRANGE(""https://docs.google.com/spreadsheets/d/11923uPwbBZFjjGgGUA6NLw09EwE0CqkOc4q9oUmW1yo/edit?usp=sharing"",""แพร่!J166"")"),0)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IFERROR(__xludf.DUMMYFUNCTION("IMPORTRANGE(""https://docs.google.com/spreadsheets/d/11923uPwbBZFjjGgGUA6NLw09EwE0CqkOc4q9oUmW1yo/edit?usp=sharing"",""แพร่!J166"")"),0)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IFERROR(__xludf.DUMMYFUNCTION("IMPORTRANGE(""https://docs.google.com/spreadsheets/d/11923uPwbBZFjjGgGUA6NLw09EwE0CqkOc4q9oUmW1yo/edit?usp=sharing"",""แพร่!J166"")"),0)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IFERROR(__xludf.DUMMYFUNCTION("IMPORTRANGE(""https://docs.google.com/spreadsheets/d/11923uPwbBZFjjGgGUA6NLw09EwE0CqkOc4q9oUmW1yo/edit?usp=sharing"",""แพร่!J166"")"),0)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IFERROR(__xludf.DUMMYFUNCTION("IMPORTRANGE(""https://docs.google.com/spreadsheets/d/11923uPwbBZFjjGgGUA6NLw09EwE0CqkOc4q9oUmW1yo/edit?usp=sharing"",""แพร่!I263"")"),55)</f>
        <v>55</v>
      </c>
      <c r="J368" s="189">
        <f ca="1">IFERROR(__xludf.DUMMYFUNCTION("IMPORTRANGE(""https://docs.google.com/spreadsheets/d/11923uPwbBZFjjGgGUA6NLw09EwE0CqkOc4q9oUmW1yo/edit?usp=sharing"",""แพร่!J263"")"),55)</f>
        <v>55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IFERROR(__xludf.DUMMYFUNCTION("IMPORTRANGE(""https://docs.google.com/spreadsheets/d/11923uPwbBZFjjGgGUA6NLw09EwE0CqkOc4q9oUmW1yo/edit?usp=sharing"",""แพร่!I164"")"),0)</f>
        <v>0</v>
      </c>
      <c r="J369" s="205">
        <f ca="1">IFERROR(__xludf.DUMMYFUNCTION("IMPORTRANGE(""https://docs.google.com/spreadsheets/d/11923uPwbBZFjjGgGUA6NLw09EwE0CqkOc4q9oUmW1yo/edit?usp=sharing"",""แพร่!J164"")"),0)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IFERROR(__xludf.DUMMYFUNCTION("IMPORTRANGE(""https://docs.google.com/spreadsheets/d/11923uPwbBZFjjGgGUA6NLw09EwE0CqkOc4q9oUmW1yo/edit?usp=sharing"",""แพร่!I265"")"),55)</f>
        <v>55</v>
      </c>
      <c r="J370" s="205">
        <f ca="1">IFERROR(__xludf.DUMMYFUNCTION("IMPORTRANGE(""https://docs.google.com/spreadsheets/d/11923uPwbBZFjjGgGUA6NLw09EwE0CqkOc4q9oUmW1yo/edit?usp=sharing"",""แพร่!J265"")"),55)</f>
        <v>55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IFERROR(__xludf.DUMMYFUNCTION("IMPORTRANGE(""https://docs.google.com/spreadsheets/d/11923uPwbBZFjjGgGUA6NLw09EwE0CqkOc4q9oUmW1yo/edit?usp=sharing"",""แพร่!I164"")"),0)</f>
        <v>0</v>
      </c>
      <c r="J371" s="190">
        <f ca="1">IFERROR(__xludf.DUMMYFUNCTION("IMPORTRANGE(""https://docs.google.com/spreadsheets/d/11923uPwbBZFjjGgGUA6NLw09EwE0CqkOc4q9oUmW1yo/edit?usp=sharing"",""แพร่!J164"")"),0)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IFERROR(__xludf.DUMMYFUNCTION("IMPORTRANGE(""https://docs.google.com/spreadsheets/d/11923uPwbBZFjjGgGUA6NLw09EwE0CqkOc4q9oUmW1yo/edit?usp=sharing"",""แพร่!I267"")"),55)</f>
        <v>55</v>
      </c>
      <c r="J372" s="190">
        <f ca="1">IFERROR(__xludf.DUMMYFUNCTION("IMPORTRANGE(""https://docs.google.com/spreadsheets/d/11923uPwbBZFjjGgGUA6NLw09EwE0CqkOc4q9oUmW1yo/edit?usp=sharing"",""แพร่!J267"")"),55)</f>
        <v>55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IFERROR(__xludf.DUMMYFUNCTION("IMPORTRANGE(""https://docs.google.com/spreadsheets/d/11923uPwbBZFjjGgGUA6NLw09EwE0CqkOc4q9oUmW1yo/edit?usp=sharing"",""แพร่!I164"")"),0)</f>
        <v>0</v>
      </c>
      <c r="J373" s="205">
        <f ca="1">IFERROR(__xludf.DUMMYFUNCTION("IMPORTRANGE(""https://docs.google.com/spreadsheets/d/11923uPwbBZFjjGgGUA6NLw09EwE0CqkOc4q9oUmW1yo/edit?usp=sharing"",""แพร่!J164"")"),0)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IFERROR(__xludf.DUMMYFUNCTION("IMPORTRANGE(""https://docs.google.com/spreadsheets/d/11923uPwbBZFjjGgGUA6NLw09EwE0CqkOc4q9oUmW1yo/edit?usp=sharing"",""แพร่!I164"")"),0)</f>
        <v>0</v>
      </c>
      <c r="J374" s="189">
        <f ca="1">IFERROR(__xludf.DUMMYFUNCTION("IMPORTRANGE(""https://docs.google.com/spreadsheets/d/11923uPwbBZFjjGgGUA6NLw09EwE0CqkOc4q9oUmW1yo/edit?usp=sharing"",""แพร่!J164"")"),0)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IFERROR(__xludf.DUMMYFUNCTION("IMPORTRANGE(""https://docs.google.com/spreadsheets/d/11923uPwbBZFjjGgGUA6NLw09EwE0CqkOc4q9oUmW1yo/edit?usp=sharing"",""แพร่!I270"")"),90)</f>
        <v>90</v>
      </c>
      <c r="J375" s="189">
        <f ca="1">IFERROR(__xludf.DUMMYFUNCTION("IMPORTRANGE(""https://docs.google.com/spreadsheets/d/11923uPwbBZFjjGgGUA6NLw09EwE0CqkOc4q9oUmW1yo/edit?usp=sharing"",""แพร่!J270"")"),90)</f>
        <v>90</v>
      </c>
      <c r="K375" s="165">
        <f t="shared" ref="K375:K377" ca="1" si="107">IF(I375&gt;0,J375*100/I375,0)</f>
        <v>100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IFERROR(__xludf.DUMMYFUNCTION("IMPORTRANGE(""https://docs.google.com/spreadsheets/d/11923uPwbBZFjjGgGUA6NLw09EwE0CqkOc4q9oUmW1yo/edit?usp=sharing"",""แพร่!I271"")"),50)</f>
        <v>50</v>
      </c>
      <c r="J376" s="190">
        <f ca="1">IFERROR(__xludf.DUMMYFUNCTION("IMPORTRANGE(""https://docs.google.com/spreadsheets/d/11923uPwbBZFjjGgGUA6NLw09EwE0CqkOc4q9oUmW1yo/edit?usp=sharing"",""แพร่!J271"")"),50)</f>
        <v>50</v>
      </c>
      <c r="K376" s="165">
        <f t="shared" ca="1" si="107"/>
        <v>100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IFERROR(__xludf.DUMMYFUNCTION("IMPORTRANGE(""https://docs.google.com/spreadsheets/d/11923uPwbBZFjjGgGUA6NLw09EwE0CqkOc4q9oUmW1yo/edit?usp=sharing"",""แพร่!I272"")"),40)</f>
        <v>40</v>
      </c>
      <c r="J377" s="205">
        <f ca="1">IFERROR(__xludf.DUMMYFUNCTION("IMPORTRANGE(""https://docs.google.com/spreadsheets/d/11923uPwbBZFjjGgGUA6NLw09EwE0CqkOc4q9oUmW1yo/edit?usp=sharing"",""แพร่!J272"")"),40)</f>
        <v>40</v>
      </c>
      <c r="K377" s="165">
        <f t="shared" ca="1" si="107"/>
        <v>100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IFERROR(__xludf.DUMMYFUNCTION("IMPORTRANGE(""https://docs.google.com/spreadsheets/d/11923uPwbBZFjjGgGUA6NLw09EwE0CqkOc4q9oUmW1yo/edit?usp=sharing"",""แพร่!J273"")"),0)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IFERROR(__xludf.DUMMYFUNCTION("IMPORTRANGE(""https://docs.google.com/spreadsheets/d/11923uPwbBZFjjGgGUA6NLw09EwE0CqkOc4q9oUmW1yo/edit?usp=sharing"",""แพร่!J274"")"),0)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IFERROR(__xludf.DUMMYFUNCTION("IMPORTRANGE(""https://docs.google.com/spreadsheets/d/11923uPwbBZFjjGgGUA6NLw09EwE0CqkOc4q9oUmW1yo/edit?usp=sharing"",""แพร่!I275"")"),1000)</f>
        <v>1000</v>
      </c>
      <c r="J380" s="372">
        <f ca="1">IFERROR(__xludf.DUMMYFUNCTION("IMPORTRANGE(""https://docs.google.com/spreadsheets/d/11923uPwbBZFjjGgGUA6NLw09EwE0CqkOc4q9oUmW1yo/edit?usp=sharing"",""แพร่!J275"")"),0)</f>
        <v>0</v>
      </c>
      <c r="K380" s="373">
        <f t="shared" ref="K380:K381" ca="1" si="108">IF(I380&gt;0,J380*100/I380,0)</f>
        <v>0</v>
      </c>
      <c r="L380" s="374">
        <f ca="1">IFERROR(__xludf.DUMMYFUNCTION("IMPORTRANGE(""https://docs.google.com/spreadsheets/d/11923uPwbBZFjjGgGUA6NLw09EwE0CqkOc4q9oUmW1yo/edit?usp=sharing"",""แพร่!L275"")"),1028520)</f>
        <v>1028520</v>
      </c>
      <c r="M380" s="374"/>
      <c r="N380" s="374">
        <f ca="1">IFERROR(__xludf.DUMMYFUNCTION("IMPORTRANGE(""https://docs.google.com/spreadsheets/d/11923uPwbBZFjjGgGUA6NLw09EwE0CqkOc4q9oUmW1yo/edit?usp=sharing"",""แพร่!M275"")"),240405)</f>
        <v>240405</v>
      </c>
      <c r="O380" s="374">
        <f ca="1">+IF(L380&gt;0,N380*100/L380,0)</f>
        <v>23.373877027184694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IFERROR(__xludf.DUMMYFUNCTION("IMPORTRANGE(""https://docs.google.com/spreadsheets/d/11923uPwbBZFjjGgGUA6NLw09EwE0CqkOc4q9oUmW1yo/edit?usp=sharing"",""แพร่!I276"")"),100)</f>
        <v>100</v>
      </c>
      <c r="J381" s="372">
        <f ca="1">IFERROR(__xludf.DUMMYFUNCTION("IMPORTRANGE(""https://docs.google.com/spreadsheets/d/11923uPwbBZFjjGgGUA6NLw09EwE0CqkOc4q9oUmW1yo/edit?usp=sharing"",""แพร่!J276"")"),50)</f>
        <v>50</v>
      </c>
      <c r="K381" s="373">
        <f t="shared" ca="1" si="108"/>
        <v>50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IFERROR(__xludf.DUMMYFUNCTION("IMPORTRANGE(""https://docs.google.com/spreadsheets/d/11923uPwbBZFjjGgGUA6NLw09EwE0CqkOc4q9oUmW1yo/edit?usp=sharing"",""แพร่!L277"")"),0)</f>
        <v>0</v>
      </c>
      <c r="M382" s="166"/>
      <c r="N382" s="166">
        <f ca="1">IFERROR(__xludf.DUMMYFUNCTION("IMPORTRANGE(""https://docs.google.com/spreadsheets/d/11923uPwbBZFjjGgGUA6NLw09EwE0CqkOc4q9oUmW1yo/edit?usp=sharing"",""แพร่!M277"")"),0)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IFERROR(__xludf.DUMMYFUNCTION("IMPORTRANGE(""https://docs.google.com/spreadsheets/d/11923uPwbBZFjjGgGUA6NLw09EwE0CqkOc4q9oUmW1yo/edit?usp=sharing"",""แพร่!L278"")"),1028520)</f>
        <v>1028520</v>
      </c>
      <c r="M383" s="167"/>
      <c r="N383" s="167">
        <f ca="1">IFERROR(__xludf.DUMMYFUNCTION("IMPORTRANGE(""https://docs.google.com/spreadsheets/d/11923uPwbBZFjjGgGUA6NLw09EwE0CqkOc4q9oUmW1yo/edit?usp=sharing"",""แพร่!M278"")"),240405)</f>
        <v>240405</v>
      </c>
      <c r="O383" s="167">
        <f t="shared" ca="1" si="109"/>
        <v>23.373877027184694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IFERROR(__xludf.DUMMYFUNCTION("IMPORTRANGE(""https://docs.google.com/spreadsheets/d/11923uPwbBZFjjGgGUA6NLw09EwE0CqkOc4q9oUmW1yo/edit?usp=sharing"",""แพร่!L279"")"),0)</f>
        <v>0</v>
      </c>
      <c r="M384" s="170"/>
      <c r="N384" s="170">
        <f ca="1">IFERROR(__xludf.DUMMYFUNCTION("IMPORTRANGE(""https://docs.google.com/spreadsheets/d/11923uPwbBZFjjGgGUA6NLw09EwE0CqkOc4q9oUmW1yo/edit?usp=sharing"",""แพร่!M279"")"),0)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IFERROR(__xludf.DUMMYFUNCTION("IMPORTRANGE(""https://docs.google.com/spreadsheets/d/11923uPwbBZFjjGgGUA6NLw09EwE0CqkOc4q9oUmW1yo/edit?usp=sharing"",""แพร่!L280"")"),1028520)</f>
        <v>1028520</v>
      </c>
      <c r="M385" s="170"/>
      <c r="N385" s="169">
        <f ca="1">IFERROR(__xludf.DUMMYFUNCTION("IMPORTRANGE(""https://docs.google.com/spreadsheets/d/11923uPwbBZFjjGgGUA6NLw09EwE0CqkOc4q9oUmW1yo/edit?usp=sharing"",""แพร่!M280"")"),240405)</f>
        <v>240405</v>
      </c>
      <c r="O385" s="170">
        <f t="shared" ca="1" si="109"/>
        <v>23.373877027184694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IFERROR(__xludf.DUMMYFUNCTION("IMPORTRANGE(""https://docs.google.com/spreadsheets/d/11923uPwbBZFjjGgGUA6NLw09EwE0CqkOc4q9oUmW1yo/edit?usp=sharing"",""แพร่!M281"")"),172728)</f>
        <v>172728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IFERROR(__xludf.DUMMYFUNCTION("IMPORTRANGE(""https://docs.google.com/spreadsheets/d/11923uPwbBZFjjGgGUA6NLw09EwE0CqkOc4q9oUmW1yo/edit?usp=sharing"",""แพร่!M282"")"),0)</f>
        <v>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IFERROR(__xludf.DUMMYFUNCTION("IMPORTRANGE(""https://docs.google.com/spreadsheets/d/11923uPwbBZFjjGgGUA6NLw09EwE0CqkOc4q9oUmW1yo/edit?usp=sharing"",""แพร่!M283"")"),55000)</f>
        <v>55000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IFERROR(__xludf.DUMMYFUNCTION("IMPORTRANGE(""https://docs.google.com/spreadsheets/d/11923uPwbBZFjjGgGUA6NLw09EwE0CqkOc4q9oUmW1yo/edit?usp=sharing"",""แพร่!M284"")"),12677)</f>
        <v>12677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IFERROR(__xludf.DUMMYFUNCTION("IMPORTRANGE(""https://docs.google.com/spreadsheets/d/11923uPwbBZFjjGgGUA6NLw09EwE0CqkOc4q9oUmW1yo/edit?usp=sharing"",""แพร่!J286"")"),0)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IFERROR(__xludf.DUMMYFUNCTION("IMPORTRANGE(""https://docs.google.com/spreadsheets/d/11923uPwbBZFjjGgGUA6NLw09EwE0CqkOc4q9oUmW1yo/edit?usp=sharing"",""แพร่!J287"")"),1)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IFERROR(__xludf.DUMMYFUNCTION("IMPORTRANGE(""https://docs.google.com/spreadsheets/d/11923uPwbBZFjjGgGUA6NLw09EwE0CqkOc4q9oUmW1yo/edit?usp=sharing"",""แพร่!J288"")"),1)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IFERROR(__xludf.DUMMYFUNCTION("IMPORTRANGE(""https://docs.google.com/spreadsheets/d/11923uPwbBZFjjGgGUA6NLw09EwE0CqkOc4q9oUmW1yo/edit?usp=sharing"",""แพร่!J289"")"),1)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IFERROR(__xludf.DUMMYFUNCTION("IMPORTRANGE(""https://docs.google.com/spreadsheets/d/11923uPwbBZFjjGgGUA6NLw09EwE0CqkOc4q9oUmW1yo/edit?usp=sharing"",""แพร่!I291"")"),100)</f>
        <v>100</v>
      </c>
      <c r="J396" s="199">
        <f ca="1">IFERROR(__xludf.DUMMYFUNCTION("IMPORTRANGE(""https://docs.google.com/spreadsheets/d/11923uPwbBZFjjGgGUA6NLw09EwE0CqkOc4q9oUmW1yo/edit?usp=sharing"",""แพร่!J291"")"),50)</f>
        <v>50</v>
      </c>
      <c r="K396" s="165">
        <f t="shared" ref="K396:K398" ca="1" si="110">IF(I396&gt;0,J396*100/I396,0)</f>
        <v>50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IFERROR(__xludf.DUMMYFUNCTION("IMPORTRANGE(""https://docs.google.com/spreadsheets/d/11923uPwbBZFjjGgGUA6NLw09EwE0CqkOc4q9oUmW1yo/edit?usp=sharing"",""แพร่!I292"")"),1000)</f>
        <v>1000</v>
      </c>
      <c r="J397" s="199">
        <f ca="1">IFERROR(__xludf.DUMMYFUNCTION("IMPORTRANGE(""https://docs.google.com/spreadsheets/d/11923uPwbBZFjjGgGUA6NLw09EwE0CqkOc4q9oUmW1yo/edit?usp=sharing"",""แพร่!J292"")"),0)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IFERROR(__xludf.DUMMYFUNCTION("IMPORTRANGE(""https://docs.google.com/spreadsheets/d/11923uPwbBZFjjGgGUA6NLw09EwE0CqkOc4q9oUmW1yo/edit?usp=sharing"",""แพร่!I293"")"),100)</f>
        <v>100</v>
      </c>
      <c r="J398" s="199">
        <f ca="1">IFERROR(__xludf.DUMMYFUNCTION("IMPORTRANGE(""https://docs.google.com/spreadsheets/d/11923uPwbBZFjjGgGUA6NLw09EwE0CqkOc4q9oUmW1yo/edit?usp=sharing"",""แพร่!J293"")"),0)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IFERROR(__xludf.DUMMYFUNCTION("IMPORTRANGE(""https://docs.google.com/spreadsheets/d/11923uPwbBZFjjGgGUA6NLw09EwE0CqkOc4q9oUmW1yo/edit?usp=sharing"",""แพร่!J294"")"),0)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IFERROR(__xludf.DUMMYFUNCTION("IMPORTRANGE(""https://docs.google.com/spreadsheets/d/11923uPwbBZFjjGgGUA6NLw09EwE0CqkOc4q9oUmW1yo/edit?usp=sharing"",""แพร่!J295"")"),0)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IFERROR(__xludf.DUMMYFUNCTION("IMPORTRANGE(""https://docs.google.com/spreadsheets/d/11923uPwbBZFjjGgGUA6NLw09EwE0CqkOc4q9oUmW1yo/edit?usp=sharing"",""แพร่!I296"")"),120)</f>
        <v>120</v>
      </c>
      <c r="J401" s="372">
        <f ca="1">IFERROR(__xludf.DUMMYFUNCTION("IMPORTRANGE(""https://docs.google.com/spreadsheets/d/11923uPwbBZFjjGgGUA6NLw09EwE0CqkOc4q9oUmW1yo/edit?usp=sharing"",""แพร่!J296"")"),120)</f>
        <v>120</v>
      </c>
      <c r="K401" s="373">
        <f t="shared" ref="K401:K402" ca="1" si="111">IF(I401&gt;0,J401*100/I401,0)</f>
        <v>100</v>
      </c>
      <c r="L401" s="374">
        <f ca="1">IFERROR(__xludf.DUMMYFUNCTION("IMPORTRANGE(""https://docs.google.com/spreadsheets/d/11923uPwbBZFjjGgGUA6NLw09EwE0CqkOc4q9oUmW1yo/edit?usp=sharing"",""แพร่!L296"")"),135020)</f>
        <v>135020</v>
      </c>
      <c r="M401" s="374"/>
      <c r="N401" s="374">
        <f ca="1">IFERROR(__xludf.DUMMYFUNCTION("IMPORTRANGE(""https://docs.google.com/spreadsheets/d/11923uPwbBZFjjGgGUA6NLw09EwE0CqkOc4q9oUmW1yo/edit?usp=sharing"",""แพร่!M296"")"),73895.45)</f>
        <v>73895.45</v>
      </c>
      <c r="O401" s="374">
        <f ca="1">+IF(L401&gt;0,N401*100/L401,0)</f>
        <v>54.72926233150644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IFERROR(__xludf.DUMMYFUNCTION("IMPORTRANGE(""https://docs.google.com/spreadsheets/d/11923uPwbBZFjjGgGUA6NLw09EwE0CqkOc4q9oUmW1yo/edit?usp=sharing"",""แพร่!I297"")"),40)</f>
        <v>40</v>
      </c>
      <c r="J402" s="372">
        <f ca="1">IFERROR(__xludf.DUMMYFUNCTION("IMPORTRANGE(""https://docs.google.com/spreadsheets/d/11923uPwbBZFjjGgGUA6NLw09EwE0CqkOc4q9oUmW1yo/edit?usp=sharing"",""แพร่!J297"")"),10)</f>
        <v>10</v>
      </c>
      <c r="K402" s="373">
        <f t="shared" ca="1" si="111"/>
        <v>25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IFERROR(__xludf.DUMMYFUNCTION("IMPORTRANGE(""https://docs.google.com/spreadsheets/d/11923uPwbBZFjjGgGUA6NLw09EwE0CqkOc4q9oUmW1yo/edit?usp=sharing"",""แพร่!L298"")"),0)</f>
        <v>0</v>
      </c>
      <c r="M403" s="166"/>
      <c r="N403" s="170">
        <f ca="1">IFERROR(__xludf.DUMMYFUNCTION("IMPORTRANGE(""https://docs.google.com/spreadsheets/d/11923uPwbBZFjjGgGUA6NLw09EwE0CqkOc4q9oUmW1yo/edit?usp=sharing"",""แพร่!M298"")"),0)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IFERROR(__xludf.DUMMYFUNCTION("IMPORTRANGE(""https://docs.google.com/spreadsheets/d/11923uPwbBZFjjGgGUA6NLw09EwE0CqkOc4q9oUmW1yo/edit?usp=sharing"",""แพร่!L299"")"),135020)</f>
        <v>135020</v>
      </c>
      <c r="M404" s="167"/>
      <c r="N404" s="170">
        <f ca="1">IFERROR(__xludf.DUMMYFUNCTION("IMPORTRANGE(""https://docs.google.com/spreadsheets/d/11923uPwbBZFjjGgGUA6NLw09EwE0CqkOc4q9oUmW1yo/edit?usp=sharing"",""แพร่!M299"")"),73895.45)</f>
        <v>73895.45</v>
      </c>
      <c r="O404" s="170">
        <f t="shared" ca="1" si="112"/>
        <v>54.72926233150644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IFERROR(__xludf.DUMMYFUNCTION("IMPORTRANGE(""https://docs.google.com/spreadsheets/d/11923uPwbBZFjjGgGUA6NLw09EwE0CqkOc4q9oUmW1yo/edit?usp=sharing"",""แพร่!L300"")"),0)</f>
        <v>0</v>
      </c>
      <c r="M405" s="170"/>
      <c r="N405" s="170">
        <f ca="1">IFERROR(__xludf.DUMMYFUNCTION("IMPORTRANGE(""https://docs.google.com/spreadsheets/d/11923uPwbBZFjjGgGUA6NLw09EwE0CqkOc4q9oUmW1yo/edit?usp=sharing"",""แพร่!M300"")"),0)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IFERROR(__xludf.DUMMYFUNCTION("IMPORTRANGE(""https://docs.google.com/spreadsheets/d/11923uPwbBZFjjGgGUA6NLw09EwE0CqkOc4q9oUmW1yo/edit?usp=sharing"",""แพร่!L301"")"),135020)</f>
        <v>135020</v>
      </c>
      <c r="M406" s="170"/>
      <c r="N406" s="170">
        <f ca="1">IFERROR(__xludf.DUMMYFUNCTION("IMPORTRANGE(""https://docs.google.com/spreadsheets/d/11923uPwbBZFjjGgGUA6NLw09EwE0CqkOc4q9oUmW1yo/edit?usp=sharing"",""แพร่!M301"")"),73895.45)</f>
        <v>73895.45</v>
      </c>
      <c r="O406" s="170">
        <f t="shared" ca="1" si="112"/>
        <v>54.72926233150644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IFERROR(__xludf.DUMMYFUNCTION("IMPORTRANGE(""https://docs.google.com/spreadsheets/d/11923uPwbBZFjjGgGUA6NLw09EwE0CqkOc4q9oUmW1yo/edit?usp=sharing"",""แพร่!M302"")"),59880)</f>
        <v>59880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IFERROR(__xludf.DUMMYFUNCTION("IMPORTRANGE(""https://docs.google.com/spreadsheets/d/11923uPwbBZFjjGgGUA6NLw09EwE0CqkOc4q9oUmW1yo/edit?usp=sharing"",""แพร่!M303"")"),0)</f>
        <v>0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IFERROR(__xludf.DUMMYFUNCTION("IMPORTRANGE(""https://docs.google.com/spreadsheets/d/11923uPwbBZFjjGgGUA6NLw09EwE0CqkOc4q9oUmW1yo/edit?usp=sharing"",""แพร่!M304"")"),0)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IFERROR(__xludf.DUMMYFUNCTION("IMPORTRANGE(""https://docs.google.com/spreadsheets/d/11923uPwbBZFjjGgGUA6NLw09EwE0CqkOc4q9oUmW1yo/edit?usp=sharing"",""แพร่!M305"")"),14015.45)</f>
        <v>14015.45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IFERROR(__xludf.DUMMYFUNCTION("IMPORTRANGE(""https://docs.google.com/spreadsheets/d/11923uPwbBZFjjGgGUA6NLw09EwE0CqkOc4q9oUmW1yo/edit?usp=sharing"",""แพร่!J307"")"),0)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IFERROR(__xludf.DUMMYFUNCTION("IMPORTRANGE(""https://docs.google.com/spreadsheets/d/11923uPwbBZFjjGgGUA6NLw09EwE0CqkOc4q9oUmW1yo/edit?usp=sharing"",""แพร่!J308"")"),1)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IFERROR(__xludf.DUMMYFUNCTION("IMPORTRANGE(""https://docs.google.com/spreadsheets/d/11923uPwbBZFjjGgGUA6NLw09EwE0CqkOc4q9oUmW1yo/edit?usp=sharing"",""แพร่!J309"")"),1)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IFERROR(__xludf.DUMMYFUNCTION("IMPORTRANGE(""https://docs.google.com/spreadsheets/d/11923uPwbBZFjjGgGUA6NLw09EwE0CqkOc4q9oUmW1yo/edit?usp=sharing"",""แพร่!J310"")"),1)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IFERROR(__xludf.DUMMYFUNCTION("IMPORTRANGE(""https://docs.google.com/spreadsheets/d/11923uPwbBZFjjGgGUA6NLw09EwE0CqkOc4q9oUmW1yo/edit?usp=sharing"",""แพร่!I311"")"),40)</f>
        <v>40</v>
      </c>
      <c r="J416" s="202">
        <f ca="1">IFERROR(__xludf.DUMMYFUNCTION("IMPORTRANGE(""https://docs.google.com/spreadsheets/d/11923uPwbBZFjjGgGUA6NLw09EwE0CqkOc4q9oUmW1yo/edit?usp=sharing"",""แพร่!J311"")"),10)</f>
        <v>10</v>
      </c>
      <c r="K416" s="203">
        <f t="shared" ref="K416:K432" ca="1" si="113">IF(I416&gt;0,J416*100/I416,0)</f>
        <v>25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IFERROR(__xludf.DUMMYFUNCTION("IMPORTRANGE(""https://docs.google.com/spreadsheets/d/11923uPwbBZFjjGgGUA6NLw09EwE0CqkOc4q9oUmW1yo/edit?usp=sharing"",""แพร่!I312"")"),10)</f>
        <v>10</v>
      </c>
      <c r="J417" s="393">
        <f ca="1">IFERROR(__xludf.DUMMYFUNCTION("IMPORTRANGE(""https://docs.google.com/spreadsheets/d/11923uPwbBZFjjGgGUA6NLw09EwE0CqkOc4q9oUmW1yo/edit?usp=sharing"",""แพร่!J312"")"),10)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IFERROR(__xludf.DUMMYFUNCTION("IMPORTRANGE(""https://docs.google.com/spreadsheets/d/11923uPwbBZFjjGgGUA6NLw09EwE0CqkOc4q9oUmW1yo/edit?usp=sharing"",""แพร่!I313"")"),30)</f>
        <v>30</v>
      </c>
      <c r="J418" s="394">
        <f ca="1">IFERROR(__xludf.DUMMYFUNCTION("IMPORTRANGE(""https://docs.google.com/spreadsheets/d/11923uPwbBZFjjGgGUA6NLw09EwE0CqkOc4q9oUmW1yo/edit?usp=sharing"",""แพร่!J313"")"),30)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IFERROR(__xludf.DUMMYFUNCTION("IMPORTRANGE(""https://docs.google.com/spreadsheets/d/11923uPwbBZFjjGgGUA6NLw09EwE0CqkOc4q9oUmW1yo/edit?usp=sharing"",""แพร่!I314"")"),10)</f>
        <v>10</v>
      </c>
      <c r="J419" s="395">
        <f ca="1">IFERROR(__xludf.DUMMYFUNCTION("IMPORTRANGE(""https://docs.google.com/spreadsheets/d/11923uPwbBZFjjGgGUA6NLw09EwE0CqkOc4q9oUmW1yo/edit?usp=sharing"",""แพร่!J314"")"),10)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IFERROR(__xludf.DUMMYFUNCTION("IMPORTRANGE(""https://docs.google.com/spreadsheets/d/11923uPwbBZFjjGgGUA6NLw09EwE0CqkOc4q9oUmW1yo/edit?usp=sharing"",""แพร่!I315"")"),10)</f>
        <v>10</v>
      </c>
      <c r="J420" s="395">
        <f ca="1">IFERROR(__xludf.DUMMYFUNCTION("IMPORTRANGE(""https://docs.google.com/spreadsheets/d/11923uPwbBZFjjGgGUA6NLw09EwE0CqkOc4q9oUmW1yo/edit?usp=sharing"",""แพร่!J315"")"),10)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IFERROR(__xludf.DUMMYFUNCTION("IMPORTRANGE(""https://docs.google.com/spreadsheets/d/11923uPwbBZFjjGgGUA6NLw09EwE0CqkOc4q9oUmW1yo/edit?usp=sharing"",""แพร่!I316"")"),14)</f>
        <v>14</v>
      </c>
      <c r="J421" s="393">
        <f ca="1">IFERROR(__xludf.DUMMYFUNCTION("IMPORTRANGE(""https://docs.google.com/spreadsheets/d/11923uPwbBZFjjGgGUA6NLw09EwE0CqkOc4q9oUmW1yo/edit?usp=sharing"",""แพร่!J316"")"),0)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IFERROR(__xludf.DUMMYFUNCTION("IMPORTRANGE(""https://docs.google.com/spreadsheets/d/11923uPwbBZFjjGgGUA6NLw09EwE0CqkOc4q9oUmW1yo/edit?usp=sharing"",""แพร่!I317"")"),42)</f>
        <v>42</v>
      </c>
      <c r="J422" s="394">
        <f ca="1">IFERROR(__xludf.DUMMYFUNCTION("IMPORTRANGE(""https://docs.google.com/spreadsheets/d/11923uPwbBZFjjGgGUA6NLw09EwE0CqkOc4q9oUmW1yo/edit?usp=sharing"",""แพร่!J317"")"),42)</f>
        <v>42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IFERROR(__xludf.DUMMYFUNCTION("IMPORTRANGE(""https://docs.google.com/spreadsheets/d/11923uPwbBZFjjGgGUA6NLw09EwE0CqkOc4q9oUmW1yo/edit?usp=sharing"",""แพร่!I318"")"),14)</f>
        <v>14</v>
      </c>
      <c r="J423" s="395">
        <f ca="1">IFERROR(__xludf.DUMMYFUNCTION("IMPORTRANGE(""https://docs.google.com/spreadsheets/d/11923uPwbBZFjjGgGUA6NLw09EwE0CqkOc4q9oUmW1yo/edit?usp=sharing"",""แพร่!J318"")"),14)</f>
        <v>14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IFERROR(__xludf.DUMMYFUNCTION("IMPORTRANGE(""https://docs.google.com/spreadsheets/d/11923uPwbBZFjjGgGUA6NLw09EwE0CqkOc4q9oUmW1yo/edit?usp=sharing"",""แพร่!I319"")"),14)</f>
        <v>14</v>
      </c>
      <c r="J424" s="395">
        <f ca="1">IFERROR(__xludf.DUMMYFUNCTION("IMPORTRANGE(""https://docs.google.com/spreadsheets/d/11923uPwbBZFjjGgGUA6NLw09EwE0CqkOc4q9oUmW1yo/edit?usp=sharing"",""แพร่!J319"")"),0)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IFERROR(__xludf.DUMMYFUNCTION("IMPORTRANGE(""https://docs.google.com/spreadsheets/d/11923uPwbBZFjjGgGUA6NLw09EwE0CqkOc4q9oUmW1yo/edit?usp=sharing"",""แพร่!I320"")"),14)</f>
        <v>14</v>
      </c>
      <c r="J425" s="395">
        <f ca="1">IFERROR(__xludf.DUMMYFUNCTION("IMPORTRANGE(""https://docs.google.com/spreadsheets/d/11923uPwbBZFjjGgGUA6NLw09EwE0CqkOc4q9oUmW1yo/edit?usp=sharing"",""แพร่!J320"")"),0)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IFERROR(__xludf.DUMMYFUNCTION("IMPORTRANGE(""https://docs.google.com/spreadsheets/d/11923uPwbBZFjjGgGUA6NLw09EwE0CqkOc4q9oUmW1yo/edit?usp=sharing"",""แพร่!I321"")"),16)</f>
        <v>16</v>
      </c>
      <c r="J426" s="393">
        <f ca="1">IFERROR(__xludf.DUMMYFUNCTION("IMPORTRANGE(""https://docs.google.com/spreadsheets/d/11923uPwbBZFjjGgGUA6NLw09EwE0CqkOc4q9oUmW1yo/edit?usp=sharing"",""แพร่!J321"")"),0)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IFERROR(__xludf.DUMMYFUNCTION("IMPORTRANGE(""https://docs.google.com/spreadsheets/d/11923uPwbBZFjjGgGUA6NLw09EwE0CqkOc4q9oUmW1yo/edit?usp=sharing"",""แพร่!I322"")"),48)</f>
        <v>48</v>
      </c>
      <c r="J427" s="394">
        <f ca="1">IFERROR(__xludf.DUMMYFUNCTION("IMPORTRANGE(""https://docs.google.com/spreadsheets/d/11923uPwbBZFjjGgGUA6NLw09EwE0CqkOc4q9oUmW1yo/edit?usp=sharing"",""แพร่!J322"")"),48)</f>
        <v>48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IFERROR(__xludf.DUMMYFUNCTION("IMPORTRANGE(""https://docs.google.com/spreadsheets/d/11923uPwbBZFjjGgGUA6NLw09EwE0CqkOc4q9oUmW1yo/edit?usp=sharing"",""แพร่!I323"")"),16)</f>
        <v>16</v>
      </c>
      <c r="J428" s="395">
        <f ca="1">IFERROR(__xludf.DUMMYFUNCTION("IMPORTRANGE(""https://docs.google.com/spreadsheets/d/11923uPwbBZFjjGgGUA6NLw09EwE0CqkOc4q9oUmW1yo/edit?usp=sharing"",""แพร่!J323"")"),0)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IFERROR(__xludf.DUMMYFUNCTION("IMPORTRANGE(""https://docs.google.com/spreadsheets/d/11923uPwbBZFjjGgGUA6NLw09EwE0CqkOc4q9oUmW1yo/edit?usp=sharing"",""แพร่!I324"")"),16)</f>
        <v>16</v>
      </c>
      <c r="J429" s="395">
        <f ca="1">IFERROR(__xludf.DUMMYFUNCTION("IMPORTRANGE(""https://docs.google.com/spreadsheets/d/11923uPwbBZFjjGgGUA6NLw09EwE0CqkOc4q9oUmW1yo/edit?usp=sharing"",""แพร่!J324"")"),16)</f>
        <v>16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IFERROR(__xludf.DUMMYFUNCTION("IMPORTRANGE(""https://docs.google.com/spreadsheets/d/11923uPwbBZFjjGgGUA6NLw09EwE0CqkOc4q9oUmW1yo/edit?usp=sharing"",""แพร่!I325"")"),24)</f>
        <v>24</v>
      </c>
      <c r="J430" s="393">
        <f ca="1">IFERROR(__xludf.DUMMYFUNCTION("IMPORTRANGE(""https://docs.google.com/spreadsheets/d/11923uPwbBZFjjGgGUA6NLw09EwE0CqkOc4q9oUmW1yo/edit?usp=sharing"",""แพร่!J325"")"),0)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IFERROR(__xludf.DUMMYFUNCTION("IMPORTRANGE(""https://docs.google.com/spreadsheets/d/11923uPwbBZFjjGgGUA6NLw09EwE0CqkOc4q9oUmW1yo/edit?usp=sharing"",""แพร่!I326"")"),10)</f>
        <v>10</v>
      </c>
      <c r="J431" s="395">
        <f ca="1">IFERROR(__xludf.DUMMYFUNCTION("IMPORTRANGE(""https://docs.google.com/spreadsheets/d/11923uPwbBZFjjGgGUA6NLw09EwE0CqkOc4q9oUmW1yo/edit?usp=sharing"",""แพร่!J326"")"),0)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IFERROR(__xludf.DUMMYFUNCTION("IMPORTRANGE(""https://docs.google.com/spreadsheets/d/11923uPwbBZFjjGgGUA6NLw09EwE0CqkOc4q9oUmW1yo/edit?usp=sharing"",""แพร่!I327"")"),14)</f>
        <v>14</v>
      </c>
      <c r="J432" s="395">
        <f ca="1">IFERROR(__xludf.DUMMYFUNCTION("IMPORTRANGE(""https://docs.google.com/spreadsheets/d/11923uPwbBZFjjGgGUA6NLw09EwE0CqkOc4q9oUmW1yo/edit?usp=sharing"",""แพร่!J327"")"),0)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IFERROR(__xludf.DUMMYFUNCTION("IMPORTRANGE(""https://docs.google.com/spreadsheets/d/11923uPwbBZFjjGgGUA6NLw09EwE0CqkOc4q9oUmW1yo/edit?usp=sharing"",""แพร่!J328"")"),0)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IFERROR(__xludf.DUMMYFUNCTION("IMPORTRANGE(""https://docs.google.com/spreadsheets/d/11923uPwbBZFjjGgGUA6NLw09EwE0CqkOc4q9oUmW1yo/edit?usp=sharing"",""แพร่!J329"")"),0)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IFERROR(__xludf.DUMMYFUNCTION("IMPORTRANGE(""https://docs.google.com/spreadsheets/d/11923uPwbBZFjjGgGUA6NLw09EwE0CqkOc4q9oUmW1yo/edit?usp=sharing"",""แพร่!I330"")"),20)</f>
        <v>20</v>
      </c>
      <c r="J435" s="411">
        <f ca="1">IFERROR(__xludf.DUMMYFUNCTION("IMPORTRANGE(""https://docs.google.com/spreadsheets/d/11923uPwbBZFjjGgGUA6NLw09EwE0CqkOc4q9oUmW1yo/edit?usp=sharing"",""แพร่!J330"")"),20)</f>
        <v>20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IFERROR(__xludf.DUMMYFUNCTION("IMPORTRANGE(""https://docs.google.com/spreadsheets/d/11923uPwbBZFjjGgGUA6NLw09EwE0CqkOc4q9oUmW1yo/edit?usp=sharing"",""แพร่!L330"")"),100000)</f>
        <v>100000</v>
      </c>
      <c r="M435" s="413"/>
      <c r="N435" s="413">
        <f ca="1">IFERROR(__xludf.DUMMYFUNCTION("IMPORTRANGE(""https://docs.google.com/spreadsheets/d/11923uPwbBZFjjGgGUA6NLw09EwE0CqkOc4q9oUmW1yo/edit?usp=sharing"",""แพร่!M330"")"),83271.4)</f>
        <v>83271.399999999994</v>
      </c>
      <c r="O435" s="413">
        <f t="shared" ref="O435:O439" ca="1" si="114">+IF(L435&gt;0,N435*100/L435,0)</f>
        <v>83.271399999999986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IFERROR(__xludf.DUMMYFUNCTION("IMPORTRANGE(""https://docs.google.com/spreadsheets/d/11923uPwbBZFjjGgGUA6NLw09EwE0CqkOc4q9oUmW1yo/edit?usp=sharing"",""แพร่!L331"")"),0)</f>
        <v>0</v>
      </c>
      <c r="M436" s="166"/>
      <c r="N436" s="170">
        <f ca="1">IFERROR(__xludf.DUMMYFUNCTION("IMPORTRANGE(""https://docs.google.com/spreadsheets/d/11923uPwbBZFjjGgGUA6NLw09EwE0CqkOc4q9oUmW1yo/edit?usp=sharing"",""แพร่!M331"")"),0)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IFERROR(__xludf.DUMMYFUNCTION("IMPORTRANGE(""https://docs.google.com/spreadsheets/d/11923uPwbBZFjjGgGUA6NLw09EwE0CqkOc4q9oUmW1yo/edit?usp=sharing"",""แพร่!L332"")"),100000)</f>
        <v>100000</v>
      </c>
      <c r="M437" s="167"/>
      <c r="N437" s="170">
        <f ca="1">IFERROR(__xludf.DUMMYFUNCTION("IMPORTRANGE(""https://docs.google.com/spreadsheets/d/11923uPwbBZFjjGgGUA6NLw09EwE0CqkOc4q9oUmW1yo/edit?usp=sharing"",""แพร่!M332"")"),83271.4)</f>
        <v>83271.399999999994</v>
      </c>
      <c r="O437" s="170">
        <f t="shared" ca="1" si="114"/>
        <v>83.271399999999986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IFERROR(__xludf.DUMMYFUNCTION("IMPORTRANGE(""https://docs.google.com/spreadsheets/d/11923uPwbBZFjjGgGUA6NLw09EwE0CqkOc4q9oUmW1yo/edit?usp=sharing"",""แพร่!L333"")"),0)</f>
        <v>0</v>
      </c>
      <c r="M438" s="170"/>
      <c r="N438" s="170">
        <f ca="1">IFERROR(__xludf.DUMMYFUNCTION("IMPORTRANGE(""https://docs.google.com/spreadsheets/d/11923uPwbBZFjjGgGUA6NLw09EwE0CqkOc4q9oUmW1yo/edit?usp=sharing"",""แพร่!M333"")"),0)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IFERROR(__xludf.DUMMYFUNCTION("IMPORTRANGE(""https://docs.google.com/spreadsheets/d/11923uPwbBZFjjGgGUA6NLw09EwE0CqkOc4q9oUmW1yo/edit?usp=sharing"",""แพร่!L334"")"),100000)</f>
        <v>100000</v>
      </c>
      <c r="M439" s="170"/>
      <c r="N439" s="170">
        <f ca="1">IFERROR(__xludf.DUMMYFUNCTION("IMPORTRANGE(""https://docs.google.com/spreadsheets/d/11923uPwbBZFjjGgGUA6NLw09EwE0CqkOc4q9oUmW1yo/edit?usp=sharing"",""แพร่!M334"")"),83271.4)</f>
        <v>83271.399999999994</v>
      </c>
      <c r="O439" s="170">
        <f t="shared" ca="1" si="114"/>
        <v>83.271399999999986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IFERROR(__xludf.DUMMYFUNCTION("IMPORTRANGE(""https://docs.google.com/spreadsheets/d/11923uPwbBZFjjGgGUA6NLw09EwE0CqkOc4q9oUmW1yo/edit?usp=sharing"",""แพร่!M335"")"),79922.4)</f>
        <v>79922.399999999994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IFERROR(__xludf.DUMMYFUNCTION("IMPORTRANGE(""https://docs.google.com/spreadsheets/d/11923uPwbBZFjjGgGUA6NLw09EwE0CqkOc4q9oUmW1yo/edit?usp=sharing"",""แพร่!M336"")"),0)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IFERROR(__xludf.DUMMYFUNCTION("IMPORTRANGE(""https://docs.google.com/spreadsheets/d/11923uPwbBZFjjGgGUA6NLw09EwE0CqkOc4q9oUmW1yo/edit?usp=sharing"",""แพร่!M337"")"),0)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IFERROR(__xludf.DUMMYFUNCTION("IMPORTRANGE(""https://docs.google.com/spreadsheets/d/11923uPwbBZFjjGgGUA6NLw09EwE0CqkOc4q9oUmW1yo/edit?usp=sharing"",""แพร่!M338"")"),3349)</f>
        <v>3349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IFERROR(__xludf.DUMMYFUNCTION("IMPORTRANGE(""https://docs.google.com/spreadsheets/d/11923uPwbBZFjjGgGUA6NLw09EwE0CqkOc4q9oUmW1yo/edit?usp=sharing"",""แพร่!J340"")"),0)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IFERROR(__xludf.DUMMYFUNCTION("IMPORTRANGE(""https://docs.google.com/spreadsheets/d/11923uPwbBZFjjGgGUA6NLw09EwE0CqkOc4q9oUmW1yo/edit?usp=sharing"",""แพร่!J341"")"),1)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IFERROR(__xludf.DUMMYFUNCTION("IMPORTRANGE(""https://docs.google.com/spreadsheets/d/11923uPwbBZFjjGgGUA6NLw09EwE0CqkOc4q9oUmW1yo/edit?usp=sharing"",""แพร่!J342"")"),1)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IFERROR(__xludf.DUMMYFUNCTION("IMPORTRANGE(""https://docs.google.com/spreadsheets/d/11923uPwbBZFjjGgGUA6NLw09EwE0CqkOc4q9oUmW1yo/edit?usp=sharing"",""แพร่!J343"")"),1)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IFERROR(__xludf.DUMMYFUNCTION("IMPORTRANGE(""https://docs.google.com/spreadsheets/d/11923uPwbBZFjjGgGUA6NLw09EwE0CqkOc4q9oUmW1yo/edit?usp=sharing"",""แพร่!I344"")"),20)</f>
        <v>20</v>
      </c>
      <c r="J449" s="202">
        <f ca="1">IFERROR(__xludf.DUMMYFUNCTION("IMPORTRANGE(""https://docs.google.com/spreadsheets/d/11923uPwbBZFjjGgGUA6NLw09EwE0CqkOc4q9oUmW1yo/edit?usp=sharing"",""แพร่!J344"")"),20)</f>
        <v>20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IFERROR(__xludf.DUMMYFUNCTION("IMPORTRANGE(""https://docs.google.com/spreadsheets/d/11923uPwbBZFjjGgGUA6NLw09EwE0CqkOc4q9oUmW1yo/edit?usp=sharing"",""แพร่!I345"")"),20)</f>
        <v>20</v>
      </c>
      <c r="J450" s="190">
        <f ca="1">IFERROR(__xludf.DUMMYFUNCTION("IMPORTRANGE(""https://docs.google.com/spreadsheets/d/11923uPwbBZFjjGgGUA6NLw09EwE0CqkOc4q9oUmW1yo/edit?usp=sharing"",""แพร่!J345"")"),20)</f>
        <v>20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IFERROR(__xludf.DUMMYFUNCTION("IMPORTRANGE(""https://docs.google.com/spreadsheets/d/11923uPwbBZFjjGgGUA6NLw09EwE0CqkOc4q9oUmW1yo/edit?usp=sharing"",""แพร่!I346"")"),0)</f>
        <v>0</v>
      </c>
      <c r="J451" s="189">
        <f ca="1">IFERROR(__xludf.DUMMYFUNCTION("IMPORTRANGE(""https://docs.google.com/spreadsheets/d/11923uPwbBZFjjGgGUA6NLw09EwE0CqkOc4q9oUmW1yo/edit?usp=sharing"",""แพร่!J346"")"),0)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hidden="1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IFERROR(__xludf.DUMMYFUNCTION("IMPORTRANGE(""https://docs.google.com/spreadsheets/d/11923uPwbBZFjjGgGUA6NLw09EwE0CqkOc4q9oUmW1yo/edit?usp=sharing"",""แพร่!I347"")"),0)</f>
        <v>0</v>
      </c>
      <c r="J452" s="189">
        <f ca="1">IFERROR(__xludf.DUMMYFUNCTION("IMPORTRANGE(""https://docs.google.com/spreadsheets/d/11923uPwbBZFjjGgGUA6NLw09EwE0CqkOc4q9oUmW1yo/edit?usp=sharing"",""แพร่!J347"")"),0)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IFERROR(__xludf.DUMMYFUNCTION("IMPORTRANGE(""https://docs.google.com/spreadsheets/d/11923uPwbBZFjjGgGUA6NLw09EwE0CqkOc4q9oUmW1yo/edit?usp=sharing"",""แพร่!J348"")"),0)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IFERROR(__xludf.DUMMYFUNCTION("IMPORTRANGE(""https://docs.google.com/spreadsheets/d/11923uPwbBZFjjGgGUA6NLw09EwE0CqkOc4q9oUmW1yo/edit?usp=sharing"",""แพร่!J349"")"),0)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IFERROR(__xludf.DUMMYFUNCTION("IMPORTRANGE(""https://docs.google.com/spreadsheets/d/11923uPwbBZFjjGgGUA6NLw09EwE0CqkOc4q9oUmW1yo/edit?usp=sharing"",""แพร่!I350"")"),5092)</f>
        <v>5092</v>
      </c>
      <c r="J455" s="372">
        <f ca="1">IFERROR(__xludf.DUMMYFUNCTION("IMPORTRANGE(""https://docs.google.com/spreadsheets/d/11923uPwbBZFjjGgGUA6NLw09EwE0CqkOc4q9oUmW1yo/edit?usp=sharing"",""แพร่!J350"")"),5092)</f>
        <v>5092</v>
      </c>
      <c r="K455" s="373">
        <f ca="1">IF(I455&gt;0,J455*100/I455,0)</f>
        <v>100</v>
      </c>
      <c r="L455" s="374">
        <f ca="1">IFERROR(__xludf.DUMMYFUNCTION("IMPORTRANGE(""https://docs.google.com/spreadsheets/d/11923uPwbBZFjjGgGUA6NLw09EwE0CqkOc4q9oUmW1yo/edit?usp=sharing"",""แพร่!L350"")"),88520)</f>
        <v>88520</v>
      </c>
      <c r="M455" s="374"/>
      <c r="N455" s="374">
        <f ca="1">IFERROR(__xludf.DUMMYFUNCTION("IMPORTRANGE(""https://docs.google.com/spreadsheets/d/11923uPwbBZFjjGgGUA6NLw09EwE0CqkOc4q9oUmW1yo/edit?usp=sharing"",""แพร่!M350"")"),40375)</f>
        <v>40375</v>
      </c>
      <c r="O455" s="374">
        <f t="shared" ref="O455:O459" ca="1" si="116">+IF(L455&gt;0,N455*100/L455,0)</f>
        <v>45.611161319475826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IFERROR(__xludf.DUMMYFUNCTION("IMPORTRANGE(""https://docs.google.com/spreadsheets/d/11923uPwbBZFjjGgGUA6NLw09EwE0CqkOc4q9oUmW1yo/edit?usp=sharing"",""แพร่!L351"")"),0)</f>
        <v>0</v>
      </c>
      <c r="M456" s="166"/>
      <c r="N456" s="170">
        <f ca="1">IFERROR(__xludf.DUMMYFUNCTION("IMPORTRANGE(""https://docs.google.com/spreadsheets/d/11923uPwbBZFjjGgGUA6NLw09EwE0CqkOc4q9oUmW1yo/edit?usp=sharing"",""แพร่!M351"")"),0)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IFERROR(__xludf.DUMMYFUNCTION("IMPORTRANGE(""https://docs.google.com/spreadsheets/d/11923uPwbBZFjjGgGUA6NLw09EwE0CqkOc4q9oUmW1yo/edit?usp=sharing"",""แพร่!L352"")"),88520)</f>
        <v>88520</v>
      </c>
      <c r="M457" s="167"/>
      <c r="N457" s="170">
        <f ca="1">IFERROR(__xludf.DUMMYFUNCTION("IMPORTRANGE(""https://docs.google.com/spreadsheets/d/11923uPwbBZFjjGgGUA6NLw09EwE0CqkOc4q9oUmW1yo/edit?usp=sharing"",""แพร่!M352"")"),40375)</f>
        <v>40375</v>
      </c>
      <c r="O457" s="170">
        <f t="shared" ca="1" si="116"/>
        <v>45.611161319475826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IFERROR(__xludf.DUMMYFUNCTION("IMPORTRANGE(""https://docs.google.com/spreadsheets/d/11923uPwbBZFjjGgGUA6NLw09EwE0CqkOc4q9oUmW1yo/edit?usp=sharing"",""แพร่!L353"")"),0)</f>
        <v>0</v>
      </c>
      <c r="M458" s="170"/>
      <c r="N458" s="170">
        <f ca="1">IFERROR(__xludf.DUMMYFUNCTION("IMPORTRANGE(""https://docs.google.com/spreadsheets/d/11923uPwbBZFjjGgGUA6NLw09EwE0CqkOc4q9oUmW1yo/edit?usp=sharing"",""แพร่!M353"")"),0)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IFERROR(__xludf.DUMMYFUNCTION("IMPORTRANGE(""https://docs.google.com/spreadsheets/d/11923uPwbBZFjjGgGUA6NLw09EwE0CqkOc4q9oUmW1yo/edit?usp=sharing"",""แพร่!L354"")"),88520)</f>
        <v>88520</v>
      </c>
      <c r="M459" s="170"/>
      <c r="N459" s="170">
        <f ca="1">IFERROR(__xludf.DUMMYFUNCTION("IMPORTRANGE(""https://docs.google.com/spreadsheets/d/11923uPwbBZFjjGgGUA6NLw09EwE0CqkOc4q9oUmW1yo/edit?usp=sharing"",""แพร่!M354"")"),40375)</f>
        <v>40375</v>
      </c>
      <c r="O459" s="170">
        <f t="shared" ca="1" si="116"/>
        <v>45.611161319475826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IFERROR(__xludf.DUMMYFUNCTION("IMPORTRANGE(""https://docs.google.com/spreadsheets/d/11923uPwbBZFjjGgGUA6NLw09EwE0CqkOc4q9oUmW1yo/edit?usp=sharing"",""แพร่!M355"")"),0)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IFERROR(__xludf.DUMMYFUNCTION("IMPORTRANGE(""https://docs.google.com/spreadsheets/d/11923uPwbBZFjjGgGUA6NLw09EwE0CqkOc4q9oUmW1yo/edit?usp=sharing"",""แพร่!M356"")"),0)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IFERROR(__xludf.DUMMYFUNCTION("IMPORTRANGE(""https://docs.google.com/spreadsheets/d/11923uPwbBZFjjGgGUA6NLw09EwE0CqkOc4q9oUmW1yo/edit?usp=sharing"",""แพร่!M357"")"),0)</f>
        <v>0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IFERROR(__xludf.DUMMYFUNCTION("IMPORTRANGE(""https://docs.google.com/spreadsheets/d/11923uPwbBZFjjGgGUA6NLw09EwE0CqkOc4q9oUmW1yo/edit?usp=sharing"",""แพร่!M358"")"),40375)</f>
        <v>40375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IFERROR(__xludf.DUMMYFUNCTION("IMPORTRANGE(""https://docs.google.com/spreadsheets/d/11923uPwbBZFjjGgGUA6NLw09EwE0CqkOc4q9oUmW1yo/edit?usp=sharing"",""แพร่!I359"")"),5092)</f>
        <v>5092</v>
      </c>
      <c r="J464" s="268">
        <f ca="1">IFERROR(__xludf.DUMMYFUNCTION("IMPORTRANGE(""https://docs.google.com/spreadsheets/d/11923uPwbBZFjjGgGUA6NLw09EwE0CqkOc4q9oUmW1yo/edit?usp=sharing"",""แพร่!J359"")"),5092)</f>
        <v>5092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IFERROR(__xludf.DUMMYFUNCTION("IMPORTRANGE(""https://docs.google.com/spreadsheets/d/11923uPwbBZFjjGgGUA6NLw09EwE0CqkOc4q9oUmW1yo/edit?usp=sharing"",""แพร่!I360"")"),5092)</f>
        <v>5092</v>
      </c>
      <c r="J465" s="422">
        <f ca="1">IFERROR(__xludf.DUMMYFUNCTION("IMPORTRANGE(""https://docs.google.com/spreadsheets/d/11923uPwbBZFjjGgGUA6NLw09EwE0CqkOc4q9oUmW1yo/edit?usp=sharing"",""แพร่!J360"")"),5091.99)</f>
        <v>5091.99</v>
      </c>
      <c r="K465" s="203">
        <f t="shared" ca="1" si="117"/>
        <v>99.999803613511389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IFERROR(__xludf.DUMMYFUNCTION("IMPORTRANGE(""https://docs.google.com/spreadsheets/d/11923uPwbBZFjjGgGUA6NLw09EwE0CqkOc4q9oUmW1yo/edit?usp=sharing"",""แพร่!I361"")"),1189)</f>
        <v>1189</v>
      </c>
      <c r="J466" s="422">
        <f ca="1">IFERROR(__xludf.DUMMYFUNCTION("IMPORTRANGE(""https://docs.google.com/spreadsheets/d/11923uPwbBZFjjGgGUA6NLw09EwE0CqkOc4q9oUmW1yo/edit?usp=sharing"",""แพร่!J361"")"),1189)</f>
        <v>1189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IFERROR(__xludf.DUMMYFUNCTION("IMPORTRANGE(""https://docs.google.com/spreadsheets/d/11923uPwbBZFjjGgGUA6NLw09EwE0CqkOc4q9oUmW1yo/edit?usp=sharing"",""แพร่!I362"")"),0)</f>
        <v>0</v>
      </c>
      <c r="J467" s="190">
        <f ca="1">IFERROR(__xludf.DUMMYFUNCTION("IMPORTRANGE(""https://docs.google.com/spreadsheets/d/11923uPwbBZFjjGgGUA6NLw09EwE0CqkOc4q9oUmW1yo/edit?usp=sharing"",""แพร่!J362"")"),3692)</f>
        <v>3692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IFERROR(__xludf.DUMMYFUNCTION("IMPORTRANGE(""https://docs.google.com/spreadsheets/d/11923uPwbBZFjjGgGUA6NLw09EwE0CqkOc4q9oUmW1yo/edit?usp=sharing"",""แพร่!I363"")"),0)</f>
        <v>0</v>
      </c>
      <c r="J468" s="190">
        <f ca="1">IFERROR(__xludf.DUMMYFUNCTION("IMPORTRANGE(""https://docs.google.com/spreadsheets/d/11923uPwbBZFjjGgGUA6NLw09EwE0CqkOc4q9oUmW1yo/edit?usp=sharing"",""แพร่!J363"")"),859)</f>
        <v>859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IFERROR(__xludf.DUMMYFUNCTION("IMPORTRANGE(""https://docs.google.com/spreadsheets/d/11923uPwbBZFjjGgGUA6NLw09EwE0CqkOc4q9oUmW1yo/edit?usp=sharing"",""แพร่!I364"")"),0)</f>
        <v>0</v>
      </c>
      <c r="J469" s="190">
        <f ca="1">IFERROR(__xludf.DUMMYFUNCTION("IMPORTRANGE(""https://docs.google.com/spreadsheets/d/11923uPwbBZFjjGgGUA6NLw09EwE0CqkOc4q9oUmW1yo/edit?usp=sharing"",""แพร่!J364"")"),1311)</f>
        <v>1311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IFERROR(__xludf.DUMMYFUNCTION("IMPORTRANGE(""https://docs.google.com/spreadsheets/d/11923uPwbBZFjjGgGUA6NLw09EwE0CqkOc4q9oUmW1yo/edit?usp=sharing"",""แพร่!I365"")"),0)</f>
        <v>0</v>
      </c>
      <c r="J470" s="190">
        <f ca="1">IFERROR(__xludf.DUMMYFUNCTION("IMPORTRANGE(""https://docs.google.com/spreadsheets/d/11923uPwbBZFjjGgGUA6NLw09EwE0CqkOc4q9oUmW1yo/edit?usp=sharing"",""แพร่!J365"")"),308)</f>
        <v>308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IFERROR(__xludf.DUMMYFUNCTION("IMPORTRANGE(""https://docs.google.com/spreadsheets/d/11923uPwbBZFjjGgGUA6NLw09EwE0CqkOc4q9oUmW1yo/edit?usp=sharing"",""แพร่!I366"")"),0)</f>
        <v>0</v>
      </c>
      <c r="J471" s="190">
        <f ca="1">IFERROR(__xludf.DUMMYFUNCTION("IMPORTRANGE(""https://docs.google.com/spreadsheets/d/11923uPwbBZFjjGgGUA6NLw09EwE0CqkOc4q9oUmW1yo/edit?usp=sharing"",""แพร่!J366"")"),88.99)</f>
        <v>88.99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IFERROR(__xludf.DUMMYFUNCTION("IMPORTRANGE(""https://docs.google.com/spreadsheets/d/11923uPwbBZFjjGgGUA6NLw09EwE0CqkOc4q9oUmW1yo/edit?usp=sharing"",""แพร่!I367"")"),0)</f>
        <v>0</v>
      </c>
      <c r="J472" s="190">
        <f ca="1">IFERROR(__xludf.DUMMYFUNCTION("IMPORTRANGE(""https://docs.google.com/spreadsheets/d/11923uPwbBZFjjGgGUA6NLw09EwE0CqkOc4q9oUmW1yo/edit?usp=sharing"",""แพร่!J367"")"),22)</f>
        <v>22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IFERROR(__xludf.DUMMYFUNCTION("IMPORTRANGE(""https://docs.google.com/spreadsheets/d/11923uPwbBZFjjGgGUA6NLw09EwE0CqkOc4q9oUmW1yo/edit?usp=sharing"",""แพร่!I368"")"),5092)</f>
        <v>5092</v>
      </c>
      <c r="J473" s="422">
        <f ca="1">IFERROR(__xludf.DUMMYFUNCTION("IMPORTRANGE(""https://docs.google.com/spreadsheets/d/11923uPwbBZFjjGgGUA6NLw09EwE0CqkOc4q9oUmW1yo/edit?usp=sharing"",""แพร่!J368"")"),5092)</f>
        <v>5092</v>
      </c>
      <c r="K473" s="203">
        <f t="shared" ca="1" si="117"/>
        <v>100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IFERROR(__xludf.DUMMYFUNCTION("IMPORTRANGE(""https://docs.google.com/spreadsheets/d/11923uPwbBZFjjGgGUA6NLw09EwE0CqkOc4q9oUmW1yo/edit?usp=sharing"",""แพร่!I369"")"),1189)</f>
        <v>1189</v>
      </c>
      <c r="J474" s="422">
        <f ca="1">IFERROR(__xludf.DUMMYFUNCTION("IMPORTRANGE(""https://docs.google.com/spreadsheets/d/11923uPwbBZFjjGgGUA6NLw09EwE0CqkOc4q9oUmW1yo/edit?usp=sharing"",""แพร่!J369"")"),1189)</f>
        <v>1189</v>
      </c>
      <c r="K474" s="203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IFERROR(__xludf.DUMMYFUNCTION("IMPORTRANGE(""https://docs.google.com/spreadsheets/d/11923uPwbBZFjjGgGUA6NLw09EwE0CqkOc4q9oUmW1yo/edit?usp=sharing"",""แพร่!I370"")"),0)</f>
        <v>0</v>
      </c>
      <c r="J475" s="190">
        <f ca="1">IFERROR(__xludf.DUMMYFUNCTION("IMPORTRANGE(""https://docs.google.com/spreadsheets/d/11923uPwbBZFjjGgGUA6NLw09EwE0CqkOc4q9oUmW1yo/edit?usp=sharing"",""แพร่!J370"")"),3890)</f>
        <v>3890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IFERROR(__xludf.DUMMYFUNCTION("IMPORTRANGE(""https://docs.google.com/spreadsheets/d/11923uPwbBZFjjGgGUA6NLw09EwE0CqkOc4q9oUmW1yo/edit?usp=sharing"",""แพร่!I371"")"),0)</f>
        <v>0</v>
      </c>
      <c r="J476" s="190">
        <f ca="1">IFERROR(__xludf.DUMMYFUNCTION("IMPORTRANGE(""https://docs.google.com/spreadsheets/d/11923uPwbBZFjjGgGUA6NLw09EwE0CqkOc4q9oUmW1yo/edit?usp=sharing"",""แพร่!J371"")"),903)</f>
        <v>903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IFERROR(__xludf.DUMMYFUNCTION("IMPORTRANGE(""https://docs.google.com/spreadsheets/d/11923uPwbBZFjjGgGUA6NLw09EwE0CqkOc4q9oUmW1yo/edit?usp=sharing"",""แพร่!I372"")"),0)</f>
        <v>0</v>
      </c>
      <c r="J477" s="190">
        <f ca="1">IFERROR(__xludf.DUMMYFUNCTION("IMPORTRANGE(""https://docs.google.com/spreadsheets/d/11923uPwbBZFjjGgGUA6NLw09EwE0CqkOc4q9oUmW1yo/edit?usp=sharing"",""แพร่!J372"")"),1089)</f>
        <v>1089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IFERROR(__xludf.DUMMYFUNCTION("IMPORTRANGE(""https://docs.google.com/spreadsheets/d/11923uPwbBZFjjGgGUA6NLw09EwE0CqkOc4q9oUmW1yo/edit?usp=sharing"",""แพร่!I373"")"),0)</f>
        <v>0</v>
      </c>
      <c r="J478" s="190">
        <f ca="1">IFERROR(__xludf.DUMMYFUNCTION("IMPORTRANGE(""https://docs.google.com/spreadsheets/d/11923uPwbBZFjjGgGUA6NLw09EwE0CqkOc4q9oUmW1yo/edit?usp=sharing"",""แพร่!J373"")"),258)</f>
        <v>258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IFERROR(__xludf.DUMMYFUNCTION("IMPORTRANGE(""https://docs.google.com/spreadsheets/d/11923uPwbBZFjjGgGUA6NLw09EwE0CqkOc4q9oUmW1yo/edit?usp=sharing"",""แพร่!I374"")"),0)</f>
        <v>0</v>
      </c>
      <c r="J479" s="190">
        <f ca="1">IFERROR(__xludf.DUMMYFUNCTION("IMPORTRANGE(""https://docs.google.com/spreadsheets/d/11923uPwbBZFjjGgGUA6NLw09EwE0CqkOc4q9oUmW1yo/edit?usp=sharing"",""แพร่!J374"")"),113)</f>
        <v>113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IFERROR(__xludf.DUMMYFUNCTION("IMPORTRANGE(""https://docs.google.com/spreadsheets/d/11923uPwbBZFjjGgGUA6NLw09EwE0CqkOc4q9oUmW1yo/edit?usp=sharing"",""แพร่!I375"")"),0)</f>
        <v>0</v>
      </c>
      <c r="J480" s="190">
        <f ca="1">IFERROR(__xludf.DUMMYFUNCTION("IMPORTRANGE(""https://docs.google.com/spreadsheets/d/11923uPwbBZFjjGgGUA6NLw09EwE0CqkOc4q9oUmW1yo/edit?usp=sharing"",""แพร่!J375"")"),28)</f>
        <v>28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IFERROR(__xludf.DUMMYFUNCTION("IMPORTRANGE(""https://docs.google.com/spreadsheets/d/11923uPwbBZFjjGgGUA6NLw09EwE0CqkOc4q9oUmW1yo/edit?usp=sharing"",""แพร่!I376"")"),5092)</f>
        <v>5092</v>
      </c>
      <c r="J481" s="422">
        <f ca="1">IFERROR(__xludf.DUMMYFUNCTION("IMPORTRANGE(""https://docs.google.com/spreadsheets/d/11923uPwbBZFjjGgGUA6NLw09EwE0CqkOc4q9oUmW1yo/edit?usp=sharing"",""แพร่!J376"")"),5092)</f>
        <v>5092</v>
      </c>
      <c r="K481" s="203">
        <f t="shared" ca="1" si="117"/>
        <v>100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IFERROR(__xludf.DUMMYFUNCTION("IMPORTRANGE(""https://docs.google.com/spreadsheets/d/11923uPwbBZFjjGgGUA6NLw09EwE0CqkOc4q9oUmW1yo/edit?usp=sharing"",""แพร่!I377"")"),1189)</f>
        <v>1189</v>
      </c>
      <c r="J482" s="422">
        <f ca="1">IFERROR(__xludf.DUMMYFUNCTION("IMPORTRANGE(""https://docs.google.com/spreadsheets/d/11923uPwbBZFjjGgGUA6NLw09EwE0CqkOc4q9oUmW1yo/edit?usp=sharing"",""แพร่!J377"")"),1189)</f>
        <v>1189</v>
      </c>
      <c r="K482" s="203">
        <f t="shared" ca="1" si="117"/>
        <v>100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IFERROR(__xludf.DUMMYFUNCTION("IMPORTRANGE(""https://docs.google.com/spreadsheets/d/11923uPwbBZFjjGgGUA6NLw09EwE0CqkOc4q9oUmW1yo/edit?usp=sharing"",""แพร่!I378"")"),0)</f>
        <v>0</v>
      </c>
      <c r="J483" s="190">
        <f ca="1">IFERROR(__xludf.DUMMYFUNCTION("IMPORTRANGE(""https://docs.google.com/spreadsheets/d/11923uPwbBZFjjGgGUA6NLw09EwE0CqkOc4q9oUmW1yo/edit?usp=sharing"",""แพร่!J378"")"),3579)</f>
        <v>3579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IFERROR(__xludf.DUMMYFUNCTION("IMPORTRANGE(""https://docs.google.com/spreadsheets/d/11923uPwbBZFjjGgGUA6NLw09EwE0CqkOc4q9oUmW1yo/edit?usp=sharing"",""แพร่!I379"")"),0)</f>
        <v>0</v>
      </c>
      <c r="J484" s="190">
        <f ca="1">IFERROR(__xludf.DUMMYFUNCTION("IMPORTRANGE(""https://docs.google.com/spreadsheets/d/11923uPwbBZFjjGgGUA6NLw09EwE0CqkOc4q9oUmW1yo/edit?usp=sharing"",""แพร่!J379"")"),848)</f>
        <v>848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IFERROR(__xludf.DUMMYFUNCTION("IMPORTRANGE(""https://docs.google.com/spreadsheets/d/11923uPwbBZFjjGgGUA6NLw09EwE0CqkOc4q9oUmW1yo/edit?usp=sharing"",""แพร่!I380"")"),0)</f>
        <v>0</v>
      </c>
      <c r="J485" s="190">
        <f ca="1">IFERROR(__xludf.DUMMYFUNCTION("IMPORTRANGE(""https://docs.google.com/spreadsheets/d/11923uPwbBZFjjGgGUA6NLw09EwE0CqkOc4q9oUmW1yo/edit?usp=sharing"",""แพร่!J380"")"),1400)</f>
        <v>1400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IFERROR(__xludf.DUMMYFUNCTION("IMPORTRANGE(""https://docs.google.com/spreadsheets/d/11923uPwbBZFjjGgGUA6NLw09EwE0CqkOc4q9oUmW1yo/edit?usp=sharing"",""แพร่!I381"")"),0)</f>
        <v>0</v>
      </c>
      <c r="J486" s="190">
        <f ca="1">IFERROR(__xludf.DUMMYFUNCTION("IMPORTRANGE(""https://docs.google.com/spreadsheets/d/11923uPwbBZFjjGgGUA6NLw09EwE0CqkOc4q9oUmW1yo/edit?usp=sharing"",""แพร่!J381"")"),313)</f>
        <v>313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IFERROR(__xludf.DUMMYFUNCTION("IMPORTRANGE(""https://docs.google.com/spreadsheets/d/11923uPwbBZFjjGgGUA6NLw09EwE0CqkOc4q9oUmW1yo/edit?usp=sharing"",""แพร่!I382"")"),0)</f>
        <v>0</v>
      </c>
      <c r="J487" s="422">
        <f ca="1">IFERROR(__xludf.DUMMYFUNCTION("IMPORTRANGE(""https://docs.google.com/spreadsheets/d/11923uPwbBZFjjGgGUA6NLw09EwE0CqkOc4q9oUmW1yo/edit?usp=sharing"",""แพร่!J382"")"),113)</f>
        <v>113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IFERROR(__xludf.DUMMYFUNCTION("IMPORTRANGE(""https://docs.google.com/spreadsheets/d/11923uPwbBZFjjGgGUA6NLw09EwE0CqkOc4q9oUmW1yo/edit?usp=sharing"",""แพร่!I383"")"),0)</f>
        <v>0</v>
      </c>
      <c r="J488" s="422">
        <f ca="1">IFERROR(__xludf.DUMMYFUNCTION("IMPORTRANGE(""https://docs.google.com/spreadsheets/d/11923uPwbBZFjjGgGUA6NLw09EwE0CqkOc4q9oUmW1yo/edit?usp=sharing"",""แพร่!J383"")"),28)</f>
        <v>28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IFERROR(__xludf.DUMMYFUNCTION("IMPORTRANGE(""https://docs.google.com/spreadsheets/d/11923uPwbBZFjjGgGUA6NLw09EwE0CqkOc4q9oUmW1yo/edit?usp=sharing"",""แพร่!I384"")"),0)</f>
        <v>0</v>
      </c>
      <c r="J489" s="190">
        <f ca="1">IFERROR(__xludf.DUMMYFUNCTION("IMPORTRANGE(""https://docs.google.com/spreadsheets/d/11923uPwbBZFjjGgGUA6NLw09EwE0CqkOc4q9oUmW1yo/edit?usp=sharing"",""แพร่!J384"")"),113)</f>
        <v>113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IFERROR(__xludf.DUMMYFUNCTION("IMPORTRANGE(""https://docs.google.com/spreadsheets/d/11923uPwbBZFjjGgGUA6NLw09EwE0CqkOc4q9oUmW1yo/edit?usp=sharing"",""แพร่!I385"")"),0)</f>
        <v>0</v>
      </c>
      <c r="J490" s="190">
        <f ca="1">IFERROR(__xludf.DUMMYFUNCTION("IMPORTRANGE(""https://docs.google.com/spreadsheets/d/11923uPwbBZFjjGgGUA6NLw09EwE0CqkOc4q9oUmW1yo/edit?usp=sharing"",""แพร่!J385"")"),28)</f>
        <v>28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IFERROR(__xludf.DUMMYFUNCTION("IMPORTRANGE(""https://docs.google.com/spreadsheets/d/11923uPwbBZFjjGgGUA6NLw09EwE0CqkOc4q9oUmW1yo/edit?usp=sharing"",""แพร่!I386"")"),0)</f>
        <v>0</v>
      </c>
      <c r="J491" s="190">
        <f ca="1">IFERROR(__xludf.DUMMYFUNCTION("IMPORTRANGE(""https://docs.google.com/spreadsheets/d/11923uPwbBZFjjGgGUA6NLw09EwE0CqkOc4q9oUmW1yo/edit?usp=sharing"",""แพร่!J386"")"),0)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IFERROR(__xludf.DUMMYFUNCTION("IMPORTRANGE(""https://docs.google.com/spreadsheets/d/11923uPwbBZFjjGgGUA6NLw09EwE0CqkOc4q9oUmW1yo/edit?usp=sharing"",""แพร่!I387"")"),0)</f>
        <v>0</v>
      </c>
      <c r="J492" s="190">
        <f ca="1">IFERROR(__xludf.DUMMYFUNCTION("IMPORTRANGE(""https://docs.google.com/spreadsheets/d/11923uPwbBZFjjGgGUA6NLw09EwE0CqkOc4q9oUmW1yo/edit?usp=sharing"",""แพร่!J387"")"),0)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IFERROR(__xludf.DUMMYFUNCTION("IMPORTRANGE(""https://docs.google.com/spreadsheets/d/11923uPwbBZFjjGgGUA6NLw09EwE0CqkOc4q9oUmW1yo/edit?usp=sharing"",""แพร่!I388"")"),0)</f>
        <v>0</v>
      </c>
      <c r="J493" s="190">
        <f ca="1">IFERROR(__xludf.DUMMYFUNCTION("IMPORTRANGE(""https://docs.google.com/spreadsheets/d/11923uPwbBZFjjGgGUA6NLw09EwE0CqkOc4q9oUmW1yo/edit?usp=sharing"",""แพร่!J388"")"),0)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IFERROR(__xludf.DUMMYFUNCTION("IMPORTRANGE(""https://docs.google.com/spreadsheets/d/11923uPwbBZFjjGgGUA6NLw09EwE0CqkOc4q9oUmW1yo/edit?usp=sharing"",""แพร่!I389"")"),0)</f>
        <v>0</v>
      </c>
      <c r="J494" s="438">
        <f ca="1">IFERROR(__xludf.DUMMYFUNCTION("IMPORTRANGE(""https://docs.google.com/spreadsheets/d/11923uPwbBZFjjGgGUA6NLw09EwE0CqkOc4q9oUmW1yo/edit?usp=sharing"",""แพร่!J389"")"),0)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IFERROR(__xludf.DUMMYFUNCTION("IMPORTRANGE(""https://docs.google.com/spreadsheets/d/11923uPwbBZFjjGgGUA6NLw09EwE0CqkOc4q9oUmW1yo/edit?usp=sharing"",""แพร่!I390"")"),0)</f>
        <v>0</v>
      </c>
      <c r="J495" s="438">
        <f ca="1">IFERROR(__xludf.DUMMYFUNCTION("IMPORTRANGE(""https://docs.google.com/spreadsheets/d/11923uPwbBZFjjGgGUA6NLw09EwE0CqkOc4q9oUmW1yo/edit?usp=sharing"",""แพร่!J390"")"),0)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IFERROR(__xludf.DUMMYFUNCTION("IMPORTRANGE(""https://docs.google.com/spreadsheets/d/11923uPwbBZFjjGgGUA6NLw09EwE0CqkOc4q9oUmW1yo/edit?usp=sharing"",""แพร่!I391"")"),0)</f>
        <v>0</v>
      </c>
      <c r="J496" s="438">
        <f ca="1">IFERROR(__xludf.DUMMYFUNCTION("IMPORTRANGE(""https://docs.google.com/spreadsheets/d/11923uPwbBZFjjGgGUA6NLw09EwE0CqkOc4q9oUmW1yo/edit?usp=sharing"",""แพร่!J391"")"),0)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IFERROR(__xludf.DUMMYFUNCTION("IMPORTRANGE(""https://docs.google.com/spreadsheets/d/11923uPwbBZFjjGgGUA6NLw09EwE0CqkOc4q9oUmW1yo/edit?usp=sharing"",""แพร่!I392"")"),139)</f>
        <v>139</v>
      </c>
      <c r="J497" s="445">
        <f ca="1">IFERROR(__xludf.DUMMYFUNCTION("IMPORTRANGE(""https://docs.google.com/spreadsheets/d/11923uPwbBZFjjGgGUA6NLw09EwE0CqkOc4q9oUmW1yo/edit?usp=sharing"",""แพร่!J392"")"),0)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IFERROR(__xludf.DUMMYFUNCTION("IMPORTRANGE(""https://docs.google.com/spreadsheets/d/11923uPwbBZFjjGgGUA6NLw09EwE0CqkOc4q9oUmW1yo/edit?usp=sharing"",""แพร่!I393"")"),139)</f>
        <v>139</v>
      </c>
      <c r="J498" s="422">
        <f ca="1">IFERROR(__xludf.DUMMYFUNCTION("IMPORTRANGE(""https://docs.google.com/spreadsheets/d/11923uPwbBZFjjGgGUA6NLw09EwE0CqkOc4q9oUmW1yo/edit?usp=sharing"",""แพร่!J393"")"),0)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IFERROR(__xludf.DUMMYFUNCTION("IMPORTRANGE(""https://docs.google.com/spreadsheets/d/11923uPwbBZFjjGgGUA6NLw09EwE0CqkOc4q9oUmW1yo/edit?usp=sharing"",""แพร่!I394"")"),32)</f>
        <v>32</v>
      </c>
      <c r="J499" s="422">
        <f ca="1">IFERROR(__xludf.DUMMYFUNCTION("IMPORTRANGE(""https://docs.google.com/spreadsheets/d/11923uPwbBZFjjGgGUA6NLw09EwE0CqkOc4q9oUmW1yo/edit?usp=sharing"",""แพร่!J394"")"),0)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IFERROR(__xludf.DUMMYFUNCTION("IMPORTRANGE(""https://docs.google.com/spreadsheets/d/11923uPwbBZFjjGgGUA6NLw09EwE0CqkOc4q9oUmW1yo/edit?usp=sharing"",""แพร่!I395"")"),0)</f>
        <v>0</v>
      </c>
      <c r="J500" s="164">
        <f ca="1">IFERROR(__xludf.DUMMYFUNCTION("IMPORTRANGE(""https://docs.google.com/spreadsheets/d/11923uPwbBZFjjGgGUA6NLw09EwE0CqkOc4q9oUmW1yo/edit?usp=sharing"",""แพร่!J395"")"),0)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IFERROR(__xludf.DUMMYFUNCTION("IMPORTRANGE(""https://docs.google.com/spreadsheets/d/11923uPwbBZFjjGgGUA6NLw09EwE0CqkOc4q9oUmW1yo/edit?usp=sharing"",""แพร่!I396"")"),0)</f>
        <v>0</v>
      </c>
      <c r="J501" s="164">
        <f ca="1">IFERROR(__xludf.DUMMYFUNCTION("IMPORTRANGE(""https://docs.google.com/spreadsheets/d/11923uPwbBZFjjGgGUA6NLw09EwE0CqkOc4q9oUmW1yo/edit?usp=sharing"",""แพร่!J396"")"),0)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IFERROR(__xludf.DUMMYFUNCTION("IMPORTRANGE(""https://docs.google.com/spreadsheets/d/11923uPwbBZFjjGgGUA6NLw09EwE0CqkOc4q9oUmW1yo/edit?usp=sharing"",""แพร่!I397"")"),0)</f>
        <v>0</v>
      </c>
      <c r="J502" s="190">
        <f ca="1">IFERROR(__xludf.DUMMYFUNCTION("IMPORTRANGE(""https://docs.google.com/spreadsheets/d/11923uPwbBZFjjGgGUA6NLw09EwE0CqkOc4q9oUmW1yo/edit?usp=sharing"",""แพร่!J397"")"),0)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IFERROR(__xludf.DUMMYFUNCTION("IMPORTRANGE(""https://docs.google.com/spreadsheets/d/11923uPwbBZFjjGgGUA6NLw09EwE0CqkOc4q9oUmW1yo/edit?usp=sharing"",""แพร่!I398"")"),0)</f>
        <v>0</v>
      </c>
      <c r="J503" s="199">
        <f ca="1">IFERROR(__xludf.DUMMYFUNCTION("IMPORTRANGE(""https://docs.google.com/spreadsheets/d/11923uPwbBZFjjGgGUA6NLw09EwE0CqkOc4q9oUmW1yo/edit?usp=sharing"",""แพร่!J398"")"),0)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IFERROR(__xludf.DUMMYFUNCTION("IMPORTRANGE(""https://docs.google.com/spreadsheets/d/11923uPwbBZFjjGgGUA6NLw09EwE0CqkOc4q9oUmW1yo/edit?usp=sharing"",""แพร่!I399"")"),0)</f>
        <v>0</v>
      </c>
      <c r="J504" s="190">
        <f ca="1">IFERROR(__xludf.DUMMYFUNCTION("IMPORTRANGE(""https://docs.google.com/spreadsheets/d/11923uPwbBZFjjGgGUA6NLw09EwE0CqkOc4q9oUmW1yo/edit?usp=sharing"",""แพร่!J399"")"),0)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IFERROR(__xludf.DUMMYFUNCTION("IMPORTRANGE(""https://docs.google.com/spreadsheets/d/11923uPwbBZFjjGgGUA6NLw09EwE0CqkOc4q9oUmW1yo/edit?usp=sharing"",""แพร่!I400"")"),0)</f>
        <v>0</v>
      </c>
      <c r="J505" s="199">
        <f ca="1">IFERROR(__xludf.DUMMYFUNCTION("IMPORTRANGE(""https://docs.google.com/spreadsheets/d/11923uPwbBZFjjGgGUA6NLw09EwE0CqkOc4q9oUmW1yo/edit?usp=sharing"",""แพร่!J400"")"),0)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IFERROR(__xludf.DUMMYFUNCTION("IMPORTRANGE(""https://docs.google.com/spreadsheets/d/11923uPwbBZFjjGgGUA6NLw09EwE0CqkOc4q9oUmW1yo/edit?usp=sharing"",""แพร่!I401"")"),0)</f>
        <v>0</v>
      </c>
      <c r="J506" s="190">
        <f ca="1">IFERROR(__xludf.DUMMYFUNCTION("IMPORTRANGE(""https://docs.google.com/spreadsheets/d/11923uPwbBZFjjGgGUA6NLw09EwE0CqkOc4q9oUmW1yo/edit?usp=sharing"",""แพร่!J401"")"),0)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IFERROR(__xludf.DUMMYFUNCTION("IMPORTRANGE(""https://docs.google.com/spreadsheets/d/11923uPwbBZFjjGgGUA6NLw09EwE0CqkOc4q9oUmW1yo/edit?usp=sharing"",""แพร่!I402"")"),0)</f>
        <v>0</v>
      </c>
      <c r="J507" s="199">
        <f ca="1">IFERROR(__xludf.DUMMYFUNCTION("IMPORTRANGE(""https://docs.google.com/spreadsheets/d/11923uPwbBZFjjGgGUA6NLw09EwE0CqkOc4q9oUmW1yo/edit?usp=sharing"",""แพร่!J402"")"),0)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IFERROR(__xludf.DUMMYFUNCTION("IMPORTRANGE(""https://docs.google.com/spreadsheets/d/11923uPwbBZFjjGgGUA6NLw09EwE0CqkOc4q9oUmW1yo/edit?usp=sharing"",""แพร่!I403"")"),0)</f>
        <v>0</v>
      </c>
      <c r="J508" s="164">
        <f ca="1">IFERROR(__xludf.DUMMYFUNCTION("IMPORTRANGE(""https://docs.google.com/spreadsheets/d/11923uPwbBZFjjGgGUA6NLw09EwE0CqkOc4q9oUmW1yo/edit?usp=sharing"",""แพร่!J403"")"),0)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IFERROR(__xludf.DUMMYFUNCTION("IMPORTRANGE(""https://docs.google.com/spreadsheets/d/11923uPwbBZFjjGgGUA6NLw09EwE0CqkOc4q9oUmW1yo/edit?usp=sharing"",""แพร่!I404"")"),0)</f>
        <v>0</v>
      </c>
      <c r="J509" s="164">
        <f ca="1">IFERROR(__xludf.DUMMYFUNCTION("IMPORTRANGE(""https://docs.google.com/spreadsheets/d/11923uPwbBZFjjGgGUA6NLw09EwE0CqkOc4q9oUmW1yo/edit?usp=sharing"",""แพร่!J404"")"),0)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IFERROR(__xludf.DUMMYFUNCTION("IMPORTRANGE(""https://docs.google.com/spreadsheets/d/11923uPwbBZFjjGgGUA6NLw09EwE0CqkOc4q9oUmW1yo/edit?usp=sharing"",""แพร่!I405"")"),0)</f>
        <v>0</v>
      </c>
      <c r="J510" s="199">
        <f ca="1">IFERROR(__xludf.DUMMYFUNCTION("IMPORTRANGE(""https://docs.google.com/spreadsheets/d/11923uPwbBZFjjGgGUA6NLw09EwE0CqkOc4q9oUmW1yo/edit?usp=sharing"",""แพร่!J405"")"),0)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IFERROR(__xludf.DUMMYFUNCTION("IMPORTRANGE(""https://docs.google.com/spreadsheets/d/11923uPwbBZFjjGgGUA6NLw09EwE0CqkOc4q9oUmW1yo/edit?usp=sharing"",""แพร่!I406"")"),0)</f>
        <v>0</v>
      </c>
      <c r="J511" s="199">
        <f ca="1">IFERROR(__xludf.DUMMYFUNCTION("IMPORTRANGE(""https://docs.google.com/spreadsheets/d/11923uPwbBZFjjGgGUA6NLw09EwE0CqkOc4q9oUmW1yo/edit?usp=sharing"",""แพร่!J406"")"),0)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IFERROR(__xludf.DUMMYFUNCTION("IMPORTRANGE(""https://docs.google.com/spreadsheets/d/11923uPwbBZFjjGgGUA6NLw09EwE0CqkOc4q9oUmW1yo/edit?usp=sharing"",""แพร่!I407"")"),0)</f>
        <v>0</v>
      </c>
      <c r="J512" s="199">
        <f ca="1">IFERROR(__xludf.DUMMYFUNCTION("IMPORTRANGE(""https://docs.google.com/spreadsheets/d/11923uPwbBZFjjGgGUA6NLw09EwE0CqkOc4q9oUmW1yo/edit?usp=sharing"",""แพร่!J407"")"),0)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IFERROR(__xludf.DUMMYFUNCTION("IMPORTRANGE(""https://docs.google.com/spreadsheets/d/11923uPwbBZFjjGgGUA6NLw09EwE0CqkOc4q9oUmW1yo/edit?usp=sharing"",""แพร่!I408"")"),0)</f>
        <v>0</v>
      </c>
      <c r="J513" s="199">
        <f ca="1">IFERROR(__xludf.DUMMYFUNCTION("IMPORTRANGE(""https://docs.google.com/spreadsheets/d/11923uPwbBZFjjGgGUA6NLw09EwE0CqkOc4q9oUmW1yo/edit?usp=sharing"",""แพร่!J408"")"),0)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IFERROR(__xludf.DUMMYFUNCTION("IMPORTRANGE(""https://docs.google.com/spreadsheets/d/11923uPwbBZFjjGgGUA6NLw09EwE0CqkOc4q9oUmW1yo/edit?usp=sharing"",""แพร่!I409"")"),0)</f>
        <v>0</v>
      </c>
      <c r="J514" s="199">
        <f ca="1">IFERROR(__xludf.DUMMYFUNCTION("IMPORTRANGE(""https://docs.google.com/spreadsheets/d/11923uPwbBZFjjGgGUA6NLw09EwE0CqkOc4q9oUmW1yo/edit?usp=sharing"",""แพร่!J409"")"),0)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IFERROR(__xludf.DUMMYFUNCTION("IMPORTRANGE(""https://docs.google.com/spreadsheets/d/11923uPwbBZFjjGgGUA6NLw09EwE0CqkOc4q9oUmW1yo/edit?usp=sharing"",""แพร่!I410"")"),0)</f>
        <v>0</v>
      </c>
      <c r="J515" s="199">
        <f ca="1">IFERROR(__xludf.DUMMYFUNCTION("IMPORTRANGE(""https://docs.google.com/spreadsheets/d/11923uPwbBZFjjGgGUA6NLw09EwE0CqkOc4q9oUmW1yo/edit?usp=sharing"",""แพร่!J410"")"),0)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IFERROR(__xludf.DUMMYFUNCTION("IMPORTRANGE(""https://docs.google.com/spreadsheets/d/11923uPwbBZFjjGgGUA6NLw09EwE0CqkOc4q9oUmW1yo/edit?usp=sharing"",""แพร่!I411"")"),0)</f>
        <v>0</v>
      </c>
      <c r="J516" s="268">
        <f ca="1">IFERROR(__xludf.DUMMYFUNCTION("IMPORTRANGE(""https://docs.google.com/spreadsheets/d/11923uPwbBZFjjGgGUA6NLw09EwE0CqkOc4q9oUmW1yo/edit?usp=sharing"",""แพร่!J411"")"),0)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IFERROR(__xludf.DUMMYFUNCTION("IMPORTRANGE(""https://docs.google.com/spreadsheets/d/11923uPwbBZFjjGgGUA6NLw09EwE0CqkOc4q9oUmW1yo/edit?usp=sharing"",""แพร่!I412"")"),0)</f>
        <v>0</v>
      </c>
      <c r="J517" s="285">
        <f ca="1">IFERROR(__xludf.DUMMYFUNCTION("IMPORTRANGE(""https://docs.google.com/spreadsheets/d/11923uPwbBZFjjGgGUA6NLw09EwE0CqkOc4q9oUmW1yo/edit?usp=sharing"",""แพร่!J412"")"),0)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IFERROR(__xludf.DUMMYFUNCTION("IMPORTRANGE(""https://docs.google.com/spreadsheets/d/11923uPwbBZFjjGgGUA6NLw09EwE0CqkOc4q9oUmW1yo/edit?usp=sharing"",""แพร่!I413"")"),0)</f>
        <v>0</v>
      </c>
      <c r="J518" s="285">
        <f ca="1">IFERROR(__xludf.DUMMYFUNCTION("IMPORTRANGE(""https://docs.google.com/spreadsheets/d/11923uPwbBZFjjGgGUA6NLw09EwE0CqkOc4q9oUmW1yo/edit?usp=sharing"",""แพร่!J413"")"),0)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IFERROR(__xludf.DUMMYFUNCTION("IMPORTRANGE(""https://docs.google.com/spreadsheets/d/11923uPwbBZFjjGgGUA6NLw09EwE0CqkOc4q9oUmW1yo/edit?usp=sharing"",""แพร่!I414"")"),0)</f>
        <v>0</v>
      </c>
      <c r="J519" s="189">
        <f ca="1">IFERROR(__xludf.DUMMYFUNCTION("IMPORTRANGE(""https://docs.google.com/spreadsheets/d/11923uPwbBZFjjGgGUA6NLw09EwE0CqkOc4q9oUmW1yo/edit?usp=sharing"",""แพร่!J414"")"),0)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IFERROR(__xludf.DUMMYFUNCTION("IMPORTRANGE(""https://docs.google.com/spreadsheets/d/11923uPwbBZFjjGgGUA6NLw09EwE0CqkOc4q9oUmW1yo/edit?usp=sharing"",""แพร่!I415"")"),0)</f>
        <v>0</v>
      </c>
      <c r="J520" s="189">
        <f ca="1">IFERROR(__xludf.DUMMYFUNCTION("IMPORTRANGE(""https://docs.google.com/spreadsheets/d/11923uPwbBZFjjGgGUA6NLw09EwE0CqkOc4q9oUmW1yo/edit?usp=sharing"",""แพร่!J415"")"),0)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IFERROR(__xludf.DUMMYFUNCTION("IMPORTRANGE(""https://docs.google.com/spreadsheets/d/11923uPwbBZFjjGgGUA6NLw09EwE0CqkOc4q9oUmW1yo/edit?usp=sharing"",""แพร่!I416"")"),0)</f>
        <v>0</v>
      </c>
      <c r="J521" s="189">
        <f ca="1">IFERROR(__xludf.DUMMYFUNCTION("IMPORTRANGE(""https://docs.google.com/spreadsheets/d/11923uPwbBZFjjGgGUA6NLw09EwE0CqkOc4q9oUmW1yo/edit?usp=sharing"",""แพร่!J416"")"),0)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IFERROR(__xludf.DUMMYFUNCTION("IMPORTRANGE(""https://docs.google.com/spreadsheets/d/11923uPwbBZFjjGgGUA6NLw09EwE0CqkOc4q9oUmW1yo/edit?usp=sharing"",""แพร่!I417"")"),0)</f>
        <v>0</v>
      </c>
      <c r="J522" s="189">
        <f ca="1">IFERROR(__xludf.DUMMYFUNCTION("IMPORTRANGE(""https://docs.google.com/spreadsheets/d/11923uPwbBZFjjGgGUA6NLw09EwE0CqkOc4q9oUmW1yo/edit?usp=sharing"",""แพร่!J417"")"),0)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IFERROR(__xludf.DUMMYFUNCTION("IMPORTRANGE(""https://docs.google.com/spreadsheets/d/11923uPwbBZFjjGgGUA6NLw09EwE0CqkOc4q9oUmW1yo/edit?usp=sharing"",""แพร่!I418"")"),0)</f>
        <v>0</v>
      </c>
      <c r="J523" s="189">
        <f ca="1">IFERROR(__xludf.DUMMYFUNCTION("IMPORTRANGE(""https://docs.google.com/spreadsheets/d/11923uPwbBZFjjGgGUA6NLw09EwE0CqkOc4q9oUmW1yo/edit?usp=sharing"",""แพร่!J418"")"),14)</f>
        <v>14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IFERROR(__xludf.DUMMYFUNCTION("IMPORTRANGE(""https://docs.google.com/spreadsheets/d/11923uPwbBZFjjGgGUA6NLw09EwE0CqkOc4q9oUmW1yo/edit?usp=sharing"",""แพร่!I419"")"),0)</f>
        <v>0</v>
      </c>
      <c r="J524" s="189">
        <f ca="1">IFERROR(__xludf.DUMMYFUNCTION("IMPORTRANGE(""https://docs.google.com/spreadsheets/d/11923uPwbBZFjjGgGUA6NLw09EwE0CqkOc4q9oUmW1yo/edit?usp=sharing"",""แพร่!J419"")"),5)</f>
        <v>5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IFERROR(__xludf.DUMMYFUNCTION("IMPORTRANGE(""https://docs.google.com/spreadsheets/d/11923uPwbBZFjjGgGUA6NLw09EwE0CqkOc4q9oUmW1yo/edit?usp=sharing"",""แพร่!I420"")"),14)</f>
        <v>14</v>
      </c>
      <c r="J525" s="285">
        <f ca="1">IFERROR(__xludf.DUMMYFUNCTION("IMPORTRANGE(""https://docs.google.com/spreadsheets/d/11923uPwbBZFjjGgGUA6NLw09EwE0CqkOc4q9oUmW1yo/edit?usp=sharing"",""แพร่!J420"")"),0)</f>
        <v>0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IFERROR(__xludf.DUMMYFUNCTION("IMPORTRANGE(""https://docs.google.com/spreadsheets/d/11923uPwbBZFjjGgGUA6NLw09EwE0CqkOc4q9oUmW1yo/edit?usp=sharing"",""แพร่!I421"")"),5)</f>
        <v>5</v>
      </c>
      <c r="J526" s="285">
        <f ca="1">IFERROR(__xludf.DUMMYFUNCTION("IMPORTRANGE(""https://docs.google.com/spreadsheets/d/11923uPwbBZFjjGgGUA6NLw09EwE0CqkOc4q9oUmW1yo/edit?usp=sharing"",""แพร่!J421"")"),0)</f>
        <v>0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IFERROR(__xludf.DUMMYFUNCTION("IMPORTRANGE(""https://docs.google.com/spreadsheets/d/11923uPwbBZFjjGgGUA6NLw09EwE0CqkOc4q9oUmW1yo/edit?usp=sharing"",""แพร่!I422"")"),0)</f>
        <v>0</v>
      </c>
      <c r="J527" s="199">
        <f ca="1">IFERROR(__xludf.DUMMYFUNCTION("IMPORTRANGE(""https://docs.google.com/spreadsheets/d/11923uPwbBZFjjGgGUA6NLw09EwE0CqkOc4q9oUmW1yo/edit?usp=sharing"",""แพร่!J422"")"),0)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IFERROR(__xludf.DUMMYFUNCTION("IMPORTRANGE(""https://docs.google.com/spreadsheets/d/11923uPwbBZFjjGgGUA6NLw09EwE0CqkOc4q9oUmW1yo/edit?usp=sharing"",""แพร่!I423"")"),0)</f>
        <v>0</v>
      </c>
      <c r="J528" s="199">
        <f ca="1">IFERROR(__xludf.DUMMYFUNCTION("IMPORTRANGE(""https://docs.google.com/spreadsheets/d/11923uPwbBZFjjGgGUA6NLw09EwE0CqkOc4q9oUmW1yo/edit?usp=sharing"",""แพร่!J423"")"),0)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IFERROR(__xludf.DUMMYFUNCTION("IMPORTRANGE(""https://docs.google.com/spreadsheets/d/11923uPwbBZFjjGgGUA6NLw09EwE0CqkOc4q9oUmW1yo/edit?usp=sharing"",""แพร่!I424"")"),0)</f>
        <v>0</v>
      </c>
      <c r="J529" s="199">
        <f ca="1">IFERROR(__xludf.DUMMYFUNCTION("IMPORTRANGE(""https://docs.google.com/spreadsheets/d/11923uPwbBZFjjGgGUA6NLw09EwE0CqkOc4q9oUmW1yo/edit?usp=sharing"",""แพร่!J424"")"),0)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IFERROR(__xludf.DUMMYFUNCTION("IMPORTRANGE(""https://docs.google.com/spreadsheets/d/11923uPwbBZFjjGgGUA6NLw09EwE0CqkOc4q9oUmW1yo/edit?usp=sharing"",""แพร่!I425"")"),0)</f>
        <v>0</v>
      </c>
      <c r="J530" s="199">
        <f ca="1">IFERROR(__xludf.DUMMYFUNCTION("IMPORTRANGE(""https://docs.google.com/spreadsheets/d/11923uPwbBZFjjGgGUA6NLw09EwE0CqkOc4q9oUmW1yo/edit?usp=sharing"",""แพร่!J425"")"),0)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IFERROR(__xludf.DUMMYFUNCTION("IMPORTRANGE(""https://docs.google.com/spreadsheets/d/11923uPwbBZFjjGgGUA6NLw09EwE0CqkOc4q9oUmW1yo/edit?usp=sharing"",""แพร่!I426"")"),0)</f>
        <v>0</v>
      </c>
      <c r="J531" s="199">
        <f ca="1">IFERROR(__xludf.DUMMYFUNCTION("IMPORTRANGE(""https://docs.google.com/spreadsheets/d/11923uPwbBZFjjGgGUA6NLw09EwE0CqkOc4q9oUmW1yo/edit?usp=sharing"",""แพร่!J426"")"),0)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IFERROR(__xludf.DUMMYFUNCTION("IMPORTRANGE(""https://docs.google.com/spreadsheets/d/11923uPwbBZFjjGgGUA6NLw09EwE0CqkOc4q9oUmW1yo/edit?usp=sharing"",""แพร่!I427"")"),0)</f>
        <v>0</v>
      </c>
      <c r="J532" s="468">
        <f ca="1">IFERROR(__xludf.DUMMYFUNCTION("IMPORTRANGE(""https://docs.google.com/spreadsheets/d/11923uPwbBZFjjGgGUA6NLw09EwE0CqkOc4q9oUmW1yo/edit?usp=sharing"",""แพร่!J427"")"),0)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IFERROR(__xludf.DUMMYFUNCTION("IMPORTRANGE(""https://docs.google.com/spreadsheets/d/11923uPwbBZFjjGgGUA6NLw09EwE0CqkOc4q9oUmW1yo/edit?usp=sharing"",""แพร่!I428"")"),22)</f>
        <v>22</v>
      </c>
      <c r="J533" s="411">
        <f ca="1">IFERROR(__xludf.DUMMYFUNCTION("IMPORTRANGE(""https://docs.google.com/spreadsheets/d/11923uPwbBZFjjGgGUA6NLw09EwE0CqkOc4q9oUmW1yo/edit?usp=sharing"",""แพร่!J428"")"),22)</f>
        <v>22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IFERROR(__xludf.DUMMYFUNCTION("IMPORTRANGE(""https://docs.google.com/spreadsheets/d/11923uPwbBZFjjGgGUA6NLw09EwE0CqkOc4q9oUmW1yo/edit?usp=sharing"",""แพร่!L428"")"),34340)</f>
        <v>34340</v>
      </c>
      <c r="M533" s="413"/>
      <c r="N533" s="413">
        <f ca="1">IFERROR(__xludf.DUMMYFUNCTION("IMPORTRANGE(""https://docs.google.com/spreadsheets/d/11923uPwbBZFjjGgGUA6NLw09EwE0CqkOc4q9oUmW1yo/edit?usp=sharing"",""แพร่!M428"")"),21672)</f>
        <v>21672</v>
      </c>
      <c r="O533" s="413">
        <f t="shared" ref="O533:O537" ca="1" si="118">+IF(L533&gt;0,N533*100/L533,0)</f>
        <v>63.110075713453696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IFERROR(__xludf.DUMMYFUNCTION("IMPORTRANGE(""https://docs.google.com/spreadsheets/d/11923uPwbBZFjjGgGUA6NLw09EwE0CqkOc4q9oUmW1yo/edit?usp=sharing"",""แพร่!L429"")"),0)</f>
        <v>0</v>
      </c>
      <c r="M534" s="166"/>
      <c r="N534" s="170">
        <f ca="1">IFERROR(__xludf.DUMMYFUNCTION("IMPORTRANGE(""https://docs.google.com/spreadsheets/d/11923uPwbBZFjjGgGUA6NLw09EwE0CqkOc4q9oUmW1yo/edit?usp=sharing"",""แพร่!M429"")"),0)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IFERROR(__xludf.DUMMYFUNCTION("IMPORTRANGE(""https://docs.google.com/spreadsheets/d/11923uPwbBZFjjGgGUA6NLw09EwE0CqkOc4q9oUmW1yo/edit?usp=sharing"",""แพร่!L430"")"),34340)</f>
        <v>34340</v>
      </c>
      <c r="M535" s="167"/>
      <c r="N535" s="170">
        <f ca="1">IFERROR(__xludf.DUMMYFUNCTION("IMPORTRANGE(""https://docs.google.com/spreadsheets/d/11923uPwbBZFjjGgGUA6NLw09EwE0CqkOc4q9oUmW1yo/edit?usp=sharing"",""แพร่!M430"")"),21672)</f>
        <v>21672</v>
      </c>
      <c r="O535" s="170">
        <f t="shared" ca="1" si="118"/>
        <v>63.110075713453696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IFERROR(__xludf.DUMMYFUNCTION("IMPORTRANGE(""https://docs.google.com/spreadsheets/d/11923uPwbBZFjjGgGUA6NLw09EwE0CqkOc4q9oUmW1yo/edit?usp=sharing"",""แพร่!L431"")"),0)</f>
        <v>0</v>
      </c>
      <c r="M536" s="170"/>
      <c r="N536" s="170">
        <f ca="1">IFERROR(__xludf.DUMMYFUNCTION("IMPORTRANGE(""https://docs.google.com/spreadsheets/d/11923uPwbBZFjjGgGUA6NLw09EwE0CqkOc4q9oUmW1yo/edit?usp=sharing"",""แพร่!M431"")"),0)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IFERROR(__xludf.DUMMYFUNCTION("IMPORTRANGE(""https://docs.google.com/spreadsheets/d/11923uPwbBZFjjGgGUA6NLw09EwE0CqkOc4q9oUmW1yo/edit?usp=sharing"",""แพร่!L432"")"),34340)</f>
        <v>34340</v>
      </c>
      <c r="M537" s="170"/>
      <c r="N537" s="170">
        <f ca="1">IFERROR(__xludf.DUMMYFUNCTION("IMPORTRANGE(""https://docs.google.com/spreadsheets/d/11923uPwbBZFjjGgGUA6NLw09EwE0CqkOc4q9oUmW1yo/edit?usp=sharing"",""แพร่!M432"")"),21672)</f>
        <v>21672</v>
      </c>
      <c r="O537" s="170">
        <f t="shared" ca="1" si="118"/>
        <v>63.110075713453696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IFERROR(__xludf.DUMMYFUNCTION("IMPORTRANGE(""https://docs.google.com/spreadsheets/d/11923uPwbBZFjjGgGUA6NLw09EwE0CqkOc4q9oUmW1yo/edit?usp=sharing"",""แพร่!M433"")"),17860)</f>
        <v>17860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IFERROR(__xludf.DUMMYFUNCTION("IMPORTRANGE(""https://docs.google.com/spreadsheets/d/11923uPwbBZFjjGgGUA6NLw09EwE0CqkOc4q9oUmW1yo/edit?usp=sharing"",""แพร่!M434"")"),0)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IFERROR(__xludf.DUMMYFUNCTION("IMPORTRANGE(""https://docs.google.com/spreadsheets/d/11923uPwbBZFjjGgGUA6NLw09EwE0CqkOc4q9oUmW1yo/edit?usp=sharing"",""แพร่!M435"")"),0)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IFERROR(__xludf.DUMMYFUNCTION("IMPORTRANGE(""https://docs.google.com/spreadsheets/d/11923uPwbBZFjjGgGUA6NLw09EwE0CqkOc4q9oUmW1yo/edit?usp=sharing"",""แพร่!M436"")"),3812)</f>
        <v>3812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IFERROR(__xludf.DUMMYFUNCTION("IMPORTRANGE(""https://docs.google.com/spreadsheets/d/11923uPwbBZFjjGgGUA6NLw09EwE0CqkOc4q9oUmW1yo/edit?usp=sharing"",""แพร่!J438"")"),0)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IFERROR(__xludf.DUMMYFUNCTION("IMPORTRANGE(""https://docs.google.com/spreadsheets/d/11923uPwbBZFjjGgGUA6NLw09EwE0CqkOc4q9oUmW1yo/edit?usp=sharing"",""แพร่!J439"")"),1)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IFERROR(__xludf.DUMMYFUNCTION("IMPORTRANGE(""https://docs.google.com/spreadsheets/d/11923uPwbBZFjjGgGUA6NLw09EwE0CqkOc4q9oUmW1yo/edit?usp=sharing"",""แพร่!J440"")"),1)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IFERROR(__xludf.DUMMYFUNCTION("IMPORTRANGE(""https://docs.google.com/spreadsheets/d/11923uPwbBZFjjGgGUA6NLw09EwE0CqkOc4q9oUmW1yo/edit?usp=sharing"",""แพร่!J441"")"),1)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IFERROR(__xludf.DUMMYFUNCTION("IMPORTRANGE(""https://docs.google.com/spreadsheets/d/11923uPwbBZFjjGgGUA6NLw09EwE0CqkOc4q9oUmW1yo/edit?usp=sharing"",""แพร่!I442"")"),22)</f>
        <v>22</v>
      </c>
      <c r="J547" s="190">
        <f ca="1">IFERROR(__xludf.DUMMYFUNCTION("IMPORTRANGE(""https://docs.google.com/spreadsheets/d/11923uPwbBZFjjGgGUA6NLw09EwE0CqkOc4q9oUmW1yo/edit?usp=sharing"",""แพร่!J442"")"),22)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IFERROR(__xludf.DUMMYFUNCTION("IMPORTRANGE(""https://docs.google.com/spreadsheets/d/11923uPwbBZFjjGgGUA6NLw09EwE0CqkOc4q9oUmW1yo/edit?usp=sharing"",""แพร่!J166"")"),0)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IFERROR(__xludf.DUMMYFUNCTION("IMPORTRANGE(""https://docs.google.com/spreadsheets/d/11923uPwbBZFjjGgGUA6NLw09EwE0CqkOc4q9oUmW1yo/edit?usp=sharing"",""แพร่!J444"")"),0)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IFERROR(__xludf.DUMMYFUNCTION("IMPORTRANGE(""https://docs.google.com/spreadsheets/d/11923uPwbBZFjjGgGUA6NLw09EwE0CqkOc4q9oUmW1yo/edit?usp=sharing"",""แพร่!J445"")"),0)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IFERROR(__xludf.DUMMYFUNCTION("IMPORTRANGE(""https://docs.google.com/spreadsheets/d/11923uPwbBZFjjGgGUA6NLw09EwE0CqkOc4q9oUmW1yo/edit?usp=sharing"",""แพร่!I446"")"),0)</f>
        <v>0</v>
      </c>
      <c r="J551" s="411">
        <f ca="1">IFERROR(__xludf.DUMMYFUNCTION("IMPORTRANGE(""https://docs.google.com/spreadsheets/d/11923uPwbBZFjjGgGUA6NLw09EwE0CqkOc4q9oUmW1yo/edit?usp=sharing"",""แพร่!J446"")"),0)</f>
        <v>0</v>
      </c>
      <c r="K551" s="412">
        <f ca="1">IF(I551&gt;0,J551*100/I551,0)</f>
        <v>0</v>
      </c>
      <c r="L551" s="413">
        <f ca="1">IFERROR(__xludf.DUMMYFUNCTION("IMPORTRANGE(""https://docs.google.com/spreadsheets/d/11923uPwbBZFjjGgGUA6NLw09EwE0CqkOc4q9oUmW1yo/edit?usp=sharing"",""แพร่!L446"")"),0)</f>
        <v>0</v>
      </c>
      <c r="M551" s="413"/>
      <c r="N551" s="413">
        <f ca="1">IFERROR(__xludf.DUMMYFUNCTION("IMPORTRANGE(""https://docs.google.com/spreadsheets/d/11923uPwbBZFjjGgGUA6NLw09EwE0CqkOc4q9oUmW1yo/edit?usp=sharing"",""แพร่!M446"")"),0)</f>
        <v>0</v>
      </c>
      <c r="O551" s="413">
        <f t="shared" ref="O551:O555" ca="1" si="120">+IF(L551&gt;0,N551*100/L551,0)</f>
        <v>0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IFERROR(__xludf.DUMMYFUNCTION("IMPORTRANGE(""https://docs.google.com/spreadsheets/d/11923uPwbBZFjjGgGUA6NLw09EwE0CqkOc4q9oUmW1yo/edit?usp=sharing"",""แพร่!L447"")"),0)</f>
        <v>0</v>
      </c>
      <c r="M552" s="166"/>
      <c r="N552" s="170">
        <f ca="1">IFERROR(__xludf.DUMMYFUNCTION("IMPORTRANGE(""https://docs.google.com/spreadsheets/d/11923uPwbBZFjjGgGUA6NLw09EwE0CqkOc4q9oUmW1yo/edit?usp=sharing"",""แพร่!M447"")"),0)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IFERROR(__xludf.DUMMYFUNCTION("IMPORTRANGE(""https://docs.google.com/spreadsheets/d/11923uPwbBZFjjGgGUA6NLw09EwE0CqkOc4q9oUmW1yo/edit?usp=sharing"",""แพร่!L448"")"),0)</f>
        <v>0</v>
      </c>
      <c r="M553" s="167"/>
      <c r="N553" s="170">
        <f ca="1">IFERROR(__xludf.DUMMYFUNCTION("IMPORTRANGE(""https://docs.google.com/spreadsheets/d/11923uPwbBZFjjGgGUA6NLw09EwE0CqkOc4q9oUmW1yo/edit?usp=sharing"",""แพร่!M448"")"),0)</f>
        <v>0</v>
      </c>
      <c r="O553" s="170">
        <f t="shared" ca="1" si="120"/>
        <v>0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IFERROR(__xludf.DUMMYFUNCTION("IMPORTRANGE(""https://docs.google.com/spreadsheets/d/11923uPwbBZFjjGgGUA6NLw09EwE0CqkOc4q9oUmW1yo/edit?usp=sharing"",""แพร่!L449"")"),0)</f>
        <v>0</v>
      </c>
      <c r="M554" s="170"/>
      <c r="N554" s="170">
        <f ca="1">IFERROR(__xludf.DUMMYFUNCTION("IMPORTRANGE(""https://docs.google.com/spreadsheets/d/11923uPwbBZFjjGgGUA6NLw09EwE0CqkOc4q9oUmW1yo/edit?usp=sharing"",""แพร่!M449"")"),0)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IFERROR(__xludf.DUMMYFUNCTION("IMPORTRANGE(""https://docs.google.com/spreadsheets/d/11923uPwbBZFjjGgGUA6NLw09EwE0CqkOc4q9oUmW1yo/edit?usp=sharing"",""แพร่!L450"")"),0)</f>
        <v>0</v>
      </c>
      <c r="M555" s="170"/>
      <c r="N555" s="170">
        <f ca="1">IFERROR(__xludf.DUMMYFUNCTION("IMPORTRANGE(""https://docs.google.com/spreadsheets/d/11923uPwbBZFjjGgGUA6NLw09EwE0CqkOc4q9oUmW1yo/edit?usp=sharing"",""แพร่!M450"")"),0)</f>
        <v>0</v>
      </c>
      <c r="O555" s="170">
        <f t="shared" ca="1" si="120"/>
        <v>0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IFERROR(__xludf.DUMMYFUNCTION("IMPORTRANGE(""https://docs.google.com/spreadsheets/d/11923uPwbBZFjjGgGUA6NLw09EwE0CqkOc4q9oUmW1yo/edit?usp=sharing"",""แพร่!M451"")"),0)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IFERROR(__xludf.DUMMYFUNCTION("IMPORTRANGE(""https://docs.google.com/spreadsheets/d/11923uPwbBZFjjGgGUA6NLw09EwE0CqkOc4q9oUmW1yo/edit?usp=sharing"",""แพร่!M452"")"),0)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IFERROR(__xludf.DUMMYFUNCTION("IMPORTRANGE(""https://docs.google.com/spreadsheets/d/11923uPwbBZFjjGgGUA6NLw09EwE0CqkOc4q9oUmW1yo/edit?usp=sharing"",""แพร่!M453"")"),0)</f>
        <v>0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IFERROR(__xludf.DUMMYFUNCTION("IMPORTRANGE(""https://docs.google.com/spreadsheets/d/11923uPwbBZFjjGgGUA6NLw09EwE0CqkOc4q9oUmW1yo/edit?usp=sharing"",""แพร่!M454"")"),0)</f>
        <v>0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IFERROR(__xludf.DUMMYFUNCTION("IMPORTRANGE(""https://docs.google.com/spreadsheets/d/11923uPwbBZFjjGgGUA6NLw09EwE0CqkOc4q9oUmW1yo/edit?usp=sharing"",""แพร่!I455"")"),0)</f>
        <v>0</v>
      </c>
      <c r="J560" s="164">
        <f ca="1">IFERROR(__xludf.DUMMYFUNCTION("IMPORTRANGE(""https://docs.google.com/spreadsheets/d/11923uPwbBZFjjGgGUA6NLw09EwE0CqkOc4q9oUmW1yo/edit?usp=sharing"",""แพร่!J455"")"),0)</f>
        <v>0</v>
      </c>
      <c r="K560" s="225">
        <f t="shared" ref="K560:K561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IFERROR(__xludf.DUMMYFUNCTION("IMPORTRANGE(""https://docs.google.com/spreadsheets/d/11923uPwbBZFjjGgGUA6NLw09EwE0CqkOc4q9oUmW1yo/edit?usp=sharing"",""แพร่!I456"")"),0)</f>
        <v>0</v>
      </c>
      <c r="J561" s="205">
        <f ca="1">IFERROR(__xludf.DUMMYFUNCTION("IMPORTRANGE(""https://docs.google.com/spreadsheets/d/11923uPwbBZFjjGgGUA6NLw09EwE0CqkOc4q9oUmW1yo/edit?usp=sharing"",""แพร่!J456"")"),0)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IFERROR(__xludf.DUMMYFUNCTION("IMPORTRANGE(""https://docs.google.com/spreadsheets/d/11923uPwbBZFjjGgGUA6NLw09EwE0CqkOc4q9oUmW1yo/edit?usp=sharing"",""แพร่!I459"")"),1200)</f>
        <v>1200</v>
      </c>
      <c r="J564" s="372">
        <f ca="1">IFERROR(__xludf.DUMMYFUNCTION("IMPORTRANGE(""https://docs.google.com/spreadsheets/d/11923uPwbBZFjjGgGUA6NLw09EwE0CqkOc4q9oUmW1yo/edit?usp=sharing"",""แพร่!J459"")"),1865)</f>
        <v>1865</v>
      </c>
      <c r="K564" s="373">
        <f ca="1">IF(I564&gt;0,J564*100/I564,0)</f>
        <v>155.41666666666666</v>
      </c>
      <c r="L564" s="374">
        <f ca="1">IFERROR(__xludf.DUMMYFUNCTION("IMPORTRANGE(""https://docs.google.com/spreadsheets/d/11923uPwbBZFjjGgGUA6NLw09EwE0CqkOc4q9oUmW1yo/edit?usp=sharing"",""แพร่!L459"")"),126480)</f>
        <v>126480</v>
      </c>
      <c r="M564" s="374"/>
      <c r="N564" s="374">
        <f ca="1">IFERROR(__xludf.DUMMYFUNCTION("IMPORTRANGE(""https://docs.google.com/spreadsheets/d/11923uPwbBZFjjGgGUA6NLw09EwE0CqkOc4q9oUmW1yo/edit?usp=sharing"",""แพร่!M459"")"),48833)</f>
        <v>48833</v>
      </c>
      <c r="O564" s="374">
        <f t="shared" ref="O564:O568" ca="1" si="122">+IF(L564&gt;0,N564*100/L564,0)</f>
        <v>38.609266287160025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IFERROR(__xludf.DUMMYFUNCTION("IMPORTRANGE(""https://docs.google.com/spreadsheets/d/11923uPwbBZFjjGgGUA6NLw09EwE0CqkOc4q9oUmW1yo/edit?usp=sharing"",""แพร่!L460"")"),0)</f>
        <v>0</v>
      </c>
      <c r="M565" s="166"/>
      <c r="N565" s="170">
        <f ca="1">IFERROR(__xludf.DUMMYFUNCTION("IMPORTRANGE(""https://docs.google.com/spreadsheets/d/11923uPwbBZFjjGgGUA6NLw09EwE0CqkOc4q9oUmW1yo/edit?usp=sharing"",""แพร่!M460"")"),0)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IFERROR(__xludf.DUMMYFUNCTION("IMPORTRANGE(""https://docs.google.com/spreadsheets/d/11923uPwbBZFjjGgGUA6NLw09EwE0CqkOc4q9oUmW1yo/edit?usp=sharing"",""แพร่!L461"")"),126480)</f>
        <v>126480</v>
      </c>
      <c r="M566" s="167"/>
      <c r="N566" s="170">
        <f ca="1">IFERROR(__xludf.DUMMYFUNCTION("IMPORTRANGE(""https://docs.google.com/spreadsheets/d/11923uPwbBZFjjGgGUA6NLw09EwE0CqkOc4q9oUmW1yo/edit?usp=sharing"",""แพร่!M461"")"),48833)</f>
        <v>48833</v>
      </c>
      <c r="O566" s="170">
        <f t="shared" ca="1" si="122"/>
        <v>38.609266287160025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IFERROR(__xludf.DUMMYFUNCTION("IMPORTRANGE(""https://docs.google.com/spreadsheets/d/11923uPwbBZFjjGgGUA6NLw09EwE0CqkOc4q9oUmW1yo/edit?usp=sharing"",""แพร่!L462"")"),0)</f>
        <v>0</v>
      </c>
      <c r="M567" s="170"/>
      <c r="N567" s="170">
        <f ca="1">IFERROR(__xludf.DUMMYFUNCTION("IMPORTRANGE(""https://docs.google.com/spreadsheets/d/11923uPwbBZFjjGgGUA6NLw09EwE0CqkOc4q9oUmW1yo/edit?usp=sharing"",""แพร่!M462"")"),0)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IFERROR(__xludf.DUMMYFUNCTION("IMPORTRANGE(""https://docs.google.com/spreadsheets/d/11923uPwbBZFjjGgGUA6NLw09EwE0CqkOc4q9oUmW1yo/edit?usp=sharing"",""แพร่!L463"")"),126480)</f>
        <v>126480</v>
      </c>
      <c r="M568" s="170"/>
      <c r="N568" s="170">
        <f ca="1">IFERROR(__xludf.DUMMYFUNCTION("IMPORTRANGE(""https://docs.google.com/spreadsheets/d/11923uPwbBZFjjGgGUA6NLw09EwE0CqkOc4q9oUmW1yo/edit?usp=sharing"",""แพร่!M463"")"),48833)</f>
        <v>48833</v>
      </c>
      <c r="O568" s="170">
        <f t="shared" ca="1" si="122"/>
        <v>38.609266287160025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IFERROR(__xludf.DUMMYFUNCTION("IMPORTRANGE(""https://docs.google.com/spreadsheets/d/11923uPwbBZFjjGgGUA6NLw09EwE0CqkOc4q9oUmW1yo/edit?usp=sharing"",""แพร่!M464"")"),0)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IFERROR(__xludf.DUMMYFUNCTION("IMPORTRANGE(""https://docs.google.com/spreadsheets/d/11923uPwbBZFjjGgGUA6NLw09EwE0CqkOc4q9oUmW1yo/edit?usp=sharing"",""แพร่!M465"")"),0)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IFERROR(__xludf.DUMMYFUNCTION("IMPORTRANGE(""https://docs.google.com/spreadsheets/d/11923uPwbBZFjjGgGUA6NLw09EwE0CqkOc4q9oUmW1yo/edit?usp=sharing"",""แพร่!M466"")"),31899)</f>
        <v>31899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IFERROR(__xludf.DUMMYFUNCTION("IMPORTRANGE(""https://docs.google.com/spreadsheets/d/11923uPwbBZFjjGgGUA6NLw09EwE0CqkOc4q9oUmW1yo/edit?usp=sharing"",""แพร่!M467"")"),16934)</f>
        <v>16934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IFERROR(__xludf.DUMMYFUNCTION("IMPORTRANGE(""https://docs.google.com/spreadsheets/d/11923uPwbBZFjjGgGUA6NLw09EwE0CqkOc4q9oUmW1yo/edit?usp=sharing"",""แพร่!I468"")"),1200)</f>
        <v>1200</v>
      </c>
      <c r="J573" s="422">
        <f ca="1">IFERROR(__xludf.DUMMYFUNCTION("IMPORTRANGE(""https://docs.google.com/spreadsheets/d/11923uPwbBZFjjGgGUA6NLw09EwE0CqkOc4q9oUmW1yo/edit?usp=sharing"",""แพร่!J468"")"),1865)</f>
        <v>1865</v>
      </c>
      <c r="K573" s="203">
        <f ca="1">IF(I573&gt;0,J573*100/I573,0)</f>
        <v>155.41666666666666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IFERROR(__xludf.DUMMYFUNCTION("IMPORTRANGE(""https://docs.google.com/spreadsheets/d/11923uPwbBZFjjGgGUA6NLw09EwE0CqkOc4q9oUmW1yo/edit?usp=sharing"",""แพร่!I470"")"),0)</f>
        <v>0</v>
      </c>
      <c r="J575" s="199">
        <f ca="1">IFERROR(__xludf.DUMMYFUNCTION("IMPORTRANGE(""https://docs.google.com/spreadsheets/d/11923uPwbBZFjjGgGUA6NLw09EwE0CqkOc4q9oUmW1yo/edit?usp=sharing"",""แพร่!J470"")"),6)</f>
        <v>6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IFERROR(__xludf.DUMMYFUNCTION("IMPORTRANGE(""https://docs.google.com/spreadsheets/d/11923uPwbBZFjjGgGUA6NLw09EwE0CqkOc4q9oUmW1yo/edit?usp=sharing"",""แพร่!I471"")"),0)</f>
        <v>0</v>
      </c>
      <c r="J576" s="199">
        <f ca="1">IFERROR(__xludf.DUMMYFUNCTION("IMPORTRANGE(""https://docs.google.com/spreadsheets/d/11923uPwbBZFjjGgGUA6NLw09EwE0CqkOc4q9oUmW1yo/edit?usp=sharing"",""แพร่!J471"")"),380)</f>
        <v>380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IFERROR(__xludf.DUMMYFUNCTION("IMPORTRANGE(""https://docs.google.com/spreadsheets/d/11923uPwbBZFjjGgGUA6NLw09EwE0CqkOc4q9oUmW1yo/edit?usp=sharing"",""แพร่!I472"")"),0)</f>
        <v>0</v>
      </c>
      <c r="J577" s="190">
        <f ca="1">IFERROR(__xludf.DUMMYFUNCTION("IMPORTRANGE(""https://docs.google.com/spreadsheets/d/11923uPwbBZFjjGgGUA6NLw09EwE0CqkOc4q9oUmW1yo/edit?usp=sharing"",""แพร่!J472"")"),1485)</f>
        <v>1485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IFERROR(__xludf.DUMMYFUNCTION("IMPORTRANGE(""https://docs.google.com/spreadsheets/d/11923uPwbBZFjjGgGUA6NLw09EwE0CqkOc4q9oUmW1yo/edit?usp=sharing"",""แพร่!I473"")"),0)</f>
        <v>0</v>
      </c>
      <c r="J578" s="199">
        <f ca="1">IFERROR(__xludf.DUMMYFUNCTION("IMPORTRANGE(""https://docs.google.com/spreadsheets/d/11923uPwbBZFjjGgGUA6NLw09EwE0CqkOc4q9oUmW1yo/edit?usp=sharing"",""แพร่!J473"")"),0)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IFERROR(__xludf.DUMMYFUNCTION("IMPORTRANGE(""https://docs.google.com/spreadsheets/d/11923uPwbBZFjjGgGUA6NLw09EwE0CqkOc4q9oUmW1yo/edit?usp=sharing"",""แพร่!I474"")"),0)</f>
        <v>0</v>
      </c>
      <c r="J579" s="199">
        <f ca="1">IFERROR(__xludf.DUMMYFUNCTION("IMPORTRANGE(""https://docs.google.com/spreadsheets/d/11923uPwbBZFjjGgGUA6NLw09EwE0CqkOc4q9oUmW1yo/edit?usp=sharing"",""แพร่!J474"")"),0)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IFERROR(__xludf.DUMMYFUNCTION("IMPORTRANGE(""https://docs.google.com/spreadsheets/d/11923uPwbBZFjjGgGUA6NLw09EwE0CqkOc4q9oUmW1yo/edit?usp=sharing"",""แพร่!I475"")"),0)</f>
        <v>0</v>
      </c>
      <c r="J580" s="372">
        <f ca="1">IFERROR(__xludf.DUMMYFUNCTION("IMPORTRANGE(""https://docs.google.com/spreadsheets/d/11923uPwbBZFjjGgGUA6NLw09EwE0CqkOc4q9oUmW1yo/edit?usp=sharing"",""แพร่!J475"")"),2)</f>
        <v>2</v>
      </c>
      <c r="K580" s="373">
        <f ca="1">IF(I580&gt;0,J580*100/I580,0)</f>
        <v>0</v>
      </c>
      <c r="L580" s="374">
        <f ca="1">IFERROR(__xludf.DUMMYFUNCTION("IMPORTRANGE(""https://docs.google.com/spreadsheets/d/11923uPwbBZFjjGgGUA6NLw09EwE0CqkOc4q9oUmW1yo/edit?usp=sharing"",""แพร่!L475"")"),0)</f>
        <v>0</v>
      </c>
      <c r="M580" s="374"/>
      <c r="N580" s="374">
        <f ca="1">IFERROR(__xludf.DUMMYFUNCTION("IMPORTRANGE(""https://docs.google.com/spreadsheets/d/11923uPwbBZFjjGgGUA6NLw09EwE0CqkOc4q9oUmW1yo/edit?usp=sharing"",""แพร่!M475"")"),0)</f>
        <v>0</v>
      </c>
      <c r="O580" s="374">
        <f t="shared" ref="O580:O584" ca="1" si="124">+IF(L580&gt;0,N580*100/L580,0)</f>
        <v>0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IFERROR(__xludf.DUMMYFUNCTION("IMPORTRANGE(""https://docs.google.com/spreadsheets/d/11923uPwbBZFjjGgGUA6NLw09EwE0CqkOc4q9oUmW1yo/edit?usp=sharing"",""แพร่!L476"")"),0)</f>
        <v>0</v>
      </c>
      <c r="M581" s="166"/>
      <c r="N581" s="170">
        <f ca="1">IFERROR(__xludf.DUMMYFUNCTION("IMPORTRANGE(""https://docs.google.com/spreadsheets/d/11923uPwbBZFjjGgGUA6NLw09EwE0CqkOc4q9oUmW1yo/edit?usp=sharing"",""แพร่!M476"")"),0)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IFERROR(__xludf.DUMMYFUNCTION("IMPORTRANGE(""https://docs.google.com/spreadsheets/d/11923uPwbBZFjjGgGUA6NLw09EwE0CqkOc4q9oUmW1yo/edit?usp=sharing"",""แพร่!L477"")"),0)</f>
        <v>0</v>
      </c>
      <c r="M582" s="167"/>
      <c r="N582" s="170">
        <f ca="1">IFERROR(__xludf.DUMMYFUNCTION("IMPORTRANGE(""https://docs.google.com/spreadsheets/d/11923uPwbBZFjjGgGUA6NLw09EwE0CqkOc4q9oUmW1yo/edit?usp=sharing"",""แพร่!M477"")"),0)</f>
        <v>0</v>
      </c>
      <c r="O582" s="170">
        <f t="shared" ca="1" si="124"/>
        <v>0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IFERROR(__xludf.DUMMYFUNCTION("IMPORTRANGE(""https://docs.google.com/spreadsheets/d/11923uPwbBZFjjGgGUA6NLw09EwE0CqkOc4q9oUmW1yo/edit?usp=sharing"",""แพร่!L478"")"),0)</f>
        <v>0</v>
      </c>
      <c r="M583" s="170"/>
      <c r="N583" s="170">
        <f ca="1">IFERROR(__xludf.DUMMYFUNCTION("IMPORTRANGE(""https://docs.google.com/spreadsheets/d/11923uPwbBZFjjGgGUA6NLw09EwE0CqkOc4q9oUmW1yo/edit?usp=sharing"",""แพร่!M478"")"),0)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IFERROR(__xludf.DUMMYFUNCTION("IMPORTRANGE(""https://docs.google.com/spreadsheets/d/11923uPwbBZFjjGgGUA6NLw09EwE0CqkOc4q9oUmW1yo/edit?usp=sharing"",""แพร่!L479"")"),0)</f>
        <v>0</v>
      </c>
      <c r="M584" s="170"/>
      <c r="N584" s="170">
        <f ca="1">IFERROR(__xludf.DUMMYFUNCTION("IMPORTRANGE(""https://docs.google.com/spreadsheets/d/11923uPwbBZFjjGgGUA6NLw09EwE0CqkOc4q9oUmW1yo/edit?usp=sharing"",""แพร่!M479"")"),0)</f>
        <v>0</v>
      </c>
      <c r="O584" s="170">
        <f t="shared" ca="1" si="124"/>
        <v>0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IFERROR(__xludf.DUMMYFUNCTION("IMPORTRANGE(""https://docs.google.com/spreadsheets/d/11923uPwbBZFjjGgGUA6NLw09EwE0CqkOc4q9oUmW1yo/edit?usp=sharing"",""แพร่!M480"")"),0)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IFERROR(__xludf.DUMMYFUNCTION("IMPORTRANGE(""https://docs.google.com/spreadsheets/d/11923uPwbBZFjjGgGUA6NLw09EwE0CqkOc4q9oUmW1yo/edit?usp=sharing"",""แพร่!M481"")"),0)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IFERROR(__xludf.DUMMYFUNCTION("IMPORTRANGE(""https://docs.google.com/spreadsheets/d/11923uPwbBZFjjGgGUA6NLw09EwE0CqkOc4q9oUmW1yo/edit?usp=sharing"",""แพร่!M482"")"),0)</f>
        <v>0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IFERROR(__xludf.DUMMYFUNCTION("IMPORTRANGE(""https://docs.google.com/spreadsheets/d/11923uPwbBZFjjGgGUA6NLw09EwE0CqkOc4q9oUmW1yo/edit?usp=sharing"",""แพร่!M483"")"),0)</f>
        <v>0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IFERROR(__xludf.DUMMYFUNCTION("IMPORTRANGE(""https://docs.google.com/spreadsheets/d/11923uPwbBZFjjGgGUA6NLw09EwE0CqkOc4q9oUmW1yo/edit?usp=sharing"",""แพร่!I484"")"),0)</f>
        <v>0</v>
      </c>
      <c r="J589" s="189">
        <f ca="1">IFERROR(__xludf.DUMMYFUNCTION("IMPORTRANGE(""https://docs.google.com/spreadsheets/d/11923uPwbBZFjjGgGUA6NLw09EwE0CqkOc4q9oUmW1yo/edit?usp=sharing"",""แพร่!J484"")"),2)</f>
        <v>2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IFERROR(__xludf.DUMMYFUNCTION("IMPORTRANGE(""https://docs.google.com/spreadsheets/d/11923uPwbBZFjjGgGUA6NLw09EwE0CqkOc4q9oUmW1yo/edit?usp=sharing"",""แพร่!I485"")"),0)</f>
        <v>0</v>
      </c>
      <c r="J590" s="189">
        <f ca="1">IFERROR(__xludf.DUMMYFUNCTION("IMPORTRANGE(""https://docs.google.com/spreadsheets/d/11923uPwbBZFjjGgGUA6NLw09EwE0CqkOc4q9oUmW1yo/edit?usp=sharing"",""แพร่!J485"")"),1.65)</f>
        <v>1.65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IFERROR(__xludf.DUMMYFUNCTION("IMPORTRANGE(""https://docs.google.com/spreadsheets/d/11923uPwbBZFjjGgGUA6NLw09EwE0CqkOc4q9oUmW1yo/edit?usp=sharing"",""แพร่!I486"")"),0)</f>
        <v>0</v>
      </c>
      <c r="J591" s="189">
        <f ca="1">IFERROR(__xludf.DUMMYFUNCTION("IMPORTRANGE(""https://docs.google.com/spreadsheets/d/11923uPwbBZFjjGgGUA6NLw09EwE0CqkOc4q9oUmW1yo/edit?usp=sharing"",""แพร่!J486"")"),2)</f>
        <v>2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IFERROR(__xludf.DUMMYFUNCTION("IMPORTRANGE(""https://docs.google.com/spreadsheets/d/11923uPwbBZFjjGgGUA6NLw09EwE0CqkOc4q9oUmW1yo/edit?usp=sharing"",""แพร่!I487"")"),0)</f>
        <v>0</v>
      </c>
      <c r="J592" s="189">
        <f ca="1">IFERROR(__xludf.DUMMYFUNCTION("IMPORTRANGE(""https://docs.google.com/spreadsheets/d/11923uPwbBZFjjGgGUA6NLw09EwE0CqkOc4q9oUmW1yo/edit?usp=sharing"",""แพร่!J487"")"),1.65)</f>
        <v>1.65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IFERROR(__xludf.DUMMYFUNCTION("IMPORTRANGE(""https://docs.google.com/spreadsheets/d/11923uPwbBZFjjGgGUA6NLw09EwE0CqkOc4q9oUmW1yo/edit?usp=sharing"",""แพร่!I488"")"),0)</f>
        <v>0</v>
      </c>
      <c r="J593" s="189">
        <f ca="1">IFERROR(__xludf.DUMMYFUNCTION("IMPORTRANGE(""https://docs.google.com/spreadsheets/d/11923uPwbBZFjjGgGUA6NLw09EwE0CqkOc4q9oUmW1yo/edit?usp=sharing"",""แพร่!J488"")"),0)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IFERROR(__xludf.DUMMYFUNCTION("IMPORTRANGE(""https://docs.google.com/spreadsheets/d/11923uPwbBZFjjGgGUA6NLw09EwE0CqkOc4q9oUmW1yo/edit?usp=sharing"",""แพร่!I489"")"),0)</f>
        <v>0</v>
      </c>
      <c r="J594" s="189">
        <f ca="1">IFERROR(__xludf.DUMMYFUNCTION("IMPORTRANGE(""https://docs.google.com/spreadsheets/d/11923uPwbBZFjjGgGUA6NLw09EwE0CqkOc4q9oUmW1yo/edit?usp=sharing"",""แพร่!J489"")"),0)</f>
        <v>0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IFERROR(__xludf.DUMMYFUNCTION("IMPORTRANGE(""https://docs.google.com/spreadsheets/d/11923uPwbBZFjjGgGUA6NLw09EwE0CqkOc4q9oUmW1yo/edit?usp=sharing"",""แพร่!I490"")"),0)</f>
        <v>0</v>
      </c>
      <c r="J595" s="189">
        <f ca="1">IFERROR(__xludf.DUMMYFUNCTION("IMPORTRANGE(""https://docs.google.com/spreadsheets/d/11923uPwbBZFjjGgGUA6NLw09EwE0CqkOc4q9oUmW1yo/edit?usp=sharing"",""แพร่!J490"")"),2)</f>
        <v>2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IFERROR(__xludf.DUMMYFUNCTION("IMPORTRANGE(""https://docs.google.com/spreadsheets/d/11923uPwbBZFjjGgGUA6NLw09EwE0CqkOc4q9oUmW1yo/edit?usp=sharing"",""แพร่!I491"")"),0)</f>
        <v>0</v>
      </c>
      <c r="J596" s="242">
        <f ca="1">IFERROR(__xludf.DUMMYFUNCTION("IMPORTRANGE(""https://docs.google.com/spreadsheets/d/11923uPwbBZFjjGgGUA6NLw09EwE0CqkOc4q9oUmW1yo/edit?usp=sharing"",""แพร่!J491"")"),1.65)</f>
        <v>1.65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IFERROR(__xludf.DUMMYFUNCTION("IMPORTRANGE(""https://docs.google.com/spreadsheets/d/11923uPwbBZFjjGgGUA6NLw09EwE0CqkOc4q9oUmW1yo/edit?usp=sharing"",""แพร่!I492"")"),50)</f>
        <v>50</v>
      </c>
      <c r="J597" s="489">
        <f ca="1">IFERROR(__xludf.DUMMYFUNCTION("IMPORTRANGE(""https://docs.google.com/spreadsheets/d/11923uPwbBZFjjGgGUA6NLw09EwE0CqkOc4q9oUmW1yo/edit?usp=sharing"",""แพร่!J492"")"),0)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IFERROR(__xludf.DUMMYFUNCTION("IMPORTRANGE(""https://docs.google.com/spreadsheets/d/11923uPwbBZFjjGgGUA6NLw09EwE0CqkOc4q9oUmW1yo/edit?usp=sharing"",""แพร่!L492"")"),4550)</f>
        <v>4550</v>
      </c>
      <c r="M597" s="413"/>
      <c r="N597" s="413">
        <f ca="1">IFERROR(__xludf.DUMMYFUNCTION("IMPORTRANGE(""https://docs.google.com/spreadsheets/d/11923uPwbBZFjjGgGUA6NLw09EwE0CqkOc4q9oUmW1yo/edit?usp=sharing"",""แพร่!M492"")"),432)</f>
        <v>432</v>
      </c>
      <c r="O597" s="413">
        <f t="shared" ref="O597:O601" ca="1" si="126">+IF(L597&gt;0,N597*100/L597,0)</f>
        <v>9.4945054945054945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IFERROR(__xludf.DUMMYFUNCTION("IMPORTRANGE(""https://docs.google.com/spreadsheets/d/11923uPwbBZFjjGgGUA6NLw09EwE0CqkOc4q9oUmW1yo/edit?usp=sharing"",""แพร่!L493"")"),0)</f>
        <v>0</v>
      </c>
      <c r="M598" s="166"/>
      <c r="N598" s="170">
        <f ca="1">IFERROR(__xludf.DUMMYFUNCTION("IMPORTRANGE(""https://docs.google.com/spreadsheets/d/11923uPwbBZFjjGgGUA6NLw09EwE0CqkOc4q9oUmW1yo/edit?usp=sharing"",""แพร่!M493"")"),0)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IFERROR(__xludf.DUMMYFUNCTION("IMPORTRANGE(""https://docs.google.com/spreadsheets/d/11923uPwbBZFjjGgGUA6NLw09EwE0CqkOc4q9oUmW1yo/edit?usp=sharing"",""แพร่!L494"")"),4550)</f>
        <v>4550</v>
      </c>
      <c r="M599" s="167"/>
      <c r="N599" s="170">
        <f ca="1">IFERROR(__xludf.DUMMYFUNCTION("IMPORTRANGE(""https://docs.google.com/spreadsheets/d/11923uPwbBZFjjGgGUA6NLw09EwE0CqkOc4q9oUmW1yo/edit?usp=sharing"",""แพร่!M494"")"),432)</f>
        <v>432</v>
      </c>
      <c r="O599" s="170">
        <f t="shared" ca="1" si="126"/>
        <v>9.4945054945054945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IFERROR(__xludf.DUMMYFUNCTION("IMPORTRANGE(""https://docs.google.com/spreadsheets/d/11923uPwbBZFjjGgGUA6NLw09EwE0CqkOc4q9oUmW1yo/edit?usp=sharing"",""แพร่!L495"")"),0)</f>
        <v>0</v>
      </c>
      <c r="M600" s="170"/>
      <c r="N600" s="170">
        <f ca="1">IFERROR(__xludf.DUMMYFUNCTION("IMPORTRANGE(""https://docs.google.com/spreadsheets/d/11923uPwbBZFjjGgGUA6NLw09EwE0CqkOc4q9oUmW1yo/edit?usp=sharing"",""แพร่!M495"")"),0)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IFERROR(__xludf.DUMMYFUNCTION("IMPORTRANGE(""https://docs.google.com/spreadsheets/d/11923uPwbBZFjjGgGUA6NLw09EwE0CqkOc4q9oUmW1yo/edit?usp=sharing"",""แพร่!L496"")"),4550)</f>
        <v>4550</v>
      </c>
      <c r="M601" s="170"/>
      <c r="N601" s="170">
        <f ca="1">IFERROR(__xludf.DUMMYFUNCTION("IMPORTRANGE(""https://docs.google.com/spreadsheets/d/11923uPwbBZFjjGgGUA6NLw09EwE0CqkOc4q9oUmW1yo/edit?usp=sharing"",""แพร่!M496"")"),432)</f>
        <v>432</v>
      </c>
      <c r="O601" s="170">
        <f t="shared" ca="1" si="126"/>
        <v>9.4945054945054945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IFERROR(__xludf.DUMMYFUNCTION("IMPORTRANGE(""https://docs.google.com/spreadsheets/d/11923uPwbBZFjjGgGUA6NLw09EwE0CqkOc4q9oUmW1yo/edit?usp=sharing"",""แพร่!M497"")"),0)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IFERROR(__xludf.DUMMYFUNCTION("IMPORTRANGE(""https://docs.google.com/spreadsheets/d/11923uPwbBZFjjGgGUA6NLw09EwE0CqkOc4q9oUmW1yo/edit?usp=sharing"",""แพร่!M498"")"),0)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IFERROR(__xludf.DUMMYFUNCTION("IMPORTRANGE(""https://docs.google.com/spreadsheets/d/11923uPwbBZFjjGgGUA6NLw09EwE0CqkOc4q9oUmW1yo/edit?usp=sharing"",""แพร่!M499"")"),0)</f>
        <v>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IFERROR(__xludf.DUMMYFUNCTION("IMPORTRANGE(""https://docs.google.com/spreadsheets/d/11923uPwbBZFjjGgGUA6NLw09EwE0CqkOc4q9oUmW1yo/edit?usp=sharing"",""แพร่!M500"")"),432)</f>
        <v>432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IFERROR(__xludf.DUMMYFUNCTION("IMPORTRANGE(""https://docs.google.com/spreadsheets/d/11923uPwbBZFjjGgGUA6NLw09EwE0CqkOc4q9oUmW1yo/edit?usp=sharing"",""แพร่!J502"")"),0)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IFERROR(__xludf.DUMMYFUNCTION("IMPORTRANGE(""https://docs.google.com/spreadsheets/d/11923uPwbBZFjjGgGUA6NLw09EwE0CqkOc4q9oUmW1yo/edit?usp=sharing"",""แพร่!J503"")"),1)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IFERROR(__xludf.DUMMYFUNCTION("IMPORTRANGE(""https://docs.google.com/spreadsheets/d/11923uPwbBZFjjGgGUA6NLw09EwE0CqkOc4q9oUmW1yo/edit?usp=sharing"",""แพร่!J166"")"),0)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IFERROR(__xludf.DUMMYFUNCTION("IMPORTRANGE(""https://docs.google.com/spreadsheets/d/11923uPwbBZFjjGgGUA6NLw09EwE0CqkOc4q9oUmW1yo/edit?usp=sharing"",""แพร่!J166"")"),0)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IFERROR(__xludf.DUMMYFUNCTION("IMPORTRANGE(""https://docs.google.com/spreadsheets/d/11923uPwbBZFjjGgGUA6NLw09EwE0CqkOc4q9oUmW1yo/edit?usp=sharing"",""แพร่!I506"")"),50)</f>
        <v>50</v>
      </c>
      <c r="J611" s="164">
        <f ca="1">IFERROR(__xludf.DUMMYFUNCTION("IMPORTRANGE(""https://docs.google.com/spreadsheets/d/11923uPwbBZFjjGgGUA6NLw09EwE0CqkOc4q9oUmW1yo/edit?usp=sharing"",""แพร่!J506"")"),0)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IFERROR(__xludf.DUMMYFUNCTION("IMPORTRANGE(""https://docs.google.com/spreadsheets/d/11923uPwbBZFjjGgGUA6NLw09EwE0CqkOc4q9oUmW1yo/edit?usp=sharing"",""แพร่!I507"")"),0)</f>
        <v>0</v>
      </c>
      <c r="J612" s="199">
        <f ca="1">IFERROR(__xludf.DUMMYFUNCTION("IMPORTRANGE(""https://docs.google.com/spreadsheets/d/11923uPwbBZFjjGgGUA6NLw09EwE0CqkOc4q9oUmW1yo/edit?usp=sharing"",""แพร่!J507"")"),0)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IFERROR(__xludf.DUMMYFUNCTION("IMPORTRANGE(""https://docs.google.com/spreadsheets/d/11923uPwbBZFjjGgGUA6NLw09EwE0CqkOc4q9oUmW1yo/edit?usp=sharing"",""แพร่!I508"")"),0)</f>
        <v>0</v>
      </c>
      <c r="J613" s="199">
        <f ca="1">IFERROR(__xludf.DUMMYFUNCTION("IMPORTRANGE(""https://docs.google.com/spreadsheets/d/11923uPwbBZFjjGgGUA6NLw09EwE0CqkOc4q9oUmW1yo/edit?usp=sharing"",""แพร่!J508"")"),0)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IFERROR(__xludf.DUMMYFUNCTION("IMPORTRANGE(""https://docs.google.com/spreadsheets/d/11923uPwbBZFjjGgGUA6NLw09EwE0CqkOc4q9oUmW1yo/edit?usp=sharing"",""แพร่!I509"")"),0)</f>
        <v>0</v>
      </c>
      <c r="J614" s="199">
        <f ca="1">IFERROR(__xludf.DUMMYFUNCTION("IMPORTRANGE(""https://docs.google.com/spreadsheets/d/11923uPwbBZFjjGgGUA6NLw09EwE0CqkOc4q9oUmW1yo/edit?usp=sharing"",""แพร่!J509"")"),0)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IFERROR(__xludf.DUMMYFUNCTION("IMPORTRANGE(""https://docs.google.com/spreadsheets/d/11923uPwbBZFjjGgGUA6NLw09EwE0CqkOc4q9oUmW1yo/edit?usp=sharing"",""แพร่!I510"")"),0)</f>
        <v>0</v>
      </c>
      <c r="J615" s="199">
        <f ca="1">IFERROR(__xludf.DUMMYFUNCTION("IMPORTRANGE(""https://docs.google.com/spreadsheets/d/11923uPwbBZFjjGgGUA6NLw09EwE0CqkOc4q9oUmW1yo/edit?usp=sharing"",""แพร่!J510"")"),0)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IFERROR(__xludf.DUMMYFUNCTION("IMPORTRANGE(""https://docs.google.com/spreadsheets/d/11923uPwbBZFjjGgGUA6NLw09EwE0CqkOc4q9oUmW1yo/edit?usp=sharing"",""แพร่!I511"")"),0)</f>
        <v>0</v>
      </c>
      <c r="J616" s="199">
        <f ca="1">IFERROR(__xludf.DUMMYFUNCTION("IMPORTRANGE(""https://docs.google.com/spreadsheets/d/11923uPwbBZFjjGgGUA6NLw09EwE0CqkOc4q9oUmW1yo/edit?usp=sharing"",""แพร่!J511"")"),0)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IFERROR(__xludf.DUMMYFUNCTION("IMPORTRANGE(""https://docs.google.com/spreadsheets/d/11923uPwbBZFjjGgGUA6NLw09EwE0CqkOc4q9oUmW1yo/edit?usp=sharing"",""แพร่!I512"")"),0)</f>
        <v>0</v>
      </c>
      <c r="J617" s="189">
        <f ca="1">IFERROR(__xludf.DUMMYFUNCTION("IMPORTRANGE(""https://docs.google.com/spreadsheets/d/11923uPwbBZFjjGgGUA6NLw09EwE0CqkOc4q9oUmW1yo/edit?usp=sharing"",""แพร่!J512"")"),0)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IFERROR(__xludf.DUMMYFUNCTION("IMPORTRANGE(""https://docs.google.com/spreadsheets/d/11923uPwbBZFjjGgGUA6NLw09EwE0CqkOc4q9oUmW1yo/edit?usp=sharing"",""แพร่!I513"")"),0)</f>
        <v>0</v>
      </c>
      <c r="J618" s="190">
        <f ca="1">IFERROR(__xludf.DUMMYFUNCTION("IMPORTRANGE(""https://docs.google.com/spreadsheets/d/11923uPwbBZFjjGgGUA6NLw09EwE0CqkOc4q9oUmW1yo/edit?usp=sharing"",""แพร่!J513"")"),0)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IFERROR(__xludf.DUMMYFUNCTION("IMPORTRANGE(""https://docs.google.com/spreadsheets/d/11923uPwbBZFjjGgGUA6NLw09EwE0CqkOc4q9oUmW1yo/edit?usp=sharing"",""แพร่!I514"")"),0)</f>
        <v>0</v>
      </c>
      <c r="J619" s="190">
        <f ca="1">IFERROR(__xludf.DUMMYFUNCTION("IMPORTRANGE(""https://docs.google.com/spreadsheets/d/11923uPwbBZFjjGgGUA6NLw09EwE0CqkOc4q9oUmW1yo/edit?usp=sharing"",""แพร่!J514"")"),0)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IFERROR(__xludf.DUMMYFUNCTION("IMPORTRANGE(""https://docs.google.com/spreadsheets/d/11923uPwbBZFjjGgGUA6NLw09EwE0CqkOc4q9oUmW1yo/edit?usp=sharing"",""แพร่!I515"")"),0)</f>
        <v>0</v>
      </c>
      <c r="J620" s="204">
        <f ca="1">IFERROR(__xludf.DUMMYFUNCTION("IMPORTRANGE(""https://docs.google.com/spreadsheets/d/11923uPwbBZFjjGgGUA6NLw09EwE0CqkOc4q9oUmW1yo/edit?usp=sharing"",""แพร่!J515"")"),0)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IFERROR(__xludf.DUMMYFUNCTION("IMPORTRANGE(""https://docs.google.com/spreadsheets/d/11923uPwbBZFjjGgGUA6NLw09EwE0CqkOc4q9oUmW1yo/edit?usp=sharing"",""แพร่!I516"")"),0)</f>
        <v>0</v>
      </c>
      <c r="J621" s="204">
        <f ca="1">IFERROR(__xludf.DUMMYFUNCTION("IMPORTRANGE(""https://docs.google.com/spreadsheets/d/11923uPwbBZFjjGgGUA6NLw09EwE0CqkOc4q9oUmW1yo/edit?usp=sharing"",""แพร่!J516"")"),0)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IFERROR(__xludf.DUMMYFUNCTION("IMPORTRANGE(""https://docs.google.com/spreadsheets/d/11923uPwbBZFjjGgGUA6NLw09EwE0CqkOc4q9oUmW1yo/edit?usp=sharing"",""แพร่!I517"")"),0)</f>
        <v>0</v>
      </c>
      <c r="J622" s="190">
        <f ca="1">IFERROR(__xludf.DUMMYFUNCTION("IMPORTRANGE(""https://docs.google.com/spreadsheets/d/11923uPwbBZFjjGgGUA6NLw09EwE0CqkOc4q9oUmW1yo/edit?usp=sharing"",""แพร่!J517"")"),0)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IFERROR(__xludf.DUMMYFUNCTION("IMPORTRANGE(""https://docs.google.com/spreadsheets/d/11923uPwbBZFjjGgGUA6NLw09EwE0CqkOc4q9oUmW1yo/edit?usp=sharing"",""แพร่!I518"")"),0)</f>
        <v>0</v>
      </c>
      <c r="J623" s="190">
        <f ca="1">IFERROR(__xludf.DUMMYFUNCTION("IMPORTRANGE(""https://docs.google.com/spreadsheets/d/11923uPwbBZFjjGgGUA6NLw09EwE0CqkOc4q9oUmW1yo/edit?usp=sharing"",""แพร่!J518"")"),0)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IFERROR(__xludf.DUMMYFUNCTION("IMPORTRANGE(""https://docs.google.com/spreadsheets/d/11923uPwbBZFjjGgGUA6NLw09EwE0CqkOc4q9oUmW1yo/edit?usp=sharing"",""แพร่!I519"")"),0)</f>
        <v>0</v>
      </c>
      <c r="J624" s="189">
        <f ca="1">IFERROR(__xludf.DUMMYFUNCTION("IMPORTRANGE(""https://docs.google.com/spreadsheets/d/11923uPwbBZFjjGgGUA6NLw09EwE0CqkOc4q9oUmW1yo/edit?usp=sharing"",""แพร่!J519"")"),0)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IFERROR(__xludf.DUMMYFUNCTION("IMPORTRANGE(""https://docs.google.com/spreadsheets/d/11923uPwbBZFjjGgGUA6NLw09EwE0CqkOc4q9oUmW1yo/edit?usp=sharing"",""แพร่!I520"")"),0)</f>
        <v>0</v>
      </c>
      <c r="J625" s="190">
        <f ca="1">IFERROR(__xludf.DUMMYFUNCTION("IMPORTRANGE(""https://docs.google.com/spreadsheets/d/11923uPwbBZFjjGgGUA6NLw09EwE0CqkOc4q9oUmW1yo/edit?usp=sharing"",""แพร่!J520"")"),0)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IFERROR(__xludf.DUMMYFUNCTION("IMPORTRANGE(""https://docs.google.com/spreadsheets/d/11923uPwbBZFjjGgGUA6NLw09EwE0CqkOc4q9oUmW1yo/edit?usp=sharing"",""แพร่!I521"")"),0)</f>
        <v>0</v>
      </c>
      <c r="J626" s="190">
        <f ca="1">IFERROR(__xludf.DUMMYFUNCTION("IMPORTRANGE(""https://docs.google.com/spreadsheets/d/11923uPwbBZFjjGgGUA6NLw09EwE0CqkOc4q9oUmW1yo/edit?usp=sharing"",""แพร่!J521"")"),0)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IFERROR(__xludf.DUMMYFUNCTION("IMPORTRANGE(""https://docs.google.com/spreadsheets/d/11923uPwbBZFjjGgGUA6NLw09EwE0CqkOc4q9oUmW1yo/edit?usp=sharing"",""แพร่!I523"")"),3480000)</f>
        <v>3480000</v>
      </c>
      <c r="J628" s="342">
        <f ca="1">IFERROR(__xludf.DUMMYFUNCTION("IMPORTRANGE(""https://docs.google.com/spreadsheets/d/11923uPwbBZFjjGgGUA6NLw09EwE0CqkOc4q9oUmW1yo/edit?usp=sharing"",""แพร่!J523"")"),1950000)</f>
        <v>1950000</v>
      </c>
      <c r="K628" s="343">
        <f t="shared" ref="K628:K635" ca="1" si="129">IF(I628&gt;0,J628*100/I628,0)</f>
        <v>56.03448275862069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IFERROR(__xludf.DUMMYFUNCTION("IMPORTRANGE(""https://docs.google.com/spreadsheets/d/11923uPwbBZFjjGgGUA6NLw09EwE0CqkOc4q9oUmW1yo/edit?usp=sharing"",""แพร่!I524"")"),160)</f>
        <v>160</v>
      </c>
      <c r="J629" s="342">
        <f ca="1">IFERROR(__xludf.DUMMYFUNCTION("IMPORTRANGE(""https://docs.google.com/spreadsheets/d/11923uPwbBZFjjGgGUA6NLw09EwE0CqkOc4q9oUmW1yo/edit?usp=sharing"",""แพร่!J524"")"),89)</f>
        <v>89</v>
      </c>
      <c r="K629" s="343">
        <f t="shared" ca="1" si="129"/>
        <v>55.625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IFERROR(__xludf.DUMMYFUNCTION("IMPORTRANGE(""https://docs.google.com/spreadsheets/d/11923uPwbBZFjjGgGUA6NLw09EwE0CqkOc4q9oUmW1yo/edit?usp=sharing"",""แพร่!I525"")"),664125.88)</f>
        <v>664125.88</v>
      </c>
      <c r="J630" s="342">
        <f ca="1">IFERROR(__xludf.DUMMYFUNCTION("IMPORTRANGE(""https://docs.google.com/spreadsheets/d/11923uPwbBZFjjGgGUA6NLw09EwE0CqkOc4q9oUmW1yo/edit?usp=sharing"",""แพร่!J525"")"),77210.62)</f>
        <v>77210.62</v>
      </c>
      <c r="K630" s="343">
        <f t="shared" ca="1" si="129"/>
        <v>11.625901402908738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IFERROR(__xludf.DUMMYFUNCTION("IMPORTRANGE(""https://docs.google.com/spreadsheets/d/11923uPwbBZFjjGgGUA6NLw09EwE0CqkOc4q9oUmW1yo/edit?usp=sharing"",""แพร่!I526"")"),54)</f>
        <v>54</v>
      </c>
      <c r="J631" s="342">
        <f ca="1">IFERROR(__xludf.DUMMYFUNCTION("IMPORTRANGE(""https://docs.google.com/spreadsheets/d/11923uPwbBZFjjGgGUA6NLw09EwE0CqkOc4q9oUmW1yo/edit?usp=sharing"",""แพร่!J526"")"),48)</f>
        <v>48</v>
      </c>
      <c r="K631" s="343">
        <f t="shared" ca="1" si="129"/>
        <v>88.888888888888886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IFERROR(__xludf.DUMMYFUNCTION("IMPORTRANGE(""https://docs.google.com/spreadsheets/d/11923uPwbBZFjjGgGUA6NLw09EwE0CqkOc4q9oUmW1yo/edit?usp=sharing"",""แพร่!I527"")"),0)</f>
        <v>0</v>
      </c>
      <c r="J632" s="342">
        <f ca="1">IFERROR(__xludf.DUMMYFUNCTION("IMPORTRANGE(""https://docs.google.com/spreadsheets/d/11923uPwbBZFjjGgGUA6NLw09EwE0CqkOc4q9oUmW1yo/edit?usp=sharing"",""แพร่!J527"")"),0)</f>
        <v>0</v>
      </c>
      <c r="K632" s="343">
        <f t="shared" ca="1" si="129"/>
        <v>0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IFERROR(__xludf.DUMMYFUNCTION("IMPORTRANGE(""https://docs.google.com/spreadsheets/d/11923uPwbBZFjjGgGUA6NLw09EwE0CqkOc4q9oUmW1yo/edit?usp=sharing"",""แพร่!I528"")"),0)</f>
        <v>0</v>
      </c>
      <c r="J633" s="342">
        <f ca="1">IFERROR(__xludf.DUMMYFUNCTION("IMPORTRANGE(""https://docs.google.com/spreadsheets/d/11923uPwbBZFjjGgGUA6NLw09EwE0CqkOc4q9oUmW1yo/edit?usp=sharing"",""แพร่!J528"")"),0)</f>
        <v>0</v>
      </c>
      <c r="K633" s="343">
        <f t="shared" ca="1" si="129"/>
        <v>0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IFERROR(__xludf.DUMMYFUNCTION("IMPORTRANGE(""https://docs.google.com/spreadsheets/d/11923uPwbBZFjjGgGUA6NLw09EwE0CqkOc4q9oUmW1yo/edit?usp=sharing"",""แพร่!I529"")"),3500000)</f>
        <v>3500000</v>
      </c>
      <c r="J634" s="342">
        <f ca="1">IFERROR(__xludf.DUMMYFUNCTION("IMPORTRANGE(""https://docs.google.com/spreadsheets/d/11923uPwbBZFjjGgGUA6NLw09EwE0CqkOc4q9oUmW1yo/edit?usp=sharing"",""แพร่!J529"")"),1185000)</f>
        <v>1185000</v>
      </c>
      <c r="K634" s="343">
        <f t="shared" ca="1" si="129"/>
        <v>33.857142857142854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IFERROR(__xludf.DUMMYFUNCTION("IMPORTRANGE(""https://docs.google.com/spreadsheets/d/11923uPwbBZFjjGgGUA6NLw09EwE0CqkOc4q9oUmW1yo/edit?usp=sharing"",""แพร่!I530"")"),140)</f>
        <v>140</v>
      </c>
      <c r="J635" s="506">
        <f ca="1">IFERROR(__xludf.DUMMYFUNCTION("IMPORTRANGE(""https://docs.google.com/spreadsheets/d/11923uPwbBZFjjGgGUA6NLw09EwE0CqkOc4q9oUmW1yo/edit?usp=sharing"",""แพร่!J530"")"),55)</f>
        <v>55</v>
      </c>
      <c r="K635" s="488">
        <f t="shared" ca="1" si="129"/>
        <v>39.285714285714285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120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120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120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IFERROR(__xludf.DUMMYFUNCTION("IMPORTRANGE(""https://docs.google.com/spreadsheets/d/11923uPwbBZFjjGgGUA6NLw09EwE0CqkOc4q9oUmW1yo/edit?usp=sharing"",""แพร่!J541"")"),0)</f>
        <v>0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IFERROR(__xludf.DUMMYFUNCTION("IMPORTRANGE(""https://docs.google.com/spreadsheets/d/11923uPwbBZFjjGgGUA6NLw09EwE0CqkOc4q9oUmW1yo/edit?usp=sharing"",""แพร่!J542"")"),0)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IFERROR(__xludf.DUMMYFUNCTION("IMPORTRANGE(""https://docs.google.com/spreadsheets/d/11923uPwbBZFjjGgGUA6NLw09EwE0CqkOc4q9oUmW1yo/edit?usp=sharing"",""แพร่!I543"")"),0)</f>
        <v>0</v>
      </c>
      <c r="J648" s="537">
        <f ca="1">IFERROR(__xludf.DUMMYFUNCTION("IMPORTRANGE(""https://docs.google.com/spreadsheets/d/11923uPwbBZFjjGgGUA6NLw09EwE0CqkOc4q9oUmW1yo/edit?usp=sharing"",""แพร่!J543"")"),0)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IFERROR(__xludf.DUMMYFUNCTION("IMPORTRANGE(""https://docs.google.com/spreadsheets/d/11923uPwbBZFjjGgGUA6NLw09EwE0CqkOc4q9oUmW1yo/edit?usp=sharing"",""แพร่!L543"")"),0)</f>
        <v>0</v>
      </c>
      <c r="M648" s="522"/>
      <c r="N648" s="539">
        <f ca="1">IFERROR(__xludf.DUMMYFUNCTION("IMPORTRANGE(""https://docs.google.com/spreadsheets/d/11923uPwbBZFjjGgGUA6NLw09EwE0CqkOc4q9oUmW1yo/edit?usp=sharing"",""แพร่!M543"")"),0)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IFERROR(__xludf.DUMMYFUNCTION("IMPORTRANGE(""https://docs.google.com/spreadsheets/d/11923uPwbBZFjjGgGUA6NLw09EwE0CqkOc4q9oUmW1yo/edit?usp=sharing"",""แพร่!I544"")"),0)</f>
        <v>0</v>
      </c>
      <c r="J649" s="537">
        <f ca="1">IFERROR(__xludf.DUMMYFUNCTION("IMPORTRANGE(""https://docs.google.com/spreadsheets/d/11923uPwbBZFjjGgGUA6NLw09EwE0CqkOc4q9oUmW1yo/edit?usp=sharing"",""แพร่!J544"")"),0)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IFERROR(__xludf.DUMMYFUNCTION("IMPORTRANGE(""https://docs.google.com/spreadsheets/d/11923uPwbBZFjjGgGUA6NLw09EwE0CqkOc4q9oUmW1yo/edit?usp=sharing"",""แพร่!L544"")"),0)</f>
        <v>0</v>
      </c>
      <c r="M649" s="522"/>
      <c r="N649" s="539">
        <f ca="1">IFERROR(__xludf.DUMMYFUNCTION("IMPORTRANGE(""https://docs.google.com/spreadsheets/d/11923uPwbBZFjjGgGUA6NLw09EwE0CqkOc4q9oUmW1yo/edit?usp=sharing"",""แพร่!M544"")"),0)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IFERROR(__xludf.DUMMYFUNCTION("IMPORTRANGE(""https://docs.google.com/spreadsheets/d/11923uPwbBZFjjGgGUA6NLw09EwE0CqkOc4q9oUmW1yo/edit?usp=sharing"",""แพร่!I545"")"),0)</f>
        <v>0</v>
      </c>
      <c r="J650" s="537">
        <f ca="1">IFERROR(__xludf.DUMMYFUNCTION("IMPORTRANGE(""https://docs.google.com/spreadsheets/d/11923uPwbBZFjjGgGUA6NLw09EwE0CqkOc4q9oUmW1yo/edit?usp=sharing"",""แพร่!J545"")"),0)</f>
        <v>0</v>
      </c>
      <c r="K650" s="538">
        <f t="shared" ca="1" si="131"/>
        <v>0</v>
      </c>
      <c r="L650" s="523">
        <f ca="1">IFERROR(__xludf.DUMMYFUNCTION("IMPORTRANGE(""https://docs.google.com/spreadsheets/d/11923uPwbBZFjjGgGUA6NLw09EwE0CqkOc4q9oUmW1yo/edit?usp=sharing"",""แพร่!L545"")"),0)</f>
        <v>0</v>
      </c>
      <c r="M650" s="522"/>
      <c r="N650" s="539">
        <f ca="1">IFERROR(__xludf.DUMMYFUNCTION("IMPORTRANGE(""https://docs.google.com/spreadsheets/d/11923uPwbBZFjjGgGUA6NLw09EwE0CqkOc4q9oUmW1yo/edit?usp=sharing"",""แพร่!M545"")"),0)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IFERROR(__xludf.DUMMYFUNCTION("IMPORTRANGE(""https://docs.google.com/spreadsheets/d/11923uPwbBZFjjGgGUA6NLw09EwE0CqkOc4q9oUmW1yo/edit?usp=sharing"",""แพร่!I546"")"),0)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IFERROR(__xludf.DUMMYFUNCTION("IMPORTRANGE(""https://docs.google.com/spreadsheets/d/11923uPwbBZFjjGgGUA6NLw09EwE0CqkOc4q9oUmW1yo/edit?usp=sharing"",""แพร่!L546"")"),0)</f>
        <v>0</v>
      </c>
      <c r="M651" s="522"/>
      <c r="N651" s="539">
        <f ca="1">IFERROR(__xludf.DUMMYFUNCTION("IMPORTRANGE(""https://docs.google.com/spreadsheets/d/11923uPwbBZFjjGgGUA6NLw09EwE0CqkOc4q9oUmW1yo/edit?usp=sharing"",""แพร่!M546"")"),0)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IFERROR(__xludf.DUMMYFUNCTION("IMPORTRANGE(""https://docs.google.com/spreadsheets/d/11923uPwbBZFjjGgGUA6NLw09EwE0CqkOc4q9oUmW1yo/edit?usp=sharing"",""แพร่!J547"")"),0)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IFERROR(__xludf.DUMMYFUNCTION("IMPORTRANGE(""https://docs.google.com/spreadsheets/d/11923uPwbBZFjjGgGUA6NLw09EwE0CqkOc4q9oUmW1yo/edit?usp=sharing"",""แพร่!J548"")"),0)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IFERROR(__xludf.DUMMYFUNCTION("IMPORTRANGE(""https://docs.google.com/spreadsheets/d/11923uPwbBZFjjGgGUA6NLw09EwE0CqkOc4q9oUmW1yo/edit?usp=sharing"",""แพร่!J550"")"),0)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IFERROR(__xludf.DUMMYFUNCTION("IMPORTRANGE(""https://docs.google.com/spreadsheets/d/11923uPwbBZFjjGgGUA6NLw09EwE0CqkOc4q9oUmW1yo/edit?usp=sharing"",""แพร่!J551"")"),0)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IFERROR(__xludf.DUMMYFUNCTION("IMPORTRANGE(""https://docs.google.com/spreadsheets/d/11923uPwbBZFjjGgGUA6NLw09EwE0CqkOc4q9oUmW1yo/edit?usp=sharing"",""แพร่!J552"")"),0)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IFERROR(__xludf.DUMMYFUNCTION("IMPORTRANGE(""https://docs.google.com/spreadsheets/d/11923uPwbBZFjjGgGUA6NLw09EwE0CqkOc4q9oUmW1yo/edit?usp=sharing"",""แพร่!J553"")"),0)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IFERROR(__xludf.DUMMYFUNCTION("IMPORTRANGE(""https://docs.google.com/spreadsheets/d/11923uPwbBZFjjGgGUA6NLw09EwE0CqkOc4q9oUmW1yo/edit?usp=sharing"",""แพร่!J554"")"),0)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IFERROR(__xludf.DUMMYFUNCTION("IMPORTRANGE(""https://docs.google.com/spreadsheets/d/11923uPwbBZFjjGgGUA6NLw09EwE0CqkOc4q9oUmW1yo/edit?usp=sharing"",""แพร่!J555"")"),0)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IFERROR(__xludf.DUMMYFUNCTION("IMPORTRANGE(""https://docs.google.com/spreadsheets/d/11923uPwbBZFjjGgGUA6NLw09EwE0CqkOc4q9oUmW1yo/edit?usp=sharing"",""แพร่!J556"")"),0)</f>
        <v>0</v>
      </c>
      <c r="K661" s="538"/>
      <c r="L661" s="523">
        <f ca="1">IFERROR(__xludf.DUMMYFUNCTION("IMPORTRANGE(""https://docs.google.com/spreadsheets/d/11923uPwbBZFjjGgGUA6NLw09EwE0CqkOc4q9oUmW1yo/edit?usp=sharing"",""แพร่!L556"")"),0)</f>
        <v>0</v>
      </c>
      <c r="M661" s="522"/>
      <c r="N661" s="539">
        <f ca="1">IFERROR(__xludf.DUMMYFUNCTION("IMPORTRANGE(""https://docs.google.com/spreadsheets/d/11923uPwbBZFjjGgGUA6NLw09EwE0CqkOc4q9oUmW1yo/edit?usp=sharing"",""แพร่!M556"")"),0)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IFERROR(__xludf.DUMMYFUNCTION("IMPORTRANGE(""https://docs.google.com/spreadsheets/d/11923uPwbBZFjjGgGUA6NLw09EwE0CqkOc4q9oUmW1yo/edit?usp=sharing"",""แพร่!J557"")"),0)</f>
        <v>0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IFERROR(__xludf.DUMMYFUNCTION("IMPORTRANGE(""https://docs.google.com/spreadsheets/d/11923uPwbBZFjjGgGUA6NLw09EwE0CqkOc4q9oUmW1yo/edit?usp=sharing"",""แพร่!I558"")"),0)</f>
        <v>0</v>
      </c>
      <c r="J663" s="537">
        <f ca="1">IFERROR(__xludf.DUMMYFUNCTION("IMPORTRANGE(""https://docs.google.com/spreadsheets/d/11923uPwbBZFjjGgGUA6NLw09EwE0CqkOc4q9oUmW1yo/edit?usp=sharing"",""แพร่!J558"")"),0)</f>
        <v>0</v>
      </c>
      <c r="K663" s="538">
        <f ca="1">IF(I663&gt;0,J663*100/I663,0)</f>
        <v>0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IFERROR(__xludf.DUMMYFUNCTION("IMPORTRANGE(""https://docs.google.com/spreadsheets/d/11923uPwbBZFjjGgGUA6NLw09EwE0CqkOc4q9oUmW1yo/edit?usp=sharing"",""แพร่!I560"")"),1)</f>
        <v>1</v>
      </c>
      <c r="J665" s="537">
        <f ca="1">IFERROR(__xludf.DUMMYFUNCTION("IMPORTRANGE(""https://docs.google.com/spreadsheets/d/11923uPwbBZFjjGgGUA6NLw09EwE0CqkOc4q9oUmW1yo/edit?usp=sharing"",""แพร่!J560"")"),0)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IFERROR(__xludf.DUMMYFUNCTION("IMPORTRANGE(""https://docs.google.com/spreadsheets/d/11923uPwbBZFjjGgGUA6NLw09EwE0CqkOc4q9oUmW1yo/edit?usp=sharing"",""แพร่!L560"")"),120)</f>
        <v>120</v>
      </c>
      <c r="M665" s="522"/>
      <c r="N665" s="539">
        <f ca="1">IFERROR(__xludf.DUMMYFUNCTION("IMPORTRANGE(""https://docs.google.com/spreadsheets/d/11923uPwbBZFjjGgGUA6NLw09EwE0CqkOc4q9oUmW1yo/edit?usp=sharing"",""แพร่!M560"")"),0)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IFERROR(__xludf.DUMMYFUNCTION("IMPORTRANGE(""https://docs.google.com/spreadsheets/d/11923uPwbBZFjjGgGUA6NLw09EwE0CqkOc4q9oUmW1yo/edit?usp=sharing"",""แพร่!J561"")"),0)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IFERROR(__xludf.DUMMYFUNCTION("IMPORTRANGE(""https://docs.google.com/spreadsheets/d/11923uPwbBZFjjGgGUA6NLw09EwE0CqkOc4q9oUmW1yo/edit?usp=sharing"",""แพร่!J562"")"),0)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IFERROR(__xludf.DUMMYFUNCTION("IMPORTRANGE(""https://docs.google.com/spreadsheets/d/11923uPwbBZFjjGgGUA6NLw09EwE0CqkOc4q9oUmW1yo/edit?usp=sharing"",""แพร่!I563"")"),0)</f>
        <v>0</v>
      </c>
      <c r="J668" s="537">
        <f ca="1">IFERROR(__xludf.DUMMYFUNCTION("IMPORTRANGE(""https://docs.google.com/spreadsheets/d/11923uPwbBZFjjGgGUA6NLw09EwE0CqkOc4q9oUmW1yo/edit?usp=sharing"",""แพร่!J563"")"),0)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IFERROR(__xludf.DUMMYFUNCTION("IMPORTRANGE(""https://docs.google.com/spreadsheets/d/11923uPwbBZFjjGgGUA6NLw09EwE0CqkOc4q9oUmW1yo/edit?usp=sharing"",""แพร่!L563"")"),0)</f>
        <v>0</v>
      </c>
      <c r="M668" s="522"/>
      <c r="N668" s="539">
        <f ca="1">IFERROR(__xludf.DUMMYFUNCTION("IMPORTRANGE(""https://docs.google.com/spreadsheets/d/11923uPwbBZFjjGgGUA6NLw09EwE0CqkOc4q9oUmW1yo/edit?usp=sharing"",""แพร่!M563"")"),0)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IFERROR(__xludf.DUMMYFUNCTION("IMPORTRANGE(""https://docs.google.com/spreadsheets/d/11923uPwbBZFjjGgGUA6NLw09EwE0CqkOc4q9oUmW1yo/edit?usp=sharing"",""แพร่!J564"")"),0)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IFERROR(__xludf.DUMMYFUNCTION("IMPORTRANGE(""https://docs.google.com/spreadsheets/d/11923uPwbBZFjjGgGUA6NLw09EwE0CqkOc4q9oUmW1yo/edit?usp=sharing"",""แพร่!J565"")"),0)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IFERROR(__xludf.DUMMYFUNCTION("IMPORTRANGE(""https://docs.google.com/spreadsheets/d/11923uPwbBZFjjGgGUA6NLw09EwE0CqkOc4q9oUmW1yo/edit?usp=sharing"",""แพร่!I566"")"),0)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IFERROR(__xludf.DUMMYFUNCTION("IMPORTRANGE(""https://docs.google.com/spreadsheets/d/11923uPwbBZFjjGgGUA6NLw09EwE0CqkOc4q9oUmW1yo/edit?usp=sharing"",""แพร่!L566"")"),0)</f>
        <v>0</v>
      </c>
      <c r="M671" s="522"/>
      <c r="N671" s="539">
        <f ca="1">IFERROR(__xludf.DUMMYFUNCTION("IMPORTRANGE(""https://docs.google.com/spreadsheets/d/11923uPwbBZFjjGgGUA6NLw09EwE0CqkOc4q9oUmW1yo/edit?usp=sharing"",""แพร่!M566"")"),0)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IFERROR(__xludf.DUMMYFUNCTION("IMPORTRANGE(""https://docs.google.com/spreadsheets/d/11923uPwbBZFjjGgGUA6NLw09EwE0CqkOc4q9oUmW1yo/edit?usp=sharing"",""แพร่!J567"")"),0)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IFERROR(__xludf.DUMMYFUNCTION("IMPORTRANGE(""https://docs.google.com/spreadsheets/d/11923uPwbBZFjjGgGUA6NLw09EwE0CqkOc4q9oUmW1yo/edit?usp=sharing"",""แพร่!J568"")"),0)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IFERROR(__xludf.DUMMYFUNCTION("IMPORTRANGE(""https://docs.google.com/spreadsheets/d/11923uPwbBZFjjGgGUA6NLw09EwE0CqkOc4q9oUmW1yo/edit?usp=sharing"",""แพร่!J569"")"),0)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IFERROR(__xludf.DUMMYFUNCTION("IMPORTRANGE(""https://docs.google.com/spreadsheets/d/11923uPwbBZFjjGgGUA6NLw09EwE0CqkOc4q9oUmW1yo/edit?usp=sharing"",""แพร่!J570"")"),0)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IFERROR(__xludf.DUMMYFUNCTION("IMPORTRANGE(""https://docs.google.com/spreadsheets/d/11923uPwbBZFjjGgGUA6NLw09EwE0CqkOc4q9oUmW1yo/edit?usp=sharing"",""แพร่!J571"")"),0)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IFERROR(__xludf.DUMMYFUNCTION("IMPORTRANGE(""https://docs.google.com/spreadsheets/d/11923uPwbBZFjjGgGUA6NLw09EwE0CqkOc4q9oUmW1yo/edit?usp=sharing"",""แพร่!J572"")"),0)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282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3167102</v>
      </c>
      <c r="M8" s="25">
        <f t="shared" ca="1" si="0"/>
        <v>1608510</v>
      </c>
      <c r="N8" s="25">
        <f t="shared" ca="1" si="0"/>
        <v>1883419.96</v>
      </c>
      <c r="O8" s="24">
        <f t="shared" ref="O8:O16" ca="1" si="1">IF(L8&gt;0,N8*100/L8,0)</f>
        <v>59.468244470812749</v>
      </c>
      <c r="P8" s="24">
        <f t="shared" ref="P8:P16" ca="1" si="2">IF(M8&gt;0,N8*100/M8,0)</f>
        <v>117.09096990382403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3167102</v>
      </c>
      <c r="M10" s="32">
        <f t="shared" ca="1" si="4"/>
        <v>1608510</v>
      </c>
      <c r="N10" s="32">
        <f t="shared" ca="1" si="4"/>
        <v>1883419.96</v>
      </c>
      <c r="O10" s="31">
        <f t="shared" ca="1" si="1"/>
        <v>59.468244470812749</v>
      </c>
      <c r="P10" s="31">
        <f t="shared" ca="1" si="2"/>
        <v>117.09096990382403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3119302</v>
      </c>
      <c r="M12" s="41">
        <f t="shared" ca="1" si="6"/>
        <v>1560710</v>
      </c>
      <c r="N12" s="41">
        <f t="shared" ca="1" si="6"/>
        <v>1835619.96</v>
      </c>
      <c r="O12" s="41">
        <f t="shared" ca="1" si="1"/>
        <v>58.847138237977596</v>
      </c>
      <c r="P12" s="41">
        <f t="shared" ca="1" si="2"/>
        <v>117.61441651556022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1558000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1561302</v>
      </c>
      <c r="M14" s="41">
        <f t="shared" si="8"/>
        <v>0</v>
      </c>
      <c r="N14" s="41">
        <f t="shared" ca="1" si="8"/>
        <v>682254</v>
      </c>
      <c r="O14" s="41">
        <f t="shared" ca="1" si="1"/>
        <v>43.697759946506189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47800</v>
      </c>
      <c r="M16" s="41">
        <f t="shared" ca="1" si="10"/>
        <v>47800</v>
      </c>
      <c r="N16" s="41">
        <f t="shared" ca="1" si="10"/>
        <v>47800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2083375</v>
      </c>
      <c r="M18" s="25">
        <f t="shared" ca="1" si="11"/>
        <v>1608510</v>
      </c>
      <c r="N18" s="25">
        <f t="shared" ca="1" si="11"/>
        <v>1201165.96</v>
      </c>
      <c r="O18" s="24">
        <f t="shared" ref="O18:O20" ca="1" si="12">IF(L18&gt;0,N18*100/L18,0)</f>
        <v>57.654812983740328</v>
      </c>
      <c r="P18" s="24">
        <f t="shared" ref="P18:P26" ca="1" si="13">IF(M18&gt;0,N18*100/M18,0)</f>
        <v>74.675691167602309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2083375</v>
      </c>
      <c r="M20" s="32">
        <f t="shared" ca="1" si="15"/>
        <v>1608510</v>
      </c>
      <c r="N20" s="32">
        <f t="shared" ca="1" si="15"/>
        <v>1201165.96</v>
      </c>
      <c r="O20" s="31">
        <f t="shared" ca="1" si="12"/>
        <v>57.654812983740328</v>
      </c>
      <c r="P20" s="31">
        <f t="shared" ca="1" si="13"/>
        <v>74.675691167602309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2035575</v>
      </c>
      <c r="M22" s="44">
        <f t="shared" ca="1" si="18"/>
        <v>1560710</v>
      </c>
      <c r="N22" s="41">
        <f t="shared" ca="1" si="18"/>
        <v>1153365.96</v>
      </c>
      <c r="O22" s="41">
        <f t="shared" ca="1" si="17"/>
        <v>56.660450241332299</v>
      </c>
      <c r="P22" s="41">
        <f t="shared" ca="1" si="13"/>
        <v>73.900081373221155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1558000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477575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47800</v>
      </c>
      <c r="M26" s="52">
        <f t="shared" ca="1" si="22"/>
        <v>47800</v>
      </c>
      <c r="N26" s="52">
        <f t="shared" ca="1" si="22"/>
        <v>47800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1083727</v>
      </c>
      <c r="M28" s="25">
        <f t="shared" si="23"/>
        <v>0</v>
      </c>
      <c r="N28" s="25">
        <f t="shared" ca="1" si="23"/>
        <v>682254</v>
      </c>
      <c r="O28" s="24">
        <f t="shared" ref="O28:O30" ca="1" si="24">IF(L28&gt;0,N28*100/L28,0)</f>
        <v>62.954415641577633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1083727</v>
      </c>
      <c r="M30" s="32">
        <f t="shared" si="27"/>
        <v>0</v>
      </c>
      <c r="N30" s="32">
        <f t="shared" ca="1" si="27"/>
        <v>682254</v>
      </c>
      <c r="O30" s="31">
        <f t="shared" ca="1" si="24"/>
        <v>62.954415641577633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1083727</v>
      </c>
      <c r="M32" s="41">
        <f t="shared" si="30"/>
        <v>0</v>
      </c>
      <c r="N32" s="41">
        <f t="shared" ca="1" si="30"/>
        <v>682254</v>
      </c>
      <c r="O32" s="41">
        <f t="shared" ca="1" si="29"/>
        <v>62.954415641577633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1083727</v>
      </c>
      <c r="M34" s="41">
        <f t="shared" si="32"/>
        <v>0</v>
      </c>
      <c r="N34" s="41">
        <f t="shared" ca="1" si="32"/>
        <v>682254</v>
      </c>
      <c r="O34" s="41">
        <f t="shared" ca="1" si="29"/>
        <v>62.954415641577633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2083375</v>
      </c>
      <c r="M37" s="57">
        <f t="shared" ca="1" si="33"/>
        <v>1608510</v>
      </c>
      <c r="N37" s="57">
        <f t="shared" ca="1" si="33"/>
        <v>1201165.96</v>
      </c>
      <c r="O37" s="58">
        <f t="shared" ca="1" si="29"/>
        <v>57.654812983740328</v>
      </c>
      <c r="P37" s="58">
        <f t="shared" ca="1" si="25"/>
        <v>74.675691167602309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669700</v>
      </c>
      <c r="M41" s="81">
        <f t="shared" ca="1" si="34"/>
        <v>502300</v>
      </c>
      <c r="N41" s="81">
        <f t="shared" ca="1" si="34"/>
        <v>363823.56</v>
      </c>
      <c r="O41" s="80">
        <f t="shared" ref="O41:O43" ca="1" si="35">IF(L41&gt;0,N41*100/L41,0)</f>
        <v>54.326349111542484</v>
      </c>
      <c r="P41" s="80">
        <f t="shared" ref="P41:P43" ca="1" si="36">IF(M41&gt;0,N41*100/M41,0)</f>
        <v>72.431526975910813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669700</v>
      </c>
      <c r="M43" s="81">
        <f t="shared" ca="1" si="38"/>
        <v>502300</v>
      </c>
      <c r="N43" s="81">
        <f t="shared" ca="1" si="38"/>
        <v>363823.56</v>
      </c>
      <c r="O43" s="80">
        <f t="shared" ca="1" si="35"/>
        <v>54.326349111542484</v>
      </c>
      <c r="P43" s="80">
        <f t="shared" ca="1" si="36"/>
        <v>72.431526975910813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669700</v>
      </c>
      <c r="M45" s="52">
        <f ca="1">IFERROR(__xludf.DUMMYFUNCTION("IMPORTRANGE(""https://docs.google.com/spreadsheets/d/1Yj_ptqi66GCucihVvJfMjLAmec39IyEx_6qawtMGysU/edit?usp=sharing"",""สบก!Q31"")"),502300)</f>
        <v>502300</v>
      </c>
      <c r="N45" s="52">
        <f ca="1">IFERROR(__xludf.DUMMYFUNCTION("IMPORTRANGE(""https://docs.google.com/spreadsheets/d/1Yj_ptqi66GCucihVvJfMjLAmec39IyEx_6qawtMGysU/edit?usp=sharing"",""สบก!R31"")"),363823.56)</f>
        <v>363823.56</v>
      </c>
      <c r="O45" s="41">
        <f ca="1">IF(L45&gt;0,N45*100/L45,0)</f>
        <v>54.326349111542484</v>
      </c>
      <c r="P45" s="41">
        <f ca="1">IF(M45&gt;0,N45*100/M45,0)</f>
        <v>72.431526975910813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IFERROR(__xludf.DUMMYFUNCTION("IMPORTRANGE(""https://docs.google.com/spreadsheets/d/1Yj_ptqi66GCucihVvJfMjLAmec39IyEx_6qawtMGysU/edit?usp=sharing"",""สบก!M31"")"),669700)</f>
        <v>669700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IFERROR(__xludf.DUMMYFUNCTION("IMPORTRANGE(""https://docs.google.com/spreadsheets/d/1Yj_ptqi66GCucihVvJfMjLAmec39IyEx_6qawtMGysU/edit?usp=sharing"",""สบก!N31"")"),0)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IFERROR(__xludf.DUMMYFUNCTION("IMPORTRANGE(""https://docs.google.com/spreadsheets/d/1Yj_ptqi66GCucihVvJfMjLAmec39IyEx_6qawtMGysU/edit?usp=sharing"",""สบก!O31"")"),0)</f>
        <v>0</v>
      </c>
      <c r="M49" s="52"/>
      <c r="N49" s="52">
        <f ca="1">IFERROR(__xludf.DUMMYFUNCTION("IMPORTRANGE(""https://docs.google.com/spreadsheets/d/1Yj_ptqi66GCucihVvJfMjLAmec39IyEx_6qawtMGysU/edit?usp=sharing"",""สบก!S31"")"),0)</f>
        <v>0</v>
      </c>
      <c r="O49" s="52">
        <f ca="1">IF(L49&gt;0,N49*100/L49,0)</f>
        <v>0</v>
      </c>
      <c r="P49" s="52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181500</v>
      </c>
      <c r="M53" s="123">
        <f t="shared" ca="1" si="39"/>
        <v>157750</v>
      </c>
      <c r="N53" s="123">
        <f t="shared" ca="1" si="39"/>
        <v>127086</v>
      </c>
      <c r="O53" s="122">
        <f t="shared" ref="O53:O55" ca="1" si="40">IF(L53&gt;0,N53*100/L53,0)</f>
        <v>70.019834710743808</v>
      </c>
      <c r="P53" s="122">
        <f t="shared" ref="P53:P55" ca="1" si="41">IF(M53&gt;0,N53*100/M53,0)</f>
        <v>80.561648177496039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181500</v>
      </c>
      <c r="M55" s="123">
        <f t="shared" ca="1" si="43"/>
        <v>157750</v>
      </c>
      <c r="N55" s="123">
        <f t="shared" ca="1" si="43"/>
        <v>127086</v>
      </c>
      <c r="O55" s="122">
        <f t="shared" ca="1" si="40"/>
        <v>70.019834710743808</v>
      </c>
      <c r="P55" s="122">
        <f t="shared" ca="1" si="41"/>
        <v>80.561648177496039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181500</v>
      </c>
      <c r="M57" s="52">
        <f ca="1">IFERROR(__xludf.DUMMYFUNCTION("IMPORTRANGE(""https://docs.google.com/spreadsheets/d/1Yj_ptqi66GCucihVvJfMjLAmec39IyEx_6qawtMGysU/edit?usp=sharing"",""สบก!Z31"")"),157750)</f>
        <v>157750</v>
      </c>
      <c r="N57" s="52">
        <f ca="1">IFERROR(__xludf.DUMMYFUNCTION("IMPORTRANGE(""https://docs.google.com/spreadsheets/d/1Yj_ptqi66GCucihVvJfMjLAmec39IyEx_6qawtMGysU/edit?usp=sharing"",""สบก!AA31"")"),127086)</f>
        <v>127086</v>
      </c>
      <c r="O57" s="41">
        <f ca="1">IF(L57&gt;0,N57*100/L57,0)</f>
        <v>70.019834710743808</v>
      </c>
      <c r="P57" s="41">
        <f ca="1">IF(M57&gt;0,N57*100/M57,0)</f>
        <v>80.561648177496039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IFERROR(__xludf.DUMMYFUNCTION("IMPORTRANGE(""https://docs.google.com/spreadsheets/d/1Yj_ptqi66GCucihVvJfMjLAmec39IyEx_6qawtMGysU/edit?usp=sharing"",""สบก!V31"")"),181500)</f>
        <v>181500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IFERROR(__xludf.DUMMYFUNCTION("IMPORTRANGE(""https://docs.google.com/spreadsheets/d/1Yj_ptqi66GCucihVvJfMjLAmec39IyEx_6qawtMGysU/edit?usp=sharing"",""สบก!W31"")"),0)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IFERROR(__xludf.DUMMYFUNCTION("IMPORTRANGE(""https://docs.google.com/spreadsheets/d/1Yj_ptqi66GCucihVvJfMjLAmec39IyEx_6qawtMGysU/edit?usp=sharing"",""สบก!X31"")"),0)</f>
        <v>0</v>
      </c>
      <c r="M61" s="52"/>
      <c r="N61" s="52">
        <f ca="1">IFERROR(__xludf.DUMMYFUNCTION("IMPORTRANGE(""https://docs.google.com/spreadsheets/d/1Yj_ptqi66GCucihVvJfMjLAmec39IyEx_6qawtMGysU/edit?usp=sharing"",""สบก!AB31"")"),0)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IFERROR(__xludf.DUMMYFUNCTION("IMPORTRANGE(""https://docs.google.com/spreadsheets/d/11923uPwbBZFjjGgGUA6NLw09EwE0CqkOc4q9oUmW1yo/edit?usp=sharing"",""แม่ฮ่องสอน!I9"")"),0)</f>
        <v>0</v>
      </c>
      <c r="J64" s="144">
        <f ca="1">IFERROR(__xludf.DUMMYFUNCTION("IMPORTRANGE(""https://docs.google.com/spreadsheets/d/11923uPwbBZFjjGgGUA6NLw09EwE0CqkOc4q9oUmW1yo/edit?usp=sharing"",""แม่ฮ่องสอน!J9"")"),0)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IFERROR(__xludf.DUMMYFUNCTION("IMPORTRANGE(""https://docs.google.com/spreadsheets/d/11923uPwbBZFjjGgGUA6NLw09EwE0CqkOc4q9oUmW1yo/edit?usp=sharing"",""แม่ฮ่องสอน!I10"")"),0)</f>
        <v>0</v>
      </c>
      <c r="J65" s="144">
        <f ca="1">IFERROR(__xludf.DUMMYFUNCTION("IMPORTRANGE(""https://docs.google.com/spreadsheets/d/11923uPwbBZFjjGgGUA6NLw09EwE0CqkOc4q9oUmW1yo/edit?usp=sharing"",""แม่ฮ่องสอน!J10"")"),0)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0</v>
      </c>
      <c r="M68" s="90">
        <f t="shared" ca="1" si="49"/>
        <v>0</v>
      </c>
      <c r="N68" s="90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59"/>
      <c r="B69" s="160"/>
      <c r="C69" s="160" t="s">
        <v>16</v>
      </c>
      <c r="D69" s="570" t="s">
        <v>20</v>
      </c>
      <c r="E69" s="565"/>
      <c r="F69" s="565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IFERROR(__xludf.DUMMYFUNCTION("IMPORTRANGE(""https://docs.google.com/spreadsheets/d/1Yj_ptqi66GCucihVvJfMjLAmec39IyEx_6qawtMGysU/edit?usp=sharing"",""สบก!AI31"")"),0)</f>
        <v>0</v>
      </c>
      <c r="N70" s="170">
        <f ca="1">IFERROR(__xludf.DUMMYFUNCTION("IMPORTRANGE(""https://docs.google.com/spreadsheets/d/1Yj_ptqi66GCucihVvJfMjLAmec39IyEx_6qawtMGysU/edit?usp=sharing"",""สบก!AJ31"")"),0)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IFERROR(__xludf.DUMMYFUNCTION("IMPORTRANGE(""https://docs.google.com/spreadsheets/d/1Yj_ptqi66GCucihVvJfMjLAmec39IyEx_6qawtMGysU/edit?usp=sharing"",""สบก!AE31"")"),0)</f>
        <v>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IFERROR(__xludf.DUMMYFUNCTION("IMPORTRANGE(""https://docs.google.com/spreadsheets/d/1Yj_ptqi66GCucihVvJfMjLAmec39IyEx_6qawtMGysU/edit?usp=sharing"",""สบก!AF31"")"),0)</f>
        <v>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IFERROR(__xludf.DUMMYFUNCTION("IMPORTRANGE(""https://docs.google.com/spreadsheets/d/1Yj_ptqi66GCucihVvJfMjLAmec39IyEx_6qawtMGysU/edit?usp=sharing"",""สบก!AG31"")"),0)</f>
        <v>0</v>
      </c>
      <c r="M74" s="52"/>
      <c r="N74" s="52">
        <f ca="1">IFERROR(__xludf.DUMMYFUNCTION("IMPORTRANGE(""https://docs.google.com/spreadsheets/d/1Yj_ptqi66GCucihVvJfMjLAmec39IyEx_6qawtMGysU/edit?usp=sharing"",""สบก!AK31"")"),0)</f>
        <v>0</v>
      </c>
      <c r="O74" s="52">
        <f ca="1">IF(L74&gt;0,N74*100/L74,0)</f>
        <v>0</v>
      </c>
      <c r="P74" s="52"/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IFERROR(__xludf.DUMMYFUNCTION("IMPORTRANGE(""https://docs.google.com/spreadsheets/d/11923uPwbBZFjjGgGUA6NLw09EwE0CqkOc4q9oUmW1yo/edit?usp=sharing"",""แม่ฮ่องสอน!J16"")"),0)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IFERROR(__xludf.DUMMYFUNCTION("IMPORTRANGE(""https://docs.google.com/spreadsheets/d/11923uPwbBZFjjGgGUA6NLw09EwE0CqkOc4q9oUmW1yo/edit?usp=sharing"",""แม่ฮ่องสอน!J17"")"),0)</f>
        <v>0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IFERROR(__xludf.DUMMYFUNCTION("IMPORTRANGE(""https://docs.google.com/spreadsheets/d/11923uPwbBZFjjGgGUA6NLw09EwE0CqkOc4q9oUmW1yo/edit?usp=sharing"",""แม่ฮ่องสอน!J18"")"),0)</f>
        <v>0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IFERROR(__xludf.DUMMYFUNCTION("IMPORTRANGE(""https://docs.google.com/spreadsheets/d/11923uPwbBZFjjGgGUA6NLw09EwE0CqkOc4q9oUmW1yo/edit?usp=sharing"",""แม่ฮ่องสอน!J19"")"),0)</f>
        <v>0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IFERROR(__xludf.DUMMYFUNCTION("IMPORTRANGE(""https://docs.google.com/spreadsheets/d/11923uPwbBZFjjGgGUA6NLw09EwE0CqkOc4q9oUmW1yo/edit?usp=sharing"",""แม่ฮ่องสอน!I20"")"),0)</f>
        <v>0</v>
      </c>
      <c r="J80" s="202">
        <f ca="1">IFERROR(__xludf.DUMMYFUNCTION("IMPORTRANGE(""https://docs.google.com/spreadsheets/d/11923uPwbBZFjjGgGUA6NLw09EwE0CqkOc4q9oUmW1yo/edit?usp=sharing"",""แม่ฮ่องสอน!J20"")"),0)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IFERROR(__xludf.DUMMYFUNCTION("IMPORTRANGE(""https://docs.google.com/spreadsheets/d/11923uPwbBZFjjGgGUA6NLw09EwE0CqkOc4q9oUmW1yo/edit?usp=sharing"",""แม่ฮ่องสอน!I21"")"),0)</f>
        <v>0</v>
      </c>
      <c r="J81" s="202">
        <f ca="1">IFERROR(__xludf.DUMMYFUNCTION("IMPORTRANGE(""https://docs.google.com/spreadsheets/d/11923uPwbBZFjjGgGUA6NLw09EwE0CqkOc4q9oUmW1yo/edit?usp=sharing"",""แม่ฮ่องสอน!J21"")"),0)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IFERROR(__xludf.DUMMYFUNCTION("IMPORTRANGE(""https://docs.google.com/spreadsheets/d/11923uPwbBZFjjGgGUA6NLw09EwE0CqkOc4q9oUmW1yo/edit?usp=sharing"",""แม่ฮ่องสอน!I22"")"),0)</f>
        <v>0</v>
      </c>
      <c r="J82" s="205">
        <f ca="1">IFERROR(__xludf.DUMMYFUNCTION("IMPORTRANGE(""https://docs.google.com/spreadsheets/d/11923uPwbBZFjjGgGUA6NLw09EwE0CqkOc4q9oUmW1yo/edit?usp=sharing"",""แม่ฮ่องสอน!J22"")"),0)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IFERROR(__xludf.DUMMYFUNCTION("IMPORTRANGE(""https://docs.google.com/spreadsheets/d/11923uPwbBZFjjGgGUA6NLw09EwE0CqkOc4q9oUmW1yo/edit?usp=sharing"",""แม่ฮ่องสอน!I23"")"),0)</f>
        <v>0</v>
      </c>
      <c r="J83" s="205">
        <f ca="1">IFERROR(__xludf.DUMMYFUNCTION("IMPORTRANGE(""https://docs.google.com/spreadsheets/d/11923uPwbBZFjjGgGUA6NLw09EwE0CqkOc4q9oUmW1yo/edit?usp=sharing"",""แม่ฮ่องสอน!J23"")"),0)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IFERROR(__xludf.DUMMYFUNCTION("IMPORTRANGE(""https://docs.google.com/spreadsheets/d/11923uPwbBZFjjGgGUA6NLw09EwE0CqkOc4q9oUmW1yo/edit?usp=sharing"",""แม่ฮ่องสอน!I24"")"),0)</f>
        <v>0</v>
      </c>
      <c r="J84" s="190">
        <f ca="1">IFERROR(__xludf.DUMMYFUNCTION("IMPORTRANGE(""https://docs.google.com/spreadsheets/d/11923uPwbBZFjjGgGUA6NLw09EwE0CqkOc4q9oUmW1yo/edit?usp=sharing"",""แม่ฮ่องสอน!J24"")"),0)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IFERROR(__xludf.DUMMYFUNCTION("IMPORTRANGE(""https://docs.google.com/spreadsheets/d/11923uPwbBZFjjGgGUA6NLw09EwE0CqkOc4q9oUmW1yo/edit?usp=sharing"",""แม่ฮ่องสอน!I25"")"),0)</f>
        <v>0</v>
      </c>
      <c r="J85" s="190">
        <f ca="1">IFERROR(__xludf.DUMMYFUNCTION("IMPORTRANGE(""https://docs.google.com/spreadsheets/d/11923uPwbBZFjjGgGUA6NLw09EwE0CqkOc4q9oUmW1yo/edit?usp=sharing"",""แม่ฮ่องสอน!J25"")"),0)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IFERROR(__xludf.DUMMYFUNCTION("IMPORTRANGE(""https://docs.google.com/spreadsheets/d/11923uPwbBZFjjGgGUA6NLw09EwE0CqkOc4q9oUmW1yo/edit?usp=sharing"",""แม่ฮ่องสอน!I26"")"),0)</f>
        <v>0</v>
      </c>
      <c r="J86" s="205">
        <f ca="1">IFERROR(__xludf.DUMMYFUNCTION("IMPORTRANGE(""https://docs.google.com/spreadsheets/d/11923uPwbBZFjjGgGUA6NLw09EwE0CqkOc4q9oUmW1yo/edit?usp=sharing"",""แม่ฮ่องสอน!J26"")"),0)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IFERROR(__xludf.DUMMYFUNCTION("IMPORTRANGE(""https://docs.google.com/spreadsheets/d/11923uPwbBZFjjGgGUA6NLw09EwE0CqkOc4q9oUmW1yo/edit?usp=sharing"",""แม่ฮ่องสอน!I27"")"),0)</f>
        <v>0</v>
      </c>
      <c r="J87" s="205">
        <f ca="1">IFERROR(__xludf.DUMMYFUNCTION("IMPORTRANGE(""https://docs.google.com/spreadsheets/d/11923uPwbBZFjjGgGUA6NLw09EwE0CqkOc4q9oUmW1yo/edit?usp=sharing"",""แม่ฮ่องสอน!J27"")"),0)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IFERROR(__xludf.DUMMYFUNCTION("IMPORTRANGE(""https://docs.google.com/spreadsheets/d/11923uPwbBZFjjGgGUA6NLw09EwE0CqkOc4q9oUmW1yo/edit?usp=sharing"",""แม่ฮ่องสอน!I28"")"),0)</f>
        <v>0</v>
      </c>
      <c r="J88" s="205">
        <f ca="1">IFERROR(__xludf.DUMMYFUNCTION("IMPORTRANGE(""https://docs.google.com/spreadsheets/d/11923uPwbBZFjjGgGUA6NLw09EwE0CqkOc4q9oUmW1yo/edit?usp=sharing"",""แม่ฮ่องสอน!J28"")"),0)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IFERROR(__xludf.DUMMYFUNCTION("IMPORTRANGE(""https://docs.google.com/spreadsheets/d/11923uPwbBZFjjGgGUA6NLw09EwE0CqkOc4q9oUmW1yo/edit?usp=sharing"",""แม่ฮ่องสอน!J29"")"),0)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IFERROR(__xludf.DUMMYFUNCTION("IMPORTRANGE(""https://docs.google.com/spreadsheets/d/11923uPwbBZFjjGgGUA6NLw09EwE0CqkOc4q9oUmW1yo/edit?usp=sharing"",""แม่ฮ่องสอน!J30"")"),0)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IFERROR(__xludf.DUMMYFUNCTION("IMPORTRANGE(""https://docs.google.com/spreadsheets/d/11923uPwbBZFjjGgGUA6NLw09EwE0CqkOc4q9oUmW1yo/edit?usp=sharing"",""แม่ฮ่องสอน!I32"")"),0)</f>
        <v>0</v>
      </c>
      <c r="J92" s="144">
        <f ca="1">IFERROR(__xludf.DUMMYFUNCTION("IMPORTRANGE(""https://docs.google.com/spreadsheets/d/11923uPwbBZFjjGgGUA6NLw09EwE0CqkOc4q9oUmW1yo/edit?usp=sharing"",""แม่ฮ่องสอน!J32"")"),0)</f>
        <v>0</v>
      </c>
      <c r="K92" s="145">
        <f t="shared" ref="K92:K93" ca="1" si="51">IF(I92&gt;0,J92*100/I92,0)</f>
        <v>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IFERROR(__xludf.DUMMYFUNCTION("IMPORTRANGE(""https://docs.google.com/spreadsheets/d/11923uPwbBZFjjGgGUA6NLw09EwE0CqkOc4q9oUmW1yo/edit?usp=sharing"",""แม่ฮ่องสอน!I33"")"),0)</f>
        <v>0</v>
      </c>
      <c r="J93" s="144">
        <f ca="1">IFERROR(__xludf.DUMMYFUNCTION("IMPORTRANGE(""https://docs.google.com/spreadsheets/d/11923uPwbBZFjjGgGUA6NLw09EwE0CqkOc4q9oUmW1yo/edit?usp=sharing"",""แม่ฮ่องสอน!J33"")"),0)</f>
        <v>0</v>
      </c>
      <c r="K93" s="145">
        <f t="shared" ca="1" si="51"/>
        <v>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0</v>
      </c>
      <c r="M96" s="90">
        <f t="shared" ca="1" si="56"/>
        <v>0</v>
      </c>
      <c r="N96" s="90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59"/>
      <c r="B97" s="160"/>
      <c r="C97" s="160" t="s">
        <v>16</v>
      </c>
      <c r="D97" s="570" t="s">
        <v>20</v>
      </c>
      <c r="E97" s="565"/>
      <c r="F97" s="565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IFERROR(__xludf.DUMMYFUNCTION("IMPORTRANGE(""https://docs.google.com/spreadsheets/d/1Yj_ptqi66GCucihVvJfMjLAmec39IyEx_6qawtMGysU/edit?usp=sharing"",""สบก!AR31"")"),0)</f>
        <v>0</v>
      </c>
      <c r="N98" s="170">
        <f ca="1">IFERROR(__xludf.DUMMYFUNCTION("IMPORTRANGE(""https://docs.google.com/spreadsheets/d/1Yj_ptqi66GCucihVvJfMjLAmec39IyEx_6qawtMGysU/edit?usp=sharing"",""สบก!AS31"")"),0)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IFERROR(__xludf.DUMMYFUNCTION("IMPORTRANGE(""https://docs.google.com/spreadsheets/d/1Yj_ptqi66GCucihVvJfMjLAmec39IyEx_6qawtMGysU/edit?usp=sharing"",""สบก!AN31"")"),0)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IFERROR(__xludf.DUMMYFUNCTION("IMPORTRANGE(""https://docs.google.com/spreadsheets/d/1Yj_ptqi66GCucihVvJfMjLAmec39IyEx_6qawtMGysU/edit?usp=sharing"",""สบก!AO31"")"),0)</f>
        <v>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IFERROR(__xludf.DUMMYFUNCTION("IMPORTRANGE(""https://docs.google.com/spreadsheets/d/1Yj_ptqi66GCucihVvJfMjLAmec39IyEx_6qawtMGysU/edit?usp=sharing"",""สบก!AP31"")"),0)</f>
        <v>0</v>
      </c>
      <c r="M102" s="52"/>
      <c r="N102" s="52">
        <f ca="1">IFERROR(__xludf.DUMMYFUNCTION("IMPORTRANGE(""https://docs.google.com/spreadsheets/d/1Yj_ptqi66GCucihVvJfMjLAmec39IyEx_6qawtMGysU/edit?usp=sharing"",""สบก!AT31"")"),0)</f>
        <v>0</v>
      </c>
      <c r="O102" s="52">
        <f ca="1">IF(L102&gt;0,N102*100/L102,0)</f>
        <v>0</v>
      </c>
      <c r="P102" s="52"/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IFERROR(__xludf.DUMMYFUNCTION("IMPORTRANGE(""https://docs.google.com/spreadsheets/d/11923uPwbBZFjjGgGUA6NLw09EwE0CqkOc4q9oUmW1yo/edit?usp=sharing"",""แม่ฮ่องสอน!J39"")"),0)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IFERROR(__xludf.DUMMYFUNCTION("IMPORTRANGE(""https://docs.google.com/spreadsheets/d/11923uPwbBZFjjGgGUA6NLw09EwE0CqkOc4q9oUmW1yo/edit?usp=sharing"",""แม่ฮ่องสอน!J40"")"),0)</f>
        <v>0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IFERROR(__xludf.DUMMYFUNCTION("IMPORTRANGE(""https://docs.google.com/spreadsheets/d/11923uPwbBZFjjGgGUA6NLw09EwE0CqkOc4q9oUmW1yo/edit?usp=sharing"",""แม่ฮ่องสอน!J41"")"),0)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IFERROR(__xludf.DUMMYFUNCTION("IMPORTRANGE(""https://docs.google.com/spreadsheets/d/11923uPwbBZFjjGgGUA6NLw09EwE0CqkOc4q9oUmW1yo/edit?usp=sharing"",""แม่ฮ่องสอน!J42"")"),0)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IFERROR(__xludf.DUMMYFUNCTION("IMPORTRANGE(""https://docs.google.com/spreadsheets/d/11923uPwbBZFjjGgGUA6NLw09EwE0CqkOc4q9oUmW1yo/edit?usp=sharing"",""แม่ฮ่องสอน!I43"")"),0)</f>
        <v>0</v>
      </c>
      <c r="J108" s="205">
        <f ca="1">IFERROR(__xludf.DUMMYFUNCTION("IMPORTRANGE(""https://docs.google.com/spreadsheets/d/11923uPwbBZFjjGgGUA6NLw09EwE0CqkOc4q9oUmW1yo/edit?usp=sharing"",""แม่ฮ่องสอน!J43"")"),0)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IFERROR(__xludf.DUMMYFUNCTION("IMPORTRANGE(""https://docs.google.com/spreadsheets/d/11923uPwbBZFjjGgGUA6NLw09EwE0CqkOc4q9oUmW1yo/edit?usp=sharing"",""แม่ฮ่องสอน!I44"")"),0)</f>
        <v>0</v>
      </c>
      <c r="J109" s="205">
        <f ca="1">IFERROR(__xludf.DUMMYFUNCTION("IMPORTRANGE(""https://docs.google.com/spreadsheets/d/11923uPwbBZFjjGgGUA6NLw09EwE0CqkOc4q9oUmW1yo/edit?usp=sharing"",""แม่ฮ่องสอน!J44"")"),0)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IFERROR(__xludf.DUMMYFUNCTION("IMPORTRANGE(""https://docs.google.com/spreadsheets/d/11923uPwbBZFjjGgGUA6NLw09EwE0CqkOc4q9oUmW1yo/edit?usp=sharing"",""แม่ฮ่องสอน!I45"")"),0)</f>
        <v>0</v>
      </c>
      <c r="J110" s="205">
        <f ca="1">IFERROR(__xludf.DUMMYFUNCTION("IMPORTRANGE(""https://docs.google.com/spreadsheets/d/11923uPwbBZFjjGgGUA6NLw09EwE0CqkOc4q9oUmW1yo/edit?usp=sharing"",""แม่ฮ่องสอน!J45"")"),0)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IFERROR(__xludf.DUMMYFUNCTION("IMPORTRANGE(""https://docs.google.com/spreadsheets/d/11923uPwbBZFjjGgGUA6NLw09EwE0CqkOc4q9oUmW1yo/edit?usp=sharing"",""แม่ฮ่องสอน!I46"")"),0)</f>
        <v>0</v>
      </c>
      <c r="J111" s="205">
        <f ca="1">IFERROR(__xludf.DUMMYFUNCTION("IMPORTRANGE(""https://docs.google.com/spreadsheets/d/11923uPwbBZFjjGgGUA6NLw09EwE0CqkOc4q9oUmW1yo/edit?usp=sharing"",""แม่ฮ่องสอน!J46"")"),0)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IFERROR(__xludf.DUMMYFUNCTION("IMPORTRANGE(""https://docs.google.com/spreadsheets/d/11923uPwbBZFjjGgGUA6NLw09EwE0CqkOc4q9oUmW1yo/edit?usp=sharing"",""แม่ฮ่องสอน!I47"")"),0)</f>
        <v>0</v>
      </c>
      <c r="J112" s="205">
        <f ca="1">IFERROR(__xludf.DUMMYFUNCTION("IMPORTRANGE(""https://docs.google.com/spreadsheets/d/11923uPwbBZFjjGgGUA6NLw09EwE0CqkOc4q9oUmW1yo/edit?usp=sharing"",""แม่ฮ่องสอน!J47"")"),0)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IFERROR(__xludf.DUMMYFUNCTION("IMPORTRANGE(""https://docs.google.com/spreadsheets/d/11923uPwbBZFjjGgGUA6NLw09EwE0CqkOc4q9oUmW1yo/edit?usp=sharing"",""แม่ฮ่องสอน!I48"")"),0)</f>
        <v>0</v>
      </c>
      <c r="J113" s="205">
        <f ca="1">IFERROR(__xludf.DUMMYFUNCTION("IMPORTRANGE(""https://docs.google.com/spreadsheets/d/11923uPwbBZFjjGgGUA6NLw09EwE0CqkOc4q9oUmW1yo/edit?usp=sharing"",""แม่ฮ่องสอน!J48"")"),0)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IFERROR(__xludf.DUMMYFUNCTION("IMPORTRANGE(""https://docs.google.com/spreadsheets/d/11923uPwbBZFjjGgGUA6NLw09EwE0CqkOc4q9oUmW1yo/edit?usp=sharing"",""แม่ฮ่องสอน!J49"")"),0)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IFERROR(__xludf.DUMMYFUNCTION("IMPORTRANGE(""https://docs.google.com/spreadsheets/d/11923uPwbBZFjjGgGUA6NLw09EwE0CqkOc4q9oUmW1yo/edit?usp=sharing"",""แม่ฮ่องสอน!J50"")"),0)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IFERROR(__xludf.DUMMYFUNCTION("IMPORTRANGE(""https://docs.google.com/spreadsheets/d/11923uPwbBZFjjGgGUA6NLw09EwE0CqkOc4q9oUmW1yo/edit?usp=sharing"",""แม่ฮ่องสอน!I52"")"),20)</f>
        <v>20</v>
      </c>
      <c r="J117" s="144">
        <f ca="1">IFERROR(__xludf.DUMMYFUNCTION("IMPORTRANGE(""https://docs.google.com/spreadsheets/d/11923uPwbBZFjjGgGUA6NLw09EwE0CqkOc4q9oUmW1yo/edit?usp=sharing"",""แม่ฮ่องสอน!J52"")"),20)</f>
        <v>20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82440</v>
      </c>
      <c r="M118" s="154">
        <f t="shared" ca="1" si="58"/>
        <v>82440</v>
      </c>
      <c r="N118" s="154">
        <f t="shared" ca="1" si="58"/>
        <v>60240</v>
      </c>
      <c r="O118" s="153">
        <f t="shared" ref="O118:O120" ca="1" si="59">IF(L118&gt;0,N118*100/L118,0)</f>
        <v>73.071324599708873</v>
      </c>
      <c r="P118" s="153">
        <f t="shared" ref="P118:P120" ca="1" si="60">IF(M118&gt;0,N118*100/M118,0)</f>
        <v>73.071324599708873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82440</v>
      </c>
      <c r="M120" s="90">
        <f t="shared" ca="1" si="62"/>
        <v>82440</v>
      </c>
      <c r="N120" s="90">
        <f t="shared" ca="1" si="62"/>
        <v>60240</v>
      </c>
      <c r="O120" s="158">
        <f t="shared" ca="1" si="59"/>
        <v>73.071324599708873</v>
      </c>
      <c r="P120" s="158">
        <f t="shared" ca="1" si="60"/>
        <v>73.071324599708873</v>
      </c>
    </row>
    <row r="121" spans="1:16" ht="21.75" customHeight="1">
      <c r="A121" s="159"/>
      <c r="B121" s="160"/>
      <c r="C121" s="160" t="s">
        <v>16</v>
      </c>
      <c r="D121" s="570" t="s">
        <v>20</v>
      </c>
      <c r="E121" s="565"/>
      <c r="F121" s="565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IFERROR(__xludf.DUMMYFUNCTION("IMPORTRANGE(""https://docs.google.com/spreadsheets/d/1Yj_ptqi66GCucihVvJfMjLAmec39IyEx_6qawtMGysU/edit?usp=sharing"",""สบก!BA31"")"),82440)</f>
        <v>82440</v>
      </c>
      <c r="N122" s="170">
        <f ca="1">IFERROR(__xludf.DUMMYFUNCTION("IMPORTRANGE(""https://docs.google.com/spreadsheets/d/1Yj_ptqi66GCucihVvJfMjLAmec39IyEx_6qawtMGysU/edit?usp=sharing"",""สบก!BB31"")"),60240)</f>
        <v>60240</v>
      </c>
      <c r="O122" s="170">
        <f ca="1">IF(L122&gt;0,N122*100/L122,0)</f>
        <v>73.071324599708873</v>
      </c>
      <c r="P122" s="170">
        <f ca="1">IF(M122&gt;0,N122*100/M122,0)</f>
        <v>73.071324599708873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IFERROR(__xludf.DUMMYFUNCTION("IMPORTRANGE(""https://docs.google.com/spreadsheets/d/1Yj_ptqi66GCucihVvJfMjLAmec39IyEx_6qawtMGysU/edit?usp=sharing"",""สบก!AW31"")"),0)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IFERROR(__xludf.DUMMYFUNCTION("IMPORTRANGE(""https://docs.google.com/spreadsheets/d/1Yj_ptqi66GCucihVvJfMjLAmec39IyEx_6qawtMGysU/edit?usp=sharing"",""สบก!AX31"")"),82440)</f>
        <v>82440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IFERROR(__xludf.DUMMYFUNCTION("IMPORTRANGE(""https://docs.google.com/spreadsheets/d/1Yj_ptqi66GCucihVvJfMjLAmec39IyEx_6qawtMGysU/edit?usp=sharing"",""สบก!AY31"")"),0)</f>
        <v>0</v>
      </c>
      <c r="M126" s="52"/>
      <c r="N126" s="52">
        <f ca="1">IFERROR(__xludf.DUMMYFUNCTION("IMPORTRANGE(""https://docs.google.com/spreadsheets/d/1Yj_ptqi66GCucihVvJfMjLAmec39IyEx_6qawtMGysU/edit?usp=sharing"",""สบก!BC31"")"),0)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283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IFERROR(__xludf.DUMMYFUNCTION("IMPORTRANGE(""https://docs.google.com/spreadsheets/d/11923uPwbBZFjjGgGUA6NLw09EwE0CqkOc4q9oUmW1yo/edit?usp=sharing"",""แม่ฮ่องสอน!J58"")"),0)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IFERROR(__xludf.DUMMYFUNCTION("IMPORTRANGE(""https://docs.google.com/spreadsheets/d/11923uPwbBZFjjGgGUA6NLw09EwE0CqkOc4q9oUmW1yo/edit?usp=sharing"",""แม่ฮ่องสอน!J59"")"),1)</f>
        <v>1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IFERROR(__xludf.DUMMYFUNCTION("IMPORTRANGE(""https://docs.google.com/spreadsheets/d/11923uPwbBZFjjGgGUA6NLw09EwE0CqkOc4q9oUmW1yo/edit?usp=sharing"",""แม่ฮ่องสอน!J60"")"),1)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IFERROR(__xludf.DUMMYFUNCTION("IMPORTRANGE(""https://docs.google.com/spreadsheets/d/11923uPwbBZFjjGgGUA6NLw09EwE0CqkOc4q9oUmW1yo/edit?usp=sharing"",""แม่ฮ่องสอน!J61"")"),1)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IFERROR(__xludf.DUMMYFUNCTION("IMPORTRANGE(""https://docs.google.com/spreadsheets/d/11923uPwbBZFjjGgGUA6NLw09EwE0CqkOc4q9oUmW1yo/edit?usp=sharing"",""แม่ฮ่องสอน!I62"")"),20)</f>
        <v>20</v>
      </c>
      <c r="J132" s="205">
        <f ca="1">IFERROR(__xludf.DUMMYFUNCTION("IMPORTRANGE(""https://docs.google.com/spreadsheets/d/11923uPwbBZFjjGgGUA6NLw09EwE0CqkOc4q9oUmW1yo/edit?usp=sharing"",""แม่ฮ่องสอน!J62"")"),20)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IFERROR(__xludf.DUMMYFUNCTION("IMPORTRANGE(""https://docs.google.com/spreadsheets/d/11923uPwbBZFjjGgGUA6NLw09EwE0CqkOc4q9oUmW1yo/edit?usp=sharing"",""แม่ฮ่องสอน!I63"")"),20)</f>
        <v>20</v>
      </c>
      <c r="J133" s="205">
        <f ca="1">IFERROR(__xludf.DUMMYFUNCTION("IMPORTRANGE(""https://docs.google.com/spreadsheets/d/11923uPwbBZFjjGgGUA6NLw09EwE0CqkOc4q9oUmW1yo/edit?usp=sharing"",""แม่ฮ่องสอน!J63"")"),20)</f>
        <v>20</v>
      </c>
      <c r="K133" s="225">
        <f t="shared" ca="1" si="63"/>
        <v>100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IFERROR(__xludf.DUMMYFUNCTION("IMPORTRANGE(""https://docs.google.com/spreadsheets/d/11923uPwbBZFjjGgGUA6NLw09EwE0CqkOc4q9oUmW1yo/edit?usp=sharing"",""แม่ฮ่องสอน!J64"")"),0)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IFERROR(__xludf.DUMMYFUNCTION("IMPORTRANGE(""https://docs.google.com/spreadsheets/d/11923uPwbBZFjjGgGUA6NLw09EwE0CqkOc4q9oUmW1yo/edit?usp=sharing"",""แม่ฮ่องสอน!J65"")"),0)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IFERROR(__xludf.DUMMYFUNCTION("IMPORTRANGE(""https://docs.google.com/spreadsheets/d/11923uPwbBZFjjGgGUA6NLw09EwE0CqkOc4q9oUmW1yo/edit?usp=sharing"",""แม่ฮ่องสอน!I68"")"),0)</f>
        <v>0</v>
      </c>
      <c r="J138" s="268">
        <f ca="1">IFERROR(__xludf.DUMMYFUNCTION("IMPORTRANGE(""https://docs.google.com/spreadsheets/d/11923uPwbBZFjjGgGUA6NLw09EwE0CqkOc4q9oUmW1yo/edit?usp=sharing"",""แม่ฮ่องสอน!J68"")"),0)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69500</v>
      </c>
      <c r="M140" s="154">
        <f t="shared" ca="1" si="64"/>
        <v>41625</v>
      </c>
      <c r="N140" s="154">
        <f t="shared" ca="1" si="64"/>
        <v>36940</v>
      </c>
      <c r="O140" s="153">
        <f t="shared" ref="O140:O142" ca="1" si="65">IF(L140&gt;0,N140*100/L140,0)</f>
        <v>53.151079136690647</v>
      </c>
      <c r="P140" s="153">
        <f t="shared" ref="P140:P142" ca="1" si="66">IF(M140&gt;0,N140*100/M140,0)</f>
        <v>88.74474474474475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69500</v>
      </c>
      <c r="M142" s="90">
        <f t="shared" ca="1" si="68"/>
        <v>41625</v>
      </c>
      <c r="N142" s="90">
        <f t="shared" ca="1" si="68"/>
        <v>36940</v>
      </c>
      <c r="O142" s="158">
        <f t="shared" ca="1" si="65"/>
        <v>53.151079136690647</v>
      </c>
      <c r="P142" s="158">
        <f t="shared" ca="1" si="66"/>
        <v>88.74474474474475</v>
      </c>
    </row>
    <row r="143" spans="1:16" ht="21.75" customHeight="1">
      <c r="A143" s="159"/>
      <c r="B143" s="160"/>
      <c r="C143" s="160" t="s">
        <v>16</v>
      </c>
      <c r="D143" s="570" t="s">
        <v>20</v>
      </c>
      <c r="E143" s="565"/>
      <c r="F143" s="565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69500</v>
      </c>
      <c r="M144" s="169">
        <f ca="1">IFERROR(__xludf.DUMMYFUNCTION("IMPORTRANGE(""https://docs.google.com/spreadsheets/d/1Yj_ptqi66GCucihVvJfMjLAmec39IyEx_6qawtMGysU/edit?usp=sharing"",""สบก!BJ31"")"),41625)</f>
        <v>41625</v>
      </c>
      <c r="N144" s="170">
        <f ca="1">IFERROR(__xludf.DUMMYFUNCTION("IMPORTRANGE(""https://docs.google.com/spreadsheets/d/1Yj_ptqi66GCucihVvJfMjLAmec39IyEx_6qawtMGysU/edit?usp=sharing"",""สบก!BK31"")"),36940)</f>
        <v>36940</v>
      </c>
      <c r="O144" s="170">
        <f ca="1">IF(L144&gt;0,N144*100/L144,0)</f>
        <v>53.151079136690647</v>
      </c>
      <c r="P144" s="170">
        <f ca="1">IF(M144&gt;0,N144*100/M144,0)</f>
        <v>88.74474474474475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IFERROR(__xludf.DUMMYFUNCTION("IMPORTRANGE(""https://docs.google.com/spreadsheets/d/1Yj_ptqi66GCucihVvJfMjLAmec39IyEx_6qawtMGysU/edit?usp=sharing"",""สบก!BF31"")"),0)</f>
        <v>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IFERROR(__xludf.DUMMYFUNCTION("IMPORTRANGE(""https://docs.google.com/spreadsheets/d/1Yj_ptqi66GCucihVvJfMjLAmec39IyEx_6qawtMGysU/edit?usp=sharing"",""สบก!BG31"")"),69500)</f>
        <v>69500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IFERROR(__xludf.DUMMYFUNCTION("IMPORTRANGE(""https://docs.google.com/spreadsheets/d/1Yj_ptqi66GCucihVvJfMjLAmec39IyEx_6qawtMGysU/edit?usp=sharing"",""สบก!BH31"")"),0)</f>
        <v>0</v>
      </c>
      <c r="M148" s="52"/>
      <c r="N148" s="52">
        <f ca="1">IFERROR(__xludf.DUMMYFUNCTION("IMPORTRANGE(""https://docs.google.com/spreadsheets/d/1Yj_ptqi66GCucihVvJfMjLAmec39IyEx_6qawtMGysU/edit?usp=sharing"",""สบก!BL31"")"),0)</f>
        <v>0</v>
      </c>
      <c r="O148" s="52">
        <f ca="1">IF(L148&gt;0,N148*100/L148,0)</f>
        <v>0</v>
      </c>
      <c r="P148" s="52"/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IFERROR(__xludf.DUMMYFUNCTION("IMPORTRANGE(""https://docs.google.com/spreadsheets/d/11923uPwbBZFjjGgGUA6NLw09EwE0CqkOc4q9oUmW1yo/edit?usp=sharing"",""แม่ฮ่องสอน!I74"")"),4)</f>
        <v>4</v>
      </c>
      <c r="J149" s="276">
        <f ca="1">IFERROR(__xludf.DUMMYFUNCTION("IMPORTRANGE(""https://docs.google.com/spreadsheets/d/11923uPwbBZFjjGgGUA6NLw09EwE0CqkOc4q9oUmW1yo/edit?usp=sharing"",""แม่ฮ่องสอน!J74"")"),2)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IFERROR(__xludf.DUMMYFUNCTION("IMPORTRANGE(""https://docs.google.com/spreadsheets/d/11923uPwbBZFjjGgGUA6NLw09EwE0CqkOc4q9oUmW1yo/edit?usp=sharing"",""แม่ฮ่องสอน!J79"")"),0)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IFERROR(__xludf.DUMMYFUNCTION("IMPORTRANGE(""https://docs.google.com/spreadsheets/d/11923uPwbBZFjjGgGUA6NLw09EwE0CqkOc4q9oUmW1yo/edit?usp=sharing"",""แม่ฮ่องสอน!J80"")"),1)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IFERROR(__xludf.DUMMYFUNCTION("IMPORTRANGE(""https://docs.google.com/spreadsheets/d/11923uPwbBZFjjGgGUA6NLw09EwE0CqkOc4q9oUmW1yo/edit?usp=sharing"",""แม่ฮ่องสอน!J81"")"),1)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IFERROR(__xludf.DUMMYFUNCTION("IMPORTRANGE(""https://docs.google.com/spreadsheets/d/11923uPwbBZFjjGgGUA6NLw09EwE0CqkOc4q9oUmW1yo/edit?usp=sharing"",""แม่ฮ่องสอน!J82"")"),1)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IFERROR(__xludf.DUMMYFUNCTION("IMPORTRANGE(""https://docs.google.com/spreadsheets/d/11923uPwbBZFjjGgGUA6NLw09EwE0CqkOc4q9oUmW1yo/edit?usp=sharing"",""แม่ฮ่องสอน!I83"")"),4)</f>
        <v>4</v>
      </c>
      <c r="J158" s="190">
        <f ca="1">IFERROR(__xludf.DUMMYFUNCTION("IMPORTRANGE(""https://docs.google.com/spreadsheets/d/11923uPwbBZFjjGgGUA6NLw09EwE0CqkOc4q9oUmW1yo/edit?usp=sharing"",""แม่ฮ่องสอน!J83"")"),2)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IFERROR(__xludf.DUMMYFUNCTION("IMPORTRANGE(""https://docs.google.com/spreadsheets/d/11923uPwbBZFjjGgGUA6NLw09EwE0CqkOc4q9oUmW1yo/edit?usp=sharing"",""แม่ฮ่องสอน!J84"")"),50)</f>
        <v>50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IFERROR(__xludf.DUMMYFUNCTION("IMPORTRANGE(""https://docs.google.com/spreadsheets/d/11923uPwbBZFjjGgGUA6NLw09EwE0CqkOc4q9oUmW1yo/edit?usp=sharing"",""แม่ฮ่องสอน!J85"")"),50)</f>
        <v>50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IFERROR(__xludf.DUMMYFUNCTION("IMPORTRANGE(""https://docs.google.com/spreadsheets/d/11923uPwbBZFjjGgGUA6NLw09EwE0CqkOc4q9oUmW1yo/edit?usp=sharing"",""แม่ฮ่องสอน!J86"")"),0)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IFERROR(__xludf.DUMMYFUNCTION("IMPORTRANGE(""https://docs.google.com/spreadsheets/d/11923uPwbBZFjjGgGUA6NLw09EwE0CqkOc4q9oUmW1yo/edit?usp=sharing"",""แม่ฮ่องสอน!J87"")"),0)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IFERROR(__xludf.DUMMYFUNCTION("IMPORTRANGE(""https://docs.google.com/spreadsheets/d/11923uPwbBZFjjGgGUA6NLw09EwE0CqkOc4q9oUmW1yo/edit?usp=sharing"",""แม่ฮ่องสอน!J88"")"),0)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IFERROR(__xludf.DUMMYFUNCTION("IMPORTRANGE(""https://docs.google.com/spreadsheets/d/11923uPwbBZFjjGgGUA6NLw09EwE0CqkOc4q9oUmW1yo/edit?usp=sharing"",""แม่ฮ่องสอน!I89"")"),2)</f>
        <v>2</v>
      </c>
      <c r="J164" s="285">
        <f ca="1">IFERROR(__xludf.DUMMYFUNCTION("IMPORTRANGE(""https://docs.google.com/spreadsheets/d/11923uPwbBZFjjGgGUA6NLw09EwE0CqkOc4q9oUmW1yo/edit?usp=sharing"",""แม่ฮ่องสอน!J89"")"),2)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IFERROR(__xludf.DUMMYFUNCTION("IMPORTRANGE(""https://docs.google.com/spreadsheets/d/11923uPwbBZFjjGgGUA6NLw09EwE0CqkOc4q9oUmW1yo/edit?usp=sharing"",""แม่ฮ่องสอน!J94"")"),0)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IFERROR(__xludf.DUMMYFUNCTION("IMPORTRANGE(""https://docs.google.com/spreadsheets/d/11923uPwbBZFjjGgGUA6NLw09EwE0CqkOc4q9oUmW1yo/edit?usp=sharing"",""แม่ฮ่องสอน!J95"")"),1)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IFERROR(__xludf.DUMMYFUNCTION("IMPORTRANGE(""https://docs.google.com/spreadsheets/d/11923uPwbBZFjjGgGUA6NLw09EwE0CqkOc4q9oUmW1yo/edit?usp=sharing"",""แม่ฮ่องสอน!J96"")"),1)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IFERROR(__xludf.DUMMYFUNCTION("IMPORTRANGE(""https://docs.google.com/spreadsheets/d/11923uPwbBZFjjGgGUA6NLw09EwE0CqkOc4q9oUmW1yo/edit?usp=sharing"",""แม่ฮ่องสอน!J97"")"),1)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IFERROR(__xludf.DUMMYFUNCTION("IMPORTRANGE(""https://docs.google.com/spreadsheets/d/11923uPwbBZFjjGgGUA6NLw09EwE0CqkOc4q9oUmW1yo/edit?usp=sharing"",""แม่ฮ่องสอน!I98"")"),2)</f>
        <v>2</v>
      </c>
      <c r="J173" s="190">
        <f ca="1">IFERROR(__xludf.DUMMYFUNCTION("IMPORTRANGE(""https://docs.google.com/spreadsheets/d/11923uPwbBZFjjGgGUA6NLw09EwE0CqkOc4q9oUmW1yo/edit?usp=sharing"",""แม่ฮ่องสอน!J98"")"),2)</f>
        <v>2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IFERROR(__xludf.DUMMYFUNCTION("IMPORTRANGE(""https://docs.google.com/spreadsheets/d/11923uPwbBZFjjGgGUA6NLw09EwE0CqkOc4q9oUmW1yo/edit?usp=sharing"",""แม่ฮ่องสอน!J99"")"),0)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IFERROR(__xludf.DUMMYFUNCTION("IMPORTRANGE(""https://docs.google.com/spreadsheets/d/11923uPwbBZFjjGgGUA6NLw09EwE0CqkOc4q9oUmW1yo/edit?usp=sharing"",""แม่ฮ่องสอน!J100"")"),0)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IFERROR(__xludf.DUMMYFUNCTION("IMPORTRANGE(""https://docs.google.com/spreadsheets/d/11923uPwbBZFjjGgGUA6NLw09EwE0CqkOc4q9oUmW1yo/edit?usp=sharing"",""แม่ฮ่องสอน!I101"")"),0)</f>
        <v>0</v>
      </c>
      <c r="J176" s="285">
        <f ca="1">IFERROR(__xludf.DUMMYFUNCTION("IMPORTRANGE(""https://docs.google.com/spreadsheets/d/11923uPwbBZFjjGgGUA6NLw09EwE0CqkOc4q9oUmW1yo/edit?usp=sharing"",""แม่ฮ่องสอน!J101"")"),0)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IFERROR(__xludf.DUMMYFUNCTION("IMPORTRANGE(""https://docs.google.com/spreadsheets/d/11923uPwbBZFjjGgGUA6NLw09EwE0CqkOc4q9oUmW1yo/edit?usp=sharing"",""แม่ฮ่องสอน!J106"")"),0)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IFERROR(__xludf.DUMMYFUNCTION("IMPORTRANGE(""https://docs.google.com/spreadsheets/d/11923uPwbBZFjjGgGUA6NLw09EwE0CqkOc4q9oUmW1yo/edit?usp=sharing"",""แม่ฮ่องสอน!J107"")"),0)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IFERROR(__xludf.DUMMYFUNCTION("IMPORTRANGE(""https://docs.google.com/spreadsheets/d/11923uPwbBZFjjGgGUA6NLw09EwE0CqkOc4q9oUmW1yo/edit?usp=sharing"",""แม่ฮ่องสอน!J108"")"),0)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IFERROR(__xludf.DUMMYFUNCTION("IMPORTRANGE(""https://docs.google.com/spreadsheets/d/11923uPwbBZFjjGgGUA6NLw09EwE0CqkOc4q9oUmW1yo/edit?usp=sharing"",""แม่ฮ่องสอน!J109"")"),0)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IFERROR(__xludf.DUMMYFUNCTION("IMPORTRANGE(""https://docs.google.com/spreadsheets/d/11923uPwbBZFjjGgGUA6NLw09EwE0CqkOc4q9oUmW1yo/edit?usp=sharing"",""แม่ฮ่องสอน!I110"")"),0)</f>
        <v>0</v>
      </c>
      <c r="J185" s="205">
        <f ca="1">IFERROR(__xludf.DUMMYFUNCTION("IMPORTRANGE(""https://docs.google.com/spreadsheets/d/11923uPwbBZFjjGgGUA6NLw09EwE0CqkOc4q9oUmW1yo/edit?usp=sharing"",""แม่ฮ่องสอน!J110"")"),0)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IFERROR(__xludf.DUMMYFUNCTION("IMPORTRANGE(""https://docs.google.com/spreadsheets/d/11923uPwbBZFjjGgGUA6NLw09EwE0CqkOc4q9oUmW1yo/edit?usp=sharing"",""แม่ฮ่องสอน!I111"")"),0)</f>
        <v>0</v>
      </c>
      <c r="J186" s="205">
        <f ca="1">IFERROR(__xludf.DUMMYFUNCTION("IMPORTRANGE(""https://docs.google.com/spreadsheets/d/11923uPwbBZFjjGgGUA6NLw09EwE0CqkOc4q9oUmW1yo/edit?usp=sharing"",""แม่ฮ่องสอน!J111"")"),0)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IFERROR(__xludf.DUMMYFUNCTION("IMPORTRANGE(""https://docs.google.com/spreadsheets/d/11923uPwbBZFjjGgGUA6NLw09EwE0CqkOc4q9oUmW1yo/edit?usp=sharing"",""แม่ฮ่องสอน!J112"")"),0)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IFERROR(__xludf.DUMMYFUNCTION("IMPORTRANGE(""https://docs.google.com/spreadsheets/d/11923uPwbBZFjjGgGUA6NLw09EwE0CqkOc4q9oUmW1yo/edit?usp=sharing"",""แม่ฮ่องสอน!J113"")"),0)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IFERROR(__xludf.DUMMYFUNCTION("IMPORTRANGE(""https://docs.google.com/spreadsheets/d/11923uPwbBZFjjGgGUA6NLw09EwE0CqkOc4q9oUmW1yo/edit?usp=sharing"",""แม่ฮ่องสอน!I114"")"),100000)</f>
        <v>100000</v>
      </c>
      <c r="J189" s="285">
        <f ca="1">IFERROR(__xludf.DUMMYFUNCTION("IMPORTRANGE(""https://docs.google.com/spreadsheets/d/11923uPwbBZFjjGgGUA6NLw09EwE0CqkOc4q9oUmW1yo/edit?usp=sharing"",""แม่ฮ่องสอน!J114"")"),0)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IFERROR(__xludf.DUMMYFUNCTION("IMPORTRANGE(""https://docs.google.com/spreadsheets/d/11923uPwbBZFjjGgGUA6NLw09EwE0CqkOc4q9oUmW1yo/edit?usp=sharing"",""แม่ฮ่องสอน!J119"")"),0)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IFERROR(__xludf.DUMMYFUNCTION("IMPORTRANGE(""https://docs.google.com/spreadsheets/d/11923uPwbBZFjjGgGUA6NLw09EwE0CqkOc4q9oUmW1yo/edit?usp=sharing"",""แม่ฮ่องสอน!J120"")"),1)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IFERROR(__xludf.DUMMYFUNCTION("IMPORTRANGE(""https://docs.google.com/spreadsheets/d/11923uPwbBZFjjGgGUA6NLw09EwE0CqkOc4q9oUmW1yo/edit?usp=sharing"",""แม่ฮ่องสอน!J121"")"),1)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IFERROR(__xludf.DUMMYFUNCTION("IMPORTRANGE(""https://docs.google.com/spreadsheets/d/11923uPwbBZFjjGgGUA6NLw09EwE0CqkOc4q9oUmW1yo/edit?usp=sharing"",""แม่ฮ่องสอน!J122"")"),1)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IFERROR(__xludf.DUMMYFUNCTION("IMPORTRANGE(""https://docs.google.com/spreadsheets/d/11923uPwbBZFjjGgGUA6NLw09EwE0CqkOc4q9oUmW1yo/edit?usp=sharing"",""แม่ฮ่องสอน!I124"")"),100000)</f>
        <v>100000</v>
      </c>
      <c r="J199" s="190">
        <f ca="1">IFERROR(__xludf.DUMMYFUNCTION("IMPORTRANGE(""https://docs.google.com/spreadsheets/d/11923uPwbBZFjjGgGUA6NLw09EwE0CqkOc4q9oUmW1yo/edit?usp=sharing"",""แม่ฮ่องสอน!J124"")"),100000)</f>
        <v>100000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IFERROR(__xludf.DUMMYFUNCTION("IMPORTRANGE(""https://docs.google.com/spreadsheets/d/11923uPwbBZFjjGgGUA6NLw09EwE0CqkOc4q9oUmW1yo/edit?usp=sharing"",""แม่ฮ่องสอน!I125"")"),100000)</f>
        <v>100000</v>
      </c>
      <c r="J200" s="190">
        <f ca="1">IFERROR(__xludf.DUMMYFUNCTION("IMPORTRANGE(""https://docs.google.com/spreadsheets/d/11923uPwbBZFjjGgGUA6NLw09EwE0CqkOc4q9oUmW1yo/edit?usp=sharing"",""แม่ฮ่องสอน!J125"")"),0)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IFERROR(__xludf.DUMMYFUNCTION("IMPORTRANGE(""https://docs.google.com/spreadsheets/d/11923uPwbBZFjjGgGUA6NLw09EwE0CqkOc4q9oUmW1yo/edit?usp=sharing"",""แม่ฮ่องสอน!I126"")"),0)</f>
        <v>0</v>
      </c>
      <c r="J201" s="190">
        <f ca="1">IFERROR(__xludf.DUMMYFUNCTION("IMPORTRANGE(""https://docs.google.com/spreadsheets/d/11923uPwbBZFjjGgGUA6NLw09EwE0CqkOc4q9oUmW1yo/edit?usp=sharing"",""แม่ฮ่องสอน!J126"")"),0)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IFERROR(__xludf.DUMMYFUNCTION("IMPORTRANGE(""https://docs.google.com/spreadsheets/d/11923uPwbBZFjjGgGUA6NLw09EwE0CqkOc4q9oUmW1yo/edit?usp=sharing"",""แม่ฮ่องสอน!J127"")"),0)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IFERROR(__xludf.DUMMYFUNCTION("IMPORTRANGE(""https://docs.google.com/spreadsheets/d/11923uPwbBZFjjGgGUA6NLw09EwE0CqkOc4q9oUmW1yo/edit?usp=sharing"",""แม่ฮ่องสอน!J128"")"),0)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IFERROR(__xludf.DUMMYFUNCTION("IMPORTRANGE(""https://docs.google.com/spreadsheets/d/11923uPwbBZFjjGgGUA6NLw09EwE0CqkOc4q9oUmW1yo/edit?usp=sharing"",""แม่ฮ่องสอน!I129"")"),0)</f>
        <v>0</v>
      </c>
      <c r="J204" s="285">
        <f ca="1">IFERROR(__xludf.DUMMYFUNCTION("IMPORTRANGE(""https://docs.google.com/spreadsheets/d/11923uPwbBZFjjGgGUA6NLw09EwE0CqkOc4q9oUmW1yo/edit?usp=sharing"",""แม่ฮ่องสอน!J129"")"),0)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IFERROR(__xludf.DUMMYFUNCTION("IMPORTRANGE(""https://docs.google.com/spreadsheets/d/11923uPwbBZFjjGgGUA6NLw09EwE0CqkOc4q9oUmW1yo/edit?usp=sharing"",""แม่ฮ่องสอน!J134"")"),0)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IFERROR(__xludf.DUMMYFUNCTION("IMPORTRANGE(""https://docs.google.com/spreadsheets/d/11923uPwbBZFjjGgGUA6NLw09EwE0CqkOc4q9oUmW1yo/edit?usp=sharing"",""แม่ฮ่องสอน!J135"")"),0)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IFERROR(__xludf.DUMMYFUNCTION("IMPORTRANGE(""https://docs.google.com/spreadsheets/d/11923uPwbBZFjjGgGUA6NLw09EwE0CqkOc4q9oUmW1yo/edit?usp=sharing"",""แม่ฮ่องสอน!J136"")"),0)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IFERROR(__xludf.DUMMYFUNCTION("IMPORTRANGE(""https://docs.google.com/spreadsheets/d/11923uPwbBZFjjGgGUA6NLw09EwE0CqkOc4q9oUmW1yo/edit?usp=sharing"",""แม่ฮ่องสอน!J137"")"),0)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IFERROR(__xludf.DUMMYFUNCTION("IMPORTRANGE(""https://docs.google.com/spreadsheets/d/11923uPwbBZFjjGgGUA6NLw09EwE0CqkOc4q9oUmW1yo/edit?usp=sharing"",""แม่ฮ่องสอน!I138"")"),0)</f>
        <v>0</v>
      </c>
      <c r="J213" s="205">
        <f ca="1">IFERROR(__xludf.DUMMYFUNCTION("IMPORTRANGE(""https://docs.google.com/spreadsheets/d/11923uPwbBZFjjGgGUA6NLw09EwE0CqkOc4q9oUmW1yo/edit?usp=sharing"",""แม่ฮ่องสอน!J138"")"),0)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IFERROR(__xludf.DUMMYFUNCTION("IMPORTRANGE(""https://docs.google.com/spreadsheets/d/11923uPwbBZFjjGgGUA6NLw09EwE0CqkOc4q9oUmW1yo/edit?usp=sharing"",""แม่ฮ่องสอน!I140"")"),0)</f>
        <v>0</v>
      </c>
      <c r="J215" s="205">
        <f ca="1">IFERROR(__xludf.DUMMYFUNCTION("IMPORTRANGE(""https://docs.google.com/spreadsheets/d/11923uPwbBZFjjGgGUA6NLw09EwE0CqkOc4q9oUmW1yo/edit?usp=sharing"",""แม่ฮ่องสอน!J140"")"),0)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IFERROR(__xludf.DUMMYFUNCTION("IMPORTRANGE(""https://docs.google.com/spreadsheets/d/11923uPwbBZFjjGgGUA6NLw09EwE0CqkOc4q9oUmW1yo/edit?usp=sharing"",""แม่ฮ่องสอน!I141"")"),0)</f>
        <v>0</v>
      </c>
      <c r="J216" s="205">
        <f ca="1">IFERROR(__xludf.DUMMYFUNCTION("IMPORTRANGE(""https://docs.google.com/spreadsheets/d/11923uPwbBZFjjGgGUA6NLw09EwE0CqkOc4q9oUmW1yo/edit?usp=sharing"",""แม่ฮ่องสอน!J141"")"),0)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IFERROR(__xludf.DUMMYFUNCTION("IMPORTRANGE(""https://docs.google.com/spreadsheets/d/11923uPwbBZFjjGgGUA6NLw09EwE0CqkOc4q9oUmW1yo/edit?usp=sharing"",""แม่ฮ่องสอน!J142"")"),0)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IFERROR(__xludf.DUMMYFUNCTION("IMPORTRANGE(""https://docs.google.com/spreadsheets/d/11923uPwbBZFjjGgGUA6NLw09EwE0CqkOc4q9oUmW1yo/edit?usp=sharing"",""แม่ฮ่องสอน!J143"")"),0)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IFERROR(__xludf.DUMMYFUNCTION("IMPORTRANGE(""https://docs.google.com/spreadsheets/d/11923uPwbBZFjjGgGUA6NLw09EwE0CqkOc4q9oUmW1yo/edit?usp=sharing"",""แม่ฮ่องสอน!I144"")"),13)</f>
        <v>13</v>
      </c>
      <c r="J219" s="268">
        <f ca="1">IFERROR(__xludf.DUMMYFUNCTION("IMPORTRANGE(""https://docs.google.com/spreadsheets/d/11923uPwbBZFjjGgGUA6NLw09EwE0CqkOc4q9oUmW1yo/edit?usp=sharing"",""แม่ฮ่องสอน!J144"")"),13)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19295</v>
      </c>
      <c r="M220" s="154">
        <f t="shared" ca="1" si="72"/>
        <v>19295</v>
      </c>
      <c r="N220" s="154">
        <f t="shared" ca="1" si="72"/>
        <v>19295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19295</v>
      </c>
      <c r="M222" s="90">
        <f t="shared" ca="1" si="76"/>
        <v>19295</v>
      </c>
      <c r="N222" s="90">
        <f t="shared" ca="1" si="76"/>
        <v>19295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59"/>
      <c r="B223" s="160"/>
      <c r="C223" s="160" t="s">
        <v>16</v>
      </c>
      <c r="D223" s="570" t="s">
        <v>20</v>
      </c>
      <c r="E223" s="565"/>
      <c r="F223" s="565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19295</v>
      </c>
      <c r="M224" s="169">
        <f ca="1">IFERROR(__xludf.DUMMYFUNCTION("IMPORTRANGE(""https://docs.google.com/spreadsheets/d/1Yj_ptqi66GCucihVvJfMjLAmec39IyEx_6qawtMGysU/edit?usp=sharing"",""สบก!BS31"")"),19295)</f>
        <v>19295</v>
      </c>
      <c r="N224" s="170">
        <f ca="1">IFERROR(__xludf.DUMMYFUNCTION("IMPORTRANGE(""https://docs.google.com/spreadsheets/d/1Yj_ptqi66GCucihVvJfMjLAmec39IyEx_6qawtMGysU/edit?usp=sharing"",""สบก!BT31"")"),19295)</f>
        <v>19295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IFERROR(__xludf.DUMMYFUNCTION("IMPORTRANGE(""https://docs.google.com/spreadsheets/d/1Yj_ptqi66GCucihVvJfMjLAmec39IyEx_6qawtMGysU/edit?usp=sharing"",""สบก!BO31"")"),0)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IFERROR(__xludf.DUMMYFUNCTION("IMPORTRANGE(""https://docs.google.com/spreadsheets/d/1Yj_ptqi66GCucihVvJfMjLAmec39IyEx_6qawtMGysU/edit?usp=sharing"",""สบก!BP31"")"),19295)</f>
        <v>19295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IFERROR(__xludf.DUMMYFUNCTION("IMPORTRANGE(""https://docs.google.com/spreadsheets/d/1Yj_ptqi66GCucihVvJfMjLAmec39IyEx_6qawtMGysU/edit?usp=sharing"",""สบก!BQ31"")"),0)</f>
        <v>0</v>
      </c>
      <c r="M228" s="52"/>
      <c r="N228" s="52">
        <f ca="1">IFERROR(__xludf.DUMMYFUNCTION("IMPORTRANGE(""https://docs.google.com/spreadsheets/d/1Yj_ptqi66GCucihVvJfMjLAmec39IyEx_6qawtMGysU/edit?usp=sharing"",""สบก!BU31"")"),0)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IFERROR(__xludf.DUMMYFUNCTION("IMPORTRANGE(""https://docs.google.com/spreadsheets/d/11923uPwbBZFjjGgGUA6NLw09EwE0CqkOc4q9oUmW1yo/edit?usp=sharing"",""แม่ฮ่องสอน!I149"")"),13)</f>
        <v>13</v>
      </c>
      <c r="J229" s="268">
        <f ca="1">IFERROR(__xludf.DUMMYFUNCTION("IMPORTRANGE(""https://docs.google.com/spreadsheets/d/11923uPwbBZFjjGgGUA6NLw09EwE0CqkOc4q9oUmW1yo/edit?usp=sharing"",""แม่ฮ่องสอน!J149"")"),13)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IFERROR(__xludf.DUMMYFUNCTION("IMPORTRANGE(""https://docs.google.com/spreadsheets/d/11923uPwbBZFjjGgGUA6NLw09EwE0CqkOc4q9oUmW1yo/edit?usp=sharing"",""แม่ฮ่องสอน!J151"")"),0)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IFERROR(__xludf.DUMMYFUNCTION("IMPORTRANGE(""https://docs.google.com/spreadsheets/d/11923uPwbBZFjjGgGUA6NLw09EwE0CqkOc4q9oUmW1yo/edit?usp=sharing"",""แม่ฮ่องสอน!J152"")"),0)</f>
        <v>0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IFERROR(__xludf.DUMMYFUNCTION("IMPORTRANGE(""https://docs.google.com/spreadsheets/d/11923uPwbBZFjjGgGUA6NLw09EwE0CqkOc4q9oUmW1yo/edit?usp=sharing"",""แม่ฮ่องสอน!J153"")"),0)</f>
        <v>0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IFERROR(__xludf.DUMMYFUNCTION("IMPORTRANGE(""https://docs.google.com/spreadsheets/d/11923uPwbBZFjjGgGUA6NLw09EwE0CqkOc4q9oUmW1yo/edit?usp=sharing"",""แม่ฮ่องสอน!J154"")"),0)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IFERROR(__xludf.DUMMYFUNCTION("IMPORTRANGE(""https://docs.google.com/spreadsheets/d/11923uPwbBZFjjGgGUA6NLw09EwE0CqkOc4q9oUmW1yo/edit?usp=sharing"",""แม่ฮ่องสอน!I155"")"),13)</f>
        <v>13</v>
      </c>
      <c r="J235" s="190">
        <f ca="1">IFERROR(__xludf.DUMMYFUNCTION("IMPORTRANGE(""https://docs.google.com/spreadsheets/d/11923uPwbBZFjjGgGUA6NLw09EwE0CqkOc4q9oUmW1yo/edit?usp=sharing"",""แม่ฮ่องสอน!J155"")"),13)</f>
        <v>13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IFERROR(__xludf.DUMMYFUNCTION("IMPORTRANGE(""https://docs.google.com/spreadsheets/d/11923uPwbBZFjjGgGUA6NLw09EwE0CqkOc4q9oUmW1yo/edit?usp=sharing"",""แม่ฮ่องสอน!J156"")"),1)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IFERROR(__xludf.DUMMYFUNCTION("IMPORTRANGE(""https://docs.google.com/spreadsheets/d/11923uPwbBZFjjGgGUA6NLw09EwE0CqkOc4q9oUmW1yo/edit?usp=sharing"",""แม่ฮ่องสอน!J157"")"),1)</f>
        <v>1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IFERROR(__xludf.DUMMYFUNCTION("IMPORTRANGE(""https://docs.google.com/spreadsheets/d/11923uPwbBZFjjGgGUA6NLw09EwE0CqkOc4q9oUmW1yo/edit?usp=sharing"",""แม่ฮ่องสอน!I158"")"),0)</f>
        <v>0</v>
      </c>
      <c r="J238" s="268">
        <f ca="1">IFERROR(__xludf.DUMMYFUNCTION("IMPORTRANGE(""https://docs.google.com/spreadsheets/d/11923uPwbBZFjjGgGUA6NLw09EwE0CqkOc4q9oUmW1yo/edit?usp=sharing"",""แม่ฮ่องสอน!J158"")"),0)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IFERROR(__xludf.DUMMYFUNCTION("IMPORTRANGE(""https://docs.google.com/spreadsheets/d/11923uPwbBZFjjGgGUA6NLw09EwE0CqkOc4q9oUmW1yo/edit?usp=sharing"",""แม่ฮ่องสอน!J159"")"),"")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IFERROR(__xludf.DUMMYFUNCTION("IMPORTRANGE(""https://docs.google.com/spreadsheets/d/11923uPwbBZFjjGgGUA6NLw09EwE0CqkOc4q9oUmW1yo/edit?usp=sharing"",""แม่ฮ่องสอน!J161"")"),0)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IFERROR(__xludf.DUMMYFUNCTION("IMPORTRANGE(""https://docs.google.com/spreadsheets/d/11923uPwbBZFjjGgGUA6NLw09EwE0CqkOc4q9oUmW1yo/edit?usp=sharing"",""แม่ฮ่องสอน!J162"")"),0)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IFERROR(__xludf.DUMMYFUNCTION("IMPORTRANGE(""https://docs.google.com/spreadsheets/d/11923uPwbBZFjjGgGUA6NLw09EwE0CqkOc4q9oUmW1yo/edit?usp=sharing"",""แม่ฮ่องสอน!J163"")"),0)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IFERROR(__xludf.DUMMYFUNCTION("IMPORTRANGE(""https://docs.google.com/spreadsheets/d/11923uPwbBZFjjGgGUA6NLw09EwE0CqkOc4q9oUmW1yo/edit?usp=sharing"",""แม่ฮ่องสอน!I164"")"),0)</f>
        <v>0</v>
      </c>
      <c r="J244" s="189">
        <f ca="1">IFERROR(__xludf.DUMMYFUNCTION("IMPORTRANGE(""https://docs.google.com/spreadsheets/d/11923uPwbBZFjjGgGUA6NLw09EwE0CqkOc4q9oUmW1yo/edit?usp=sharing"",""แม่ฮ่องสอน!J164"")"),0)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IFERROR(__xludf.DUMMYFUNCTION("IMPORTRANGE(""https://docs.google.com/spreadsheets/d/11923uPwbBZFjjGgGUA6NLw09EwE0CqkOc4q9oUmW1yo/edit?usp=sharing"",""แม่ฮ่องสอน!J165"")"),0)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IFERROR(__xludf.DUMMYFUNCTION("IMPORTRANGE(""https://docs.google.com/spreadsheets/d/11923uPwbBZFjjGgGUA6NLw09EwE0CqkOc4q9oUmW1yo/edit?usp=sharing"",""แม่ฮ่องสอน!J166"")"),0)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IFERROR(__xludf.DUMMYFUNCTION("IMPORTRANGE(""https://docs.google.com/spreadsheets/d/11923uPwbBZFjjGgGUA6NLw09EwE0CqkOc4q9oUmW1yo/edit?usp=sharing"",""แม่ฮ่องสอน!I169"")"),0)</f>
        <v>0</v>
      </c>
      <c r="J249" s="317">
        <f ca="1">IFERROR(__xludf.DUMMYFUNCTION("IMPORTRANGE(""https://docs.google.com/spreadsheets/d/11923uPwbBZFjjGgGUA6NLw09EwE0CqkOc4q9oUmW1yo/edit?usp=sharing"",""แม่ฮ่องสอน!J169"")"),0)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0</v>
      </c>
      <c r="M252" s="90">
        <f t="shared" ca="1" si="81"/>
        <v>0</v>
      </c>
      <c r="N252" s="90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59"/>
      <c r="B253" s="160"/>
      <c r="C253" s="160" t="s">
        <v>16</v>
      </c>
      <c r="D253" s="570" t="s">
        <v>20</v>
      </c>
      <c r="E253" s="565"/>
      <c r="F253" s="565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IFERROR(__xludf.DUMMYFUNCTION("IMPORTRANGE(""https://docs.google.com/spreadsheets/d/1Yj_ptqi66GCucihVvJfMjLAmec39IyEx_6qawtMGysU/edit?usp=sharing"",""สบก!CB31"")"),0)</f>
        <v>0</v>
      </c>
      <c r="N254" s="170">
        <f ca="1">IFERROR(__xludf.DUMMYFUNCTION("IMPORTRANGE(""https://docs.google.com/spreadsheets/d/1Yj_ptqi66GCucihVvJfMjLAmec39IyEx_6qawtMGysU/edit?usp=sharing"",""สบก!CC31"")"),0)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IFERROR(__xludf.DUMMYFUNCTION("IMPORTRANGE(""https://docs.google.com/spreadsheets/d/1Yj_ptqi66GCucihVvJfMjLAmec39IyEx_6qawtMGysU/edit?usp=sharing"",""สบก!BX31"")"),0)</f>
        <v>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IFERROR(__xludf.DUMMYFUNCTION("IMPORTRANGE(""https://docs.google.com/spreadsheets/d/1Yj_ptqi66GCucihVvJfMjLAmec39IyEx_6qawtMGysU/edit?usp=sharing"",""สบก!BY31"")"),0)</f>
        <v>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IFERROR(__xludf.DUMMYFUNCTION("IMPORTRANGE(""https://docs.google.com/spreadsheets/d/1Yj_ptqi66GCucihVvJfMjLAmec39IyEx_6qawtMGysU/edit?usp=sharing"",""สบก!BZ31"")"),0)</f>
        <v>0</v>
      </c>
      <c r="M258" s="52"/>
      <c r="N258" s="52">
        <f ca="1">IFERROR(__xludf.DUMMYFUNCTION("IMPORTRANGE(""https://docs.google.com/spreadsheets/d/1Yj_ptqi66GCucihVvJfMjLAmec39IyEx_6qawtMGysU/edit?usp=sharing"",""สบก!CD31"")"),0)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IFERROR(__xludf.DUMMYFUNCTION("IMPORTRANGE(""https://docs.google.com/spreadsheets/d/11923uPwbBZFjjGgGUA6NLw09EwE0CqkOc4q9oUmW1yo/edit?usp=sharing"",""แม่ฮ่องสอน!J175"")"),0)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IFERROR(__xludf.DUMMYFUNCTION("IMPORTRANGE(""https://docs.google.com/spreadsheets/d/11923uPwbBZFjjGgGUA6NLw09EwE0CqkOc4q9oUmW1yo/edit?usp=sharing"",""แม่ฮ่องสอน!J176"")"),0)</f>
        <v>0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IFERROR(__xludf.DUMMYFUNCTION("IMPORTRANGE(""https://docs.google.com/spreadsheets/d/11923uPwbBZFjjGgGUA6NLw09EwE0CqkOc4q9oUmW1yo/edit?usp=sharing"",""แม่ฮ่องสอน!J177"")"),0)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IFERROR(__xludf.DUMMYFUNCTION("IMPORTRANGE(""https://docs.google.com/spreadsheets/d/11923uPwbBZFjjGgGUA6NLw09EwE0CqkOc4q9oUmW1yo/edit?usp=sharing"",""แม่ฮ่องสอน!J178"")"),0)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IFERROR(__xludf.DUMMYFUNCTION("IMPORTRANGE(""https://docs.google.com/spreadsheets/d/11923uPwbBZFjjGgGUA6NLw09EwE0CqkOc4q9oUmW1yo/edit?usp=sharing"",""แม่ฮ่องสอน!I179"")"),0)</f>
        <v>0</v>
      </c>
      <c r="J264" s="190">
        <f ca="1">IFERROR(__xludf.DUMMYFUNCTION("IMPORTRANGE(""https://docs.google.com/spreadsheets/d/11923uPwbBZFjjGgGUA6NLw09EwE0CqkOc4q9oUmW1yo/edit?usp=sharing"",""แม่ฮ่องสอน!J179"")"),0)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IFERROR(__xludf.DUMMYFUNCTION("IMPORTRANGE(""https://docs.google.com/spreadsheets/d/11923uPwbBZFjjGgGUA6NLw09EwE0CqkOc4q9oUmW1yo/edit?usp=sharing"",""แม่ฮ่องสอน!I180"")"),0)</f>
        <v>0</v>
      </c>
      <c r="J265" s="190">
        <f ca="1">IFERROR(__xludf.DUMMYFUNCTION("IMPORTRANGE(""https://docs.google.com/spreadsheets/d/11923uPwbBZFjjGgGUA6NLw09EwE0CqkOc4q9oUmW1yo/edit?usp=sharing"",""แม่ฮ่องสอน!J180"")"),0)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IFERROR(__xludf.DUMMYFUNCTION("IMPORTRANGE(""https://docs.google.com/spreadsheets/d/11923uPwbBZFjjGgGUA6NLw09EwE0CqkOc4q9oUmW1yo/edit?usp=sharing"",""แม่ฮ่องสอน!I181"")"),0)</f>
        <v>0</v>
      </c>
      <c r="J266" s="190">
        <f ca="1">IFERROR(__xludf.DUMMYFUNCTION("IMPORTRANGE(""https://docs.google.com/spreadsheets/d/11923uPwbBZFjjGgGUA6NLw09EwE0CqkOc4q9oUmW1yo/edit?usp=sharing"",""แม่ฮ่องสอน!J181"")"),0)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IFERROR(__xludf.DUMMYFUNCTION("IMPORTRANGE(""https://docs.google.com/spreadsheets/d/11923uPwbBZFjjGgGUA6NLw09EwE0CqkOc4q9oUmW1yo/edit?usp=sharing"",""แม่ฮ่องสอน!I182"")"),0)</f>
        <v>0</v>
      </c>
      <c r="J267" s="190">
        <f ca="1">IFERROR(__xludf.DUMMYFUNCTION("IMPORTRANGE(""https://docs.google.com/spreadsheets/d/11923uPwbBZFjjGgGUA6NLw09EwE0CqkOc4q9oUmW1yo/edit?usp=sharing"",""แม่ฮ่องสอน!J182"")"),0)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IFERROR(__xludf.DUMMYFUNCTION("IMPORTRANGE(""https://docs.google.com/spreadsheets/d/11923uPwbBZFjjGgGUA6NLw09EwE0CqkOc4q9oUmW1yo/edit?usp=sharing"",""แม่ฮ่องสอน!J183"")"),0)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IFERROR(__xludf.DUMMYFUNCTION("IMPORTRANGE(""https://docs.google.com/spreadsheets/d/11923uPwbBZFjjGgGUA6NLw09EwE0CqkOc4q9oUmW1yo/edit?usp=sharing"",""แม่ฮ่องสอน!J184"")"),0)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IFERROR(__xludf.DUMMYFUNCTION("IMPORTRANGE(""https://docs.google.com/spreadsheets/d/11923uPwbBZFjjGgGUA6NLw09EwE0CqkOc4q9oUmW1yo/edit?usp=sharing"",""แม่ฮ่องสอน!I185"")"),15)</f>
        <v>15</v>
      </c>
      <c r="J270" s="317">
        <f ca="1">IFERROR(__xludf.DUMMYFUNCTION("IMPORTRANGE(""https://docs.google.com/spreadsheets/d/11923uPwbBZFjjGgGUA6NLw09EwE0CqkOc4q9oUmW1yo/edit?usp=sharing"",""แม่ฮ่องสอน!J185"")"),15)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187200</v>
      </c>
      <c r="M271" s="154">
        <f t="shared" ca="1" si="83"/>
        <v>131250</v>
      </c>
      <c r="N271" s="154">
        <f t="shared" ca="1" si="83"/>
        <v>91743</v>
      </c>
      <c r="O271" s="153">
        <f t="shared" ref="O271:O273" ca="1" si="84">IF(L271&gt;0,N271*100/L271,0)</f>
        <v>49.008012820512818</v>
      </c>
      <c r="P271" s="153">
        <f t="shared" ref="P271:P273" ca="1" si="85">IF(M271&gt;0,N271*100/M271,0)</f>
        <v>69.899428571428572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187200</v>
      </c>
      <c r="M273" s="90">
        <f t="shared" ca="1" si="87"/>
        <v>131250</v>
      </c>
      <c r="N273" s="90">
        <f t="shared" ca="1" si="87"/>
        <v>91743</v>
      </c>
      <c r="O273" s="158">
        <f t="shared" ca="1" si="84"/>
        <v>49.008012820512818</v>
      </c>
      <c r="P273" s="158">
        <f t="shared" ca="1" si="85"/>
        <v>69.899428571428572</v>
      </c>
    </row>
    <row r="274" spans="1:16" ht="21.75" customHeight="1">
      <c r="A274" s="159"/>
      <c r="B274" s="160"/>
      <c r="C274" s="160" t="s">
        <v>16</v>
      </c>
      <c r="D274" s="570" t="s">
        <v>20</v>
      </c>
      <c r="E274" s="565"/>
      <c r="F274" s="565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187200</v>
      </c>
      <c r="M275" s="169">
        <f ca="1">IFERROR(__xludf.DUMMYFUNCTION("IMPORTRANGE(""https://docs.google.com/spreadsheets/d/1Yj_ptqi66GCucihVvJfMjLAmec39IyEx_6qawtMGysU/edit?usp=sharing"",""สบก!CK31"")"),131250)</f>
        <v>131250</v>
      </c>
      <c r="N275" s="170">
        <f ca="1">IFERROR(__xludf.DUMMYFUNCTION("IMPORTRANGE(""https://docs.google.com/spreadsheets/d/1Yj_ptqi66GCucihVvJfMjLAmec39IyEx_6qawtMGysU/edit?usp=sharing"",""สบก!CL31"")"),91743)</f>
        <v>91743</v>
      </c>
      <c r="O275" s="170">
        <f ca="1">IF(L275&gt;0,N275*100/L275,0)</f>
        <v>49.008012820512818</v>
      </c>
      <c r="P275" s="170">
        <f ca="1">IF(M275&gt;0,N275*100/M275,0)</f>
        <v>69.899428571428572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IFERROR(__xludf.DUMMYFUNCTION("IMPORTRANGE(""https://docs.google.com/spreadsheets/d/1Yj_ptqi66GCucihVvJfMjLAmec39IyEx_6qawtMGysU/edit?usp=sharing"",""สบก!CG31"")"),132000)</f>
        <v>132000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IFERROR(__xludf.DUMMYFUNCTION("IMPORTRANGE(""https://docs.google.com/spreadsheets/d/1Yj_ptqi66GCucihVvJfMjLAmec39IyEx_6qawtMGysU/edit?usp=sharing"",""สบก!CH31"")"),55200)</f>
        <v>55200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IFERROR(__xludf.DUMMYFUNCTION("IMPORTRANGE(""https://docs.google.com/spreadsheets/d/1Yj_ptqi66GCucihVvJfMjLAmec39IyEx_6qawtMGysU/edit?usp=sharing"",""สบก!CI31"")"),0)</f>
        <v>0</v>
      </c>
      <c r="M279" s="52"/>
      <c r="N279" s="52">
        <f ca="1">IFERROR(__xludf.DUMMYFUNCTION("IMPORTRANGE(""https://docs.google.com/spreadsheets/d/1Yj_ptqi66GCucihVvJfMjLAmec39IyEx_6qawtMGysU/edit?usp=sharing"",""สบก!CM31"")"),0)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IFERROR(__xludf.DUMMYFUNCTION("IMPORTRANGE(""https://docs.google.com/spreadsheets/d/11923uPwbBZFjjGgGUA6NLw09EwE0CqkOc4q9oUmW1yo/edit?usp=sharing"",""แม่ฮ่องสอน!J191"")"),0)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IFERROR(__xludf.DUMMYFUNCTION("IMPORTRANGE(""https://docs.google.com/spreadsheets/d/11923uPwbBZFjjGgGUA6NLw09EwE0CqkOc4q9oUmW1yo/edit?usp=sharing"",""แม่ฮ่องสอน!J192"")"),1)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IFERROR(__xludf.DUMMYFUNCTION("IMPORTRANGE(""https://docs.google.com/spreadsheets/d/11923uPwbBZFjjGgGUA6NLw09EwE0CqkOc4q9oUmW1yo/edit?usp=sharing"",""แม่ฮ่องสอน!J193"")"),1)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IFERROR(__xludf.DUMMYFUNCTION("IMPORTRANGE(""https://docs.google.com/spreadsheets/d/11923uPwbBZFjjGgGUA6NLw09EwE0CqkOc4q9oUmW1yo/edit?usp=sharing"",""แม่ฮ่องสอน!J194"")"),1)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IFERROR(__xludf.DUMMYFUNCTION("IMPORTRANGE(""https://docs.google.com/spreadsheets/d/11923uPwbBZFjjGgGUA6NLw09EwE0CqkOc4q9oUmW1yo/edit?usp=sharing"",""แม่ฮ่องสอน!I195"")"),15)</f>
        <v>15</v>
      </c>
      <c r="J285" s="190">
        <f ca="1">IFERROR(__xludf.DUMMYFUNCTION("IMPORTRANGE(""https://docs.google.com/spreadsheets/d/11923uPwbBZFjjGgGUA6NLw09EwE0CqkOc4q9oUmW1yo/edit?usp=sharing"",""แม่ฮ่องสอน!J195"")"),15)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IFERROR(__xludf.DUMMYFUNCTION("IMPORTRANGE(""https://docs.google.com/spreadsheets/d/11923uPwbBZFjjGgGUA6NLw09EwE0CqkOc4q9oUmW1yo/edit?usp=sharing"",""แม่ฮ่องสอน!J196"")"),0)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IFERROR(__xludf.DUMMYFUNCTION("IMPORTRANGE(""https://docs.google.com/spreadsheets/d/11923uPwbBZFjjGgGUA6NLw09EwE0CqkOc4q9oUmW1yo/edit?usp=sharing"",""แม่ฮ่องสอน!J197"")"),0)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IFERROR(__xludf.DUMMYFUNCTION("IMPORTRANGE(""https://docs.google.com/spreadsheets/d/11923uPwbBZFjjGgGUA6NLw09EwE0CqkOc4q9oUmW1yo/edit?usp=sharing"",""แม่ฮ่องสอน!I199"")"),0)</f>
        <v>0</v>
      </c>
      <c r="J289" s="317">
        <f ca="1">IFERROR(__xludf.DUMMYFUNCTION("IMPORTRANGE(""https://docs.google.com/spreadsheets/d/11923uPwbBZFjjGgGUA6NLw09EwE0CqkOc4q9oUmW1yo/edit?usp=sharing"",""แม่ฮ่องสอน!J199"")"),0)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0</v>
      </c>
      <c r="M292" s="90">
        <f t="shared" ca="1" si="92"/>
        <v>0</v>
      </c>
      <c r="N292" s="90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59"/>
      <c r="B293" s="160"/>
      <c r="C293" s="160" t="s">
        <v>16</v>
      </c>
      <c r="D293" s="570" t="s">
        <v>20</v>
      </c>
      <c r="E293" s="565"/>
      <c r="F293" s="565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IFERROR(__xludf.DUMMYFUNCTION("IMPORTRANGE(""https://docs.google.com/spreadsheets/d/1Yj_ptqi66GCucihVvJfMjLAmec39IyEx_6qawtMGysU/edit?usp=sharing"",""สบก!CT31"")"),0)</f>
        <v>0</v>
      </c>
      <c r="N294" s="170">
        <f ca="1">IFERROR(__xludf.DUMMYFUNCTION("IMPORTRANGE(""https://docs.google.com/spreadsheets/d/1Yj_ptqi66GCucihVvJfMjLAmec39IyEx_6qawtMGysU/edit?usp=sharing"",""สบก!CU31"")"),0)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IFERROR(__xludf.DUMMYFUNCTION("IMPORTRANGE(""https://docs.google.com/spreadsheets/d/1Yj_ptqi66GCucihVvJfMjLAmec39IyEx_6qawtMGysU/edit?usp=sharing"",""สบก!CP31"")"),0)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IFERROR(__xludf.DUMMYFUNCTION("IMPORTRANGE(""https://docs.google.com/spreadsheets/d/1Yj_ptqi66GCucihVvJfMjLAmec39IyEx_6qawtMGysU/edit?usp=sharing"",""สบก!CQ31"")"),0)</f>
        <v>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IFERROR(__xludf.DUMMYFUNCTION("IMPORTRANGE(""https://docs.google.com/spreadsheets/d/1Yj_ptqi66GCucihVvJfMjLAmec39IyEx_6qawtMGysU/edit?usp=sharing"",""สบก!CR31"")"),0)</f>
        <v>0</v>
      </c>
      <c r="M298" s="52"/>
      <c r="N298" s="52">
        <f ca="1">IFERROR(__xludf.DUMMYFUNCTION("IMPORTRANGE(""https://docs.google.com/spreadsheets/d/1Yj_ptqi66GCucihVvJfMjLAmec39IyEx_6qawtMGysU/edit?usp=sharing"",""สบก!CV31"")"),0)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IFERROR(__xludf.DUMMYFUNCTION("IMPORTRANGE(""https://docs.google.com/spreadsheets/d/11923uPwbBZFjjGgGUA6NLw09EwE0CqkOc4q9oUmW1yo/edit?usp=sharing"",""แม่ฮ่องสอน!J205"")"),0)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IFERROR(__xludf.DUMMYFUNCTION("IMPORTRANGE(""https://docs.google.com/spreadsheets/d/11923uPwbBZFjjGgGUA6NLw09EwE0CqkOc4q9oUmW1yo/edit?usp=sharing"",""แม่ฮ่องสอน!J206"")"),0)</f>
        <v>0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IFERROR(__xludf.DUMMYFUNCTION("IMPORTRANGE(""https://docs.google.com/spreadsheets/d/11923uPwbBZFjjGgGUA6NLw09EwE0CqkOc4q9oUmW1yo/edit?usp=sharing"",""แม่ฮ่องสอน!J207"")"),0)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IFERROR(__xludf.DUMMYFUNCTION("IMPORTRANGE(""https://docs.google.com/spreadsheets/d/11923uPwbBZFjjGgGUA6NLw09EwE0CqkOc4q9oUmW1yo/edit?usp=sharing"",""แม่ฮ่องสอน!J208"")"),0)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IFERROR(__xludf.DUMMYFUNCTION("IMPORTRANGE(""https://docs.google.com/spreadsheets/d/11923uPwbBZFjjGgGUA6NLw09EwE0CqkOc4q9oUmW1yo/edit?usp=sharing"",""แม่ฮ่องสอน!I209"")"),0)</f>
        <v>0</v>
      </c>
      <c r="J304" s="205">
        <f ca="1">IFERROR(__xludf.DUMMYFUNCTION("IMPORTRANGE(""https://docs.google.com/spreadsheets/d/11923uPwbBZFjjGgGUA6NLw09EwE0CqkOc4q9oUmW1yo/edit?usp=sharing"",""แม่ฮ่องสอน!J209"")"),0)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IFERROR(__xludf.DUMMYFUNCTION("IMPORTRANGE(""https://docs.google.com/spreadsheets/d/11923uPwbBZFjjGgGUA6NLw09EwE0CqkOc4q9oUmW1yo/edit?usp=sharing"",""แม่ฮ่องสอน!I211"")"),0)</f>
        <v>0</v>
      </c>
      <c r="J306" s="205">
        <f ca="1">IFERROR(__xludf.DUMMYFUNCTION("IMPORTRANGE(""https://docs.google.com/spreadsheets/d/11923uPwbBZFjjGgGUA6NLw09EwE0CqkOc4q9oUmW1yo/edit?usp=sharing"",""แม่ฮ่องสอน!J211"")"),0)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IFERROR(__xludf.DUMMYFUNCTION("IMPORTRANGE(""https://docs.google.com/spreadsheets/d/11923uPwbBZFjjGgGUA6NLw09EwE0CqkOc4q9oUmW1yo/edit?usp=sharing"",""แม่ฮ่องสอน!J212"")"),0)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IFERROR(__xludf.DUMMYFUNCTION("IMPORTRANGE(""https://docs.google.com/spreadsheets/d/11923uPwbBZFjjGgGUA6NLw09EwE0CqkOc4q9oUmW1yo/edit?usp=sharing"",""แม่ฮ่องสอน!J213"")"),0)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IFERROR(__xludf.DUMMYFUNCTION("IMPORTRANGE(""https://docs.google.com/spreadsheets/d/11923uPwbBZFjjGgGUA6NLw09EwE0CqkOc4q9oUmW1yo/edit?usp=sharing"",""แม่ฮ่องสอน!I214"")"),0)</f>
        <v>0</v>
      </c>
      <c r="J309" s="334">
        <f ca="1">IFERROR(__xludf.DUMMYFUNCTION("IMPORTRANGE(""https://docs.google.com/spreadsheets/d/11923uPwbBZFjjGgGUA6NLw09EwE0CqkOc4q9oUmW1yo/edit?usp=sharing"",""แม่ฮ่องสอน!J214"")"),0)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0</v>
      </c>
      <c r="M312" s="90">
        <f t="shared" ca="1" si="97"/>
        <v>0</v>
      </c>
      <c r="N312" s="90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59"/>
      <c r="B313" s="160"/>
      <c r="C313" s="160" t="s">
        <v>16</v>
      </c>
      <c r="D313" s="570" t="s">
        <v>20</v>
      </c>
      <c r="E313" s="565"/>
      <c r="F313" s="565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IFERROR(__xludf.DUMMYFUNCTION("IMPORTRANGE(""https://docs.google.com/spreadsheets/d/1Yj_ptqi66GCucihVvJfMjLAmec39IyEx_6qawtMGysU/edit?usp=sharing"",""สบก!DC31"")"),0)</f>
        <v>0</v>
      </c>
      <c r="N314" s="170">
        <f ca="1">IFERROR(__xludf.DUMMYFUNCTION("IMPORTRANGE(""https://docs.google.com/spreadsheets/d/1Yj_ptqi66GCucihVvJfMjLAmec39IyEx_6qawtMGysU/edit?usp=sharing"",""สบก!DD31"")"),0)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IFERROR(__xludf.DUMMYFUNCTION("IMPORTRANGE(""https://docs.google.com/spreadsheets/d/1Yj_ptqi66GCucihVvJfMjLAmec39IyEx_6qawtMGysU/edit?usp=sharing"",""สบก!CY31"")"),0)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IFERROR(__xludf.DUMMYFUNCTION("IMPORTRANGE(""https://docs.google.com/spreadsheets/d/1Yj_ptqi66GCucihVvJfMjLAmec39IyEx_6qawtMGysU/edit?usp=sharing"",""สบก!CZ31"")"),0)</f>
        <v>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IFERROR(__xludf.DUMMYFUNCTION("IMPORTRANGE(""https://docs.google.com/spreadsheets/d/1Yj_ptqi66GCucihVvJfMjLAmec39IyEx_6qawtMGysU/edit?usp=sharing"",""สบก!DA31"")"),0)</f>
        <v>0</v>
      </c>
      <c r="M318" s="52"/>
      <c r="N318" s="52">
        <f ca="1">IFERROR(__xludf.DUMMYFUNCTION("IMPORTRANGE(""https://docs.google.com/spreadsheets/d/1Yj_ptqi66GCucihVvJfMjLAmec39IyEx_6qawtMGysU/edit?usp=sharing"",""สบก!DE31"")"),0)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IFERROR(__xludf.DUMMYFUNCTION("IMPORTRANGE(""https://docs.google.com/spreadsheets/d/11923uPwbBZFjjGgGUA6NLw09EwE0CqkOc4q9oUmW1yo/edit?usp=sharing"",""แม่ฮ่องสอน!J220"")"),0)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IFERROR(__xludf.DUMMYFUNCTION("IMPORTRANGE(""https://docs.google.com/spreadsheets/d/11923uPwbBZFjjGgGUA6NLw09EwE0CqkOc4q9oUmW1yo/edit?usp=sharing"",""แม่ฮ่องสอน!J221"")"),0)</f>
        <v>0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IFERROR(__xludf.DUMMYFUNCTION("IMPORTRANGE(""https://docs.google.com/spreadsheets/d/11923uPwbBZFjjGgGUA6NLw09EwE0CqkOc4q9oUmW1yo/edit?usp=sharing"",""แม่ฮ่องสอน!J222"")"),0)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IFERROR(__xludf.DUMMYFUNCTION("IMPORTRANGE(""https://docs.google.com/spreadsheets/d/11923uPwbBZFjjGgGUA6NLw09EwE0CqkOc4q9oUmW1yo/edit?usp=sharing"",""แม่ฮ่องสอน!J223"")"),0)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IFERROR(__xludf.DUMMYFUNCTION("IMPORTRANGE(""https://docs.google.com/spreadsheets/d/11923uPwbBZFjjGgGUA6NLw09EwE0CqkOc4q9oUmW1yo/edit?usp=sharing"",""แม่ฮ่องสอน!I224"")"),0)</f>
        <v>0</v>
      </c>
      <c r="J324" s="205">
        <f ca="1">IFERROR(__xludf.DUMMYFUNCTION("IMPORTRANGE(""https://docs.google.com/spreadsheets/d/11923uPwbBZFjjGgGUA6NLw09EwE0CqkOc4q9oUmW1yo/edit?usp=sharing"",""แม่ฮ่องสอน!J224"")"),0)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IFERROR(__xludf.DUMMYFUNCTION("IMPORTRANGE(""https://docs.google.com/spreadsheets/d/11923uPwbBZFjjGgGUA6NLw09EwE0CqkOc4q9oUmW1yo/edit?usp=sharing"",""แม่ฮ่องสอน!J225"")"),0)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IFERROR(__xludf.DUMMYFUNCTION("IMPORTRANGE(""https://docs.google.com/spreadsheets/d/11923uPwbBZFjjGgGUA6NLw09EwE0CqkOc4q9oUmW1yo/edit?usp=sharing"",""แม่ฮ่องสอน!J226"")"),0)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IFERROR(__xludf.DUMMYFUNCTION("IMPORTRANGE(""https://docs.google.com/spreadsheets/d/11923uPwbBZFjjGgGUA6NLw09EwE0CqkOc4q9oUmW1yo/edit?usp=sharing"",""แม่ฮ่องสอน!I228"")"),95)</f>
        <v>95</v>
      </c>
      <c r="J328" s="340">
        <f ca="1">IFERROR(__xludf.DUMMYFUNCTION("IMPORTRANGE(""https://docs.google.com/spreadsheets/d/11923uPwbBZFjjGgGUA6NLw09EwE0CqkOc4q9oUmW1yo/edit?usp=sharing"",""แม่ฮ่องสอน!J228"")"),81)</f>
        <v>81</v>
      </c>
      <c r="K328" s="318">
        <f ca="1">IF(I328&gt;0,J328*100/I328,0)</f>
        <v>85.263157894736835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873740</v>
      </c>
      <c r="M329" s="154">
        <f t="shared" ca="1" si="98"/>
        <v>673850</v>
      </c>
      <c r="N329" s="154">
        <f t="shared" ca="1" si="98"/>
        <v>502038.4</v>
      </c>
      <c r="O329" s="153">
        <f t="shared" ref="O329:O331" ca="1" si="99">IF(L329&gt;0,N329*100/L329,0)</f>
        <v>57.458557465607619</v>
      </c>
      <c r="P329" s="153">
        <f t="shared" ref="P329:P331" ca="1" si="100">IF(M329&gt;0,N329*100/M329,0)</f>
        <v>74.50299027973584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873740</v>
      </c>
      <c r="M331" s="90">
        <f t="shared" ca="1" si="102"/>
        <v>673850</v>
      </c>
      <c r="N331" s="90">
        <f t="shared" ca="1" si="102"/>
        <v>502038.4</v>
      </c>
      <c r="O331" s="158">
        <f t="shared" ca="1" si="99"/>
        <v>57.458557465607619</v>
      </c>
      <c r="P331" s="158">
        <f t="shared" ca="1" si="100"/>
        <v>74.50299027973584</v>
      </c>
    </row>
    <row r="332" spans="1:16" ht="21.75" customHeight="1">
      <c r="A332" s="159"/>
      <c r="B332" s="160"/>
      <c r="C332" s="160" t="s">
        <v>16</v>
      </c>
      <c r="D332" s="570" t="s">
        <v>20</v>
      </c>
      <c r="E332" s="565"/>
      <c r="F332" s="565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825940</v>
      </c>
      <c r="M333" s="169">
        <f ca="1">IFERROR(__xludf.DUMMYFUNCTION("IMPORTRANGE(""https://docs.google.com/spreadsheets/d/1Yj_ptqi66GCucihVvJfMjLAmec39IyEx_6qawtMGysU/edit?usp=sharing"",""สบก!DL31"")"),626050)</f>
        <v>626050</v>
      </c>
      <c r="N333" s="170">
        <f ca="1">IFERROR(__xludf.DUMMYFUNCTION("IMPORTRANGE(""https://docs.google.com/spreadsheets/d/1Yj_ptqi66GCucihVvJfMjLAmec39IyEx_6qawtMGysU/edit?usp=sharing"",""สบก!DM31"")"),454238.4)</f>
        <v>454238.4</v>
      </c>
      <c r="O333" s="170">
        <f ca="1">IF(L333&gt;0,N333*100/L333,0)</f>
        <v>54.996537278736952</v>
      </c>
      <c r="P333" s="170">
        <f ca="1">IF(M333&gt;0,N333*100/M333,0)</f>
        <v>72.556249500838589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IFERROR(__xludf.DUMMYFUNCTION("IMPORTRANGE(""https://docs.google.com/spreadsheets/d/1Yj_ptqi66GCucihVvJfMjLAmec39IyEx_6qawtMGysU/edit?usp=sharing"",""สบก!DH31"")"),574800)</f>
        <v>574800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IFERROR(__xludf.DUMMYFUNCTION("IMPORTRANGE(""https://docs.google.com/spreadsheets/d/1Yj_ptqi66GCucihVvJfMjLAmec39IyEx_6qawtMGysU/edit?usp=sharing"",""สบก!DI31"")"),251140)</f>
        <v>251140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IFERROR(__xludf.DUMMYFUNCTION("IMPORTRANGE(""https://docs.google.com/spreadsheets/d/1Yj_ptqi66GCucihVvJfMjLAmec39IyEx_6qawtMGysU/edit?usp=sharing"",""สบก!DJ31"")"),47800)</f>
        <v>47800</v>
      </c>
      <c r="M337" s="52">
        <f ca="1">L337</f>
        <v>47800</v>
      </c>
      <c r="N337" s="52">
        <f ca="1">IFERROR(__xludf.DUMMYFUNCTION("IMPORTRANGE(""https://docs.google.com/spreadsheets/d/1Yj_ptqi66GCucihVvJfMjLAmec39IyEx_6qawtMGysU/edit?usp=sharing"",""สบก!DN31"")"),47800)</f>
        <v>47800</v>
      </c>
      <c r="O337" s="52">
        <f ca="1">IF(L337&gt;0,N337*100/L337,0)</f>
        <v>100</v>
      </c>
      <c r="P337" s="52">
        <f ca="1">IF(M337&gt;0,N337*100/M337,0)</f>
        <v>100</v>
      </c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IFERROR(__xludf.DUMMYFUNCTION("IMPORTRANGE(""https://docs.google.com/spreadsheets/d/11923uPwbBZFjjGgGUA6NLw09EwE0CqkOc4q9oUmW1yo/edit?usp=sharing"",""แม่ฮ่องสอน!I234"")"),0)</f>
        <v>0</v>
      </c>
      <c r="J339" s="189">
        <f ca="1">IFERROR(__xludf.DUMMYFUNCTION("IMPORTRANGE(""https://docs.google.com/spreadsheets/d/11923uPwbBZFjjGgGUA6NLw09EwE0CqkOc4q9oUmW1yo/edit?usp=sharing"",""แม่ฮ่องสอน!J234"")"),40)</f>
        <v>40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IFERROR(__xludf.DUMMYFUNCTION("IMPORTRANGE(""https://docs.google.com/spreadsheets/d/11923uPwbBZFjjGgGUA6NLw09EwE0CqkOc4q9oUmW1yo/edit?usp=sharing"",""แม่ฮ่องสอน!I235"")"),150)</f>
        <v>150</v>
      </c>
      <c r="J340" s="189">
        <f ca="1">IFERROR(__xludf.DUMMYFUNCTION("IMPORTRANGE(""https://docs.google.com/spreadsheets/d/11923uPwbBZFjjGgGUA6NLw09EwE0CqkOc4q9oUmW1yo/edit?usp=sharing"",""แม่ฮ่องสอน!J235"")"),76.99)</f>
        <v>76.989999999999995</v>
      </c>
      <c r="K340" s="343">
        <f t="shared" ca="1" si="103"/>
        <v>51.326666666666661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IFERROR(__xludf.DUMMYFUNCTION("IMPORTRANGE(""https://docs.google.com/spreadsheets/d/11923uPwbBZFjjGgGUA6NLw09EwE0CqkOc4q9oUmW1yo/edit?usp=sharing"",""แม่ฮ่องสอน!I236"")"),95)</f>
        <v>95</v>
      </c>
      <c r="J341" s="189">
        <f ca="1">IFERROR(__xludf.DUMMYFUNCTION("IMPORTRANGE(""https://docs.google.com/spreadsheets/d/11923uPwbBZFjjGgGUA6NLw09EwE0CqkOc4q9oUmW1yo/edit?usp=sharing"",""แม่ฮ่องสอน!J236"")"),84)</f>
        <v>84</v>
      </c>
      <c r="K341" s="343">
        <f t="shared" ca="1" si="103"/>
        <v>88.421052631578945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IFERROR(__xludf.DUMMYFUNCTION("IMPORTRANGE(""https://docs.google.com/spreadsheets/d/11923uPwbBZFjjGgGUA6NLw09EwE0CqkOc4q9oUmW1yo/edit?usp=sharing"",""แม่ฮ่องสอน!I237"")"),0)</f>
        <v>0</v>
      </c>
      <c r="J342" s="189">
        <f ca="1">IFERROR(__xludf.DUMMYFUNCTION("IMPORTRANGE(""https://docs.google.com/spreadsheets/d/11923uPwbBZFjjGgGUA6NLw09EwE0CqkOc4q9oUmW1yo/edit?usp=sharing"",""แม่ฮ่องสอน!J237"")"),269.3)</f>
        <v>269.3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IFERROR(__xludf.DUMMYFUNCTION("IMPORTRANGE(""https://docs.google.com/spreadsheets/d/11923uPwbBZFjjGgGUA6NLw09EwE0CqkOc4q9oUmW1yo/edit?usp=sharing"",""แม่ฮ่องสอน!I238"")"),95)</f>
        <v>95</v>
      </c>
      <c r="J343" s="189">
        <f ca="1">IFERROR(__xludf.DUMMYFUNCTION("IMPORTRANGE(""https://docs.google.com/spreadsheets/d/11923uPwbBZFjjGgGUA6NLw09EwE0CqkOc4q9oUmW1yo/edit?usp=sharing"",""แม่ฮ่องสอน!J238"")"),0)</f>
        <v>0</v>
      </c>
      <c r="K343" s="343">
        <f t="shared" ca="1" si="103"/>
        <v>0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IFERROR(__xludf.DUMMYFUNCTION("IMPORTRANGE(""https://docs.google.com/spreadsheets/d/11923uPwbBZFjjGgGUA6NLw09EwE0CqkOc4q9oUmW1yo/edit?usp=sharing"",""แม่ฮ่องสอน!I239"")"),0)</f>
        <v>0</v>
      </c>
      <c r="J344" s="189">
        <f ca="1">IFERROR(__xludf.DUMMYFUNCTION("IMPORTRANGE(""https://docs.google.com/spreadsheets/d/11923uPwbBZFjjGgGUA6NLw09EwE0CqkOc4q9oUmW1yo/edit?usp=sharing"",""แม่ฮ่องสอน!J239"")"),0)</f>
        <v>0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IFERROR(__xludf.DUMMYFUNCTION("IMPORTRANGE(""https://docs.google.com/spreadsheets/d/11923uPwbBZFjjGgGUA6NLw09EwE0CqkOc4q9oUmW1yo/edit?usp=sharing"",""แม่ฮ่องสอน!I240"")"),95)</f>
        <v>95</v>
      </c>
      <c r="J345" s="189">
        <f ca="1">IFERROR(__xludf.DUMMYFUNCTION("IMPORTRANGE(""https://docs.google.com/spreadsheets/d/11923uPwbBZFjjGgGUA6NLw09EwE0CqkOc4q9oUmW1yo/edit?usp=sharing"",""แม่ฮ่องสอน!J240"")"),81)</f>
        <v>81</v>
      </c>
      <c r="K345" s="343">
        <f t="shared" ca="1" si="103"/>
        <v>85.263157894736835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IFERROR(__xludf.DUMMYFUNCTION("IMPORTRANGE(""https://docs.google.com/spreadsheets/d/11923uPwbBZFjjGgGUA6NLw09EwE0CqkOc4q9oUmW1yo/edit?usp=sharing"",""แม่ฮ่องสอน!I241"")"),0)</f>
        <v>0</v>
      </c>
      <c r="J346" s="189">
        <f ca="1">IFERROR(__xludf.DUMMYFUNCTION("IMPORTRANGE(""https://docs.google.com/spreadsheets/d/11923uPwbBZFjjGgGUA6NLw09EwE0CqkOc4q9oUmW1yo/edit?usp=sharing"",""แม่ฮ่องสอน!J241"")"),267.79)</f>
        <v>267.79000000000002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IFERROR(__xludf.DUMMYFUNCTION("IMPORTRANGE(""https://docs.google.com/spreadsheets/d/11923uPwbBZFjjGgGUA6NLw09EwE0CqkOc4q9oUmW1yo/edit?usp=sharing"",""แม่ฮ่องสอน!L242"")"),1083727)</f>
        <v>1083727</v>
      </c>
      <c r="M347" s="359"/>
      <c r="N347" s="359">
        <f ca="1">IFERROR(__xludf.DUMMYFUNCTION("IMPORTRANGE(""https://docs.google.com/spreadsheets/d/11923uPwbBZFjjGgGUA6NLw09EwE0CqkOc4q9oUmW1yo/edit?usp=sharing"",""แม่ฮ่องสอน!M242"")"),682254)</f>
        <v>682254</v>
      </c>
      <c r="O347" s="359">
        <f ca="1">+IF(L347&gt;0,N347*100/L347,0)</f>
        <v>62.954415641577633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IFERROR(__xludf.DUMMYFUNCTION("IMPORTRANGE(""https://docs.google.com/spreadsheets/d/11923uPwbBZFjjGgGUA6NLw09EwE0CqkOc4q9oUmW1yo/edit?usp=sharing"",""แม่ฮ่องสอน!I244"")"),110)</f>
        <v>110</v>
      </c>
      <c r="J349" s="372">
        <f ca="1">IFERROR(__xludf.DUMMYFUNCTION("IMPORTRANGE(""https://docs.google.com/spreadsheets/d/11923uPwbBZFjjGgGUA6NLw09EwE0CqkOc4q9oUmW1yo/edit?usp=sharing"",""แม่ฮ่องสอน!J244"")"),110)</f>
        <v>110</v>
      </c>
      <c r="K349" s="373">
        <f t="shared" ref="K349:K350" ca="1" si="104">IF(I349&gt;0,J349*100/I349,0)</f>
        <v>100</v>
      </c>
      <c r="L349" s="374">
        <f ca="1">IFERROR(__xludf.DUMMYFUNCTION("IMPORTRANGE(""https://docs.google.com/spreadsheets/d/11923uPwbBZFjjGgGUA6NLw09EwE0CqkOc4q9oUmW1yo/edit?usp=sharing"",""แม่ฮ่องสอน!L244"")"),353580)</f>
        <v>353580</v>
      </c>
      <c r="M349" s="374"/>
      <c r="N349" s="374">
        <f ca="1">IFERROR(__xludf.DUMMYFUNCTION("IMPORTRANGE(""https://docs.google.com/spreadsheets/d/11923uPwbBZFjjGgGUA6NLw09EwE0CqkOc4q9oUmW1yo/edit?usp=sharing"",""แม่ฮ่องสอน!M244"")"),260436)</f>
        <v>260436</v>
      </c>
      <c r="O349" s="374">
        <f ca="1">+IF(L349&gt;0,N349*100/L349,0)</f>
        <v>73.656881045307998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IFERROR(__xludf.DUMMYFUNCTION("IMPORTRANGE(""https://docs.google.com/spreadsheets/d/11923uPwbBZFjjGgGUA6NLw09EwE0CqkOc4q9oUmW1yo/edit?usp=sharing"",""แม่ฮ่องสอน!I245"")"),50)</f>
        <v>50</v>
      </c>
      <c r="J350" s="372">
        <f ca="1">IFERROR(__xludf.DUMMYFUNCTION("IMPORTRANGE(""https://docs.google.com/spreadsheets/d/11923uPwbBZFjjGgGUA6NLw09EwE0CqkOc4q9oUmW1yo/edit?usp=sharing"",""แม่ฮ่องสอน!J245"")"),50)</f>
        <v>50</v>
      </c>
      <c r="K350" s="373">
        <f t="shared" ca="1" si="104"/>
        <v>100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IFERROR(__xludf.DUMMYFUNCTION("IMPORTRANGE(""https://docs.google.com/spreadsheets/d/11923uPwbBZFjjGgGUA6NLw09EwE0CqkOc4q9oUmW1yo/edit?usp=sharing"",""แม่ฮ่องสอน!L246"")"),0)</f>
        <v>0</v>
      </c>
      <c r="M351" s="166"/>
      <c r="N351" s="166">
        <f ca="1">IFERROR(__xludf.DUMMYFUNCTION("IMPORTRANGE(""https://docs.google.com/spreadsheets/d/11923uPwbBZFjjGgGUA6NLw09EwE0CqkOc4q9oUmW1yo/edit?usp=sharing"",""แม่ฮ่องสอน!M246"")"),0)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IFERROR(__xludf.DUMMYFUNCTION("IMPORTRANGE(""https://docs.google.com/spreadsheets/d/11923uPwbBZFjjGgGUA6NLw09EwE0CqkOc4q9oUmW1yo/edit?usp=sharing"",""แม่ฮ่องสอน!L247"")"),353580)</f>
        <v>353580</v>
      </c>
      <c r="M352" s="167"/>
      <c r="N352" s="166">
        <f ca="1">IFERROR(__xludf.DUMMYFUNCTION("IMPORTRANGE(""https://docs.google.com/spreadsheets/d/11923uPwbBZFjjGgGUA6NLw09EwE0CqkOc4q9oUmW1yo/edit?usp=sharing"",""แม่ฮ่องสอน!M247"")"),260436)</f>
        <v>260436</v>
      </c>
      <c r="O352" s="167">
        <f t="shared" ca="1" si="105"/>
        <v>73.656881045307998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IFERROR(__xludf.DUMMYFUNCTION("IMPORTRANGE(""https://docs.google.com/spreadsheets/d/11923uPwbBZFjjGgGUA6NLw09EwE0CqkOc4q9oUmW1yo/edit?usp=sharing"",""แม่ฮ่องสอน!L248"")"),0)</f>
        <v>0</v>
      </c>
      <c r="M353" s="170"/>
      <c r="N353" s="170">
        <f ca="1">IFERROR(__xludf.DUMMYFUNCTION("IMPORTRANGE(""https://docs.google.com/spreadsheets/d/11923uPwbBZFjjGgGUA6NLw09EwE0CqkOc4q9oUmW1yo/edit?usp=sharing"",""แม่ฮ่องสอน!M248"")"),0)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IFERROR(__xludf.DUMMYFUNCTION("IMPORTRANGE(""https://docs.google.com/spreadsheets/d/11923uPwbBZFjjGgGUA6NLw09EwE0CqkOc4q9oUmW1yo/edit?usp=sharing"",""แม่ฮ่องสอน!L249"")"),353580)</f>
        <v>353580</v>
      </c>
      <c r="M354" s="170"/>
      <c r="N354" s="169">
        <f ca="1">IFERROR(__xludf.DUMMYFUNCTION("IMPORTRANGE(""https://docs.google.com/spreadsheets/d/11923uPwbBZFjjGgGUA6NLw09EwE0CqkOc4q9oUmW1yo/edit?usp=sharing"",""แม่ฮ่องสอน!M249"")"),260436)</f>
        <v>260436</v>
      </c>
      <c r="O354" s="170">
        <f t="shared" ca="1" si="105"/>
        <v>73.656881045307998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IFERROR(__xludf.DUMMYFUNCTION("IMPORTRANGE(""https://docs.google.com/spreadsheets/d/11923uPwbBZFjjGgGUA6NLw09EwE0CqkOc4q9oUmW1yo/edit?usp=sharing"",""แม่ฮ่องสอน!M250"")"),61800)</f>
        <v>61800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IFERROR(__xludf.DUMMYFUNCTION("IMPORTRANGE(""https://docs.google.com/spreadsheets/d/11923uPwbBZFjjGgGUA6NLw09EwE0CqkOc4q9oUmW1yo/edit?usp=sharing"",""แม่ฮ่องสอน!M251"")"),105000)</f>
        <v>105000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IFERROR(__xludf.DUMMYFUNCTION("IMPORTRANGE(""https://docs.google.com/spreadsheets/d/11923uPwbBZFjjGgGUA6NLw09EwE0CqkOc4q9oUmW1yo/edit?usp=sharing"",""แม่ฮ่องสอน!M252"")"),63516)</f>
        <v>63516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IFERROR(__xludf.DUMMYFUNCTION("IMPORTRANGE(""https://docs.google.com/spreadsheets/d/11923uPwbBZFjjGgGUA6NLw09EwE0CqkOc4q9oUmW1yo/edit?usp=sharing"",""แม่ฮ่องสอน!M253"")"),30120)</f>
        <v>30120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IFERROR(__xludf.DUMMYFUNCTION("IMPORTRANGE(""https://docs.google.com/spreadsheets/d/11923uPwbBZFjjGgGUA6NLw09EwE0CqkOc4q9oUmW1yo/edit?usp=sharing"",""แม่ฮ่องสอน!J255"")"),0)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IFERROR(__xludf.DUMMYFUNCTION("IMPORTRANGE(""https://docs.google.com/spreadsheets/d/11923uPwbBZFjjGgGUA6NLw09EwE0CqkOc4q9oUmW1yo/edit?usp=sharing"",""แม่ฮ่องสอน!J256"")"),1)</f>
        <v>1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IFERROR(__xludf.DUMMYFUNCTION("IMPORTRANGE(""https://docs.google.com/spreadsheets/d/11923uPwbBZFjjGgGUA6NLw09EwE0CqkOc4q9oUmW1yo/edit?usp=sharing"",""แม่ฮ่องสอน!J257"")"),1)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IFERROR(__xludf.DUMMYFUNCTION("IMPORTRANGE(""https://docs.google.com/spreadsheets/d/11923uPwbBZFjjGgGUA6NLw09EwE0CqkOc4q9oUmW1yo/edit?usp=sharing"",""แม่ฮ่องสอน!J258"")"),1)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IFERROR(__xludf.DUMMYFUNCTION("IMPORTRANGE(""https://docs.google.com/spreadsheets/d/11923uPwbBZFjjGgGUA6NLw09EwE0CqkOc4q9oUmW1yo/edit?usp=sharing"",""แม่ฮ่องสอน!J166"")"),0)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IFERROR(__xludf.DUMMYFUNCTION("IMPORTRANGE(""https://docs.google.com/spreadsheets/d/11923uPwbBZFjjGgGUA6NLw09EwE0CqkOc4q9oUmW1yo/edit?usp=sharing"",""แม่ฮ่องสอน!J166"")"),0)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IFERROR(__xludf.DUMMYFUNCTION("IMPORTRANGE(""https://docs.google.com/spreadsheets/d/11923uPwbBZFjjGgGUA6NLw09EwE0CqkOc4q9oUmW1yo/edit?usp=sharing"",""แม่ฮ่องสอน!J166"")"),0)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IFERROR(__xludf.DUMMYFUNCTION("IMPORTRANGE(""https://docs.google.com/spreadsheets/d/11923uPwbBZFjjGgGUA6NLw09EwE0CqkOc4q9oUmW1yo/edit?usp=sharing"",""แม่ฮ่องสอน!J166"")"),0)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IFERROR(__xludf.DUMMYFUNCTION("IMPORTRANGE(""https://docs.google.com/spreadsheets/d/11923uPwbBZFjjGgGUA6NLw09EwE0CqkOc4q9oUmW1yo/edit?usp=sharing"",""แม่ฮ่องสอน!I263"")"),50)</f>
        <v>50</v>
      </c>
      <c r="J368" s="189">
        <f ca="1">IFERROR(__xludf.DUMMYFUNCTION("IMPORTRANGE(""https://docs.google.com/spreadsheets/d/11923uPwbBZFjjGgGUA6NLw09EwE0CqkOc4q9oUmW1yo/edit?usp=sharing"",""แม่ฮ่องสอน!J263"")"),50)</f>
        <v>50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IFERROR(__xludf.DUMMYFUNCTION("IMPORTRANGE(""https://docs.google.com/spreadsheets/d/11923uPwbBZFjjGgGUA6NLw09EwE0CqkOc4q9oUmW1yo/edit?usp=sharing"",""แม่ฮ่องสอน!I164"")"),0)</f>
        <v>0</v>
      </c>
      <c r="J369" s="205">
        <f ca="1">IFERROR(__xludf.DUMMYFUNCTION("IMPORTRANGE(""https://docs.google.com/spreadsheets/d/11923uPwbBZFjjGgGUA6NLw09EwE0CqkOc4q9oUmW1yo/edit?usp=sharing"",""แม่ฮ่องสอน!J164"")"),0)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IFERROR(__xludf.DUMMYFUNCTION("IMPORTRANGE(""https://docs.google.com/spreadsheets/d/11923uPwbBZFjjGgGUA6NLw09EwE0CqkOc4q9oUmW1yo/edit?usp=sharing"",""แม่ฮ่องสอน!I265"")"),50)</f>
        <v>50</v>
      </c>
      <c r="J370" s="205">
        <f ca="1">IFERROR(__xludf.DUMMYFUNCTION("IMPORTRANGE(""https://docs.google.com/spreadsheets/d/11923uPwbBZFjjGgGUA6NLw09EwE0CqkOc4q9oUmW1yo/edit?usp=sharing"",""แม่ฮ่องสอน!J265"")"),0)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IFERROR(__xludf.DUMMYFUNCTION("IMPORTRANGE(""https://docs.google.com/spreadsheets/d/11923uPwbBZFjjGgGUA6NLw09EwE0CqkOc4q9oUmW1yo/edit?usp=sharing"",""แม่ฮ่องสอน!I164"")"),0)</f>
        <v>0</v>
      </c>
      <c r="J371" s="190">
        <f ca="1">IFERROR(__xludf.DUMMYFUNCTION("IMPORTRANGE(""https://docs.google.com/spreadsheets/d/11923uPwbBZFjjGgGUA6NLw09EwE0CqkOc4q9oUmW1yo/edit?usp=sharing"",""แม่ฮ่องสอน!J164"")"),0)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IFERROR(__xludf.DUMMYFUNCTION("IMPORTRANGE(""https://docs.google.com/spreadsheets/d/11923uPwbBZFjjGgGUA6NLw09EwE0CqkOc4q9oUmW1yo/edit?usp=sharing"",""แม่ฮ่องสอน!I267"")"),50)</f>
        <v>50</v>
      </c>
      <c r="J372" s="190">
        <f ca="1">IFERROR(__xludf.DUMMYFUNCTION("IMPORTRANGE(""https://docs.google.com/spreadsheets/d/11923uPwbBZFjjGgGUA6NLw09EwE0CqkOc4q9oUmW1yo/edit?usp=sharing"",""แม่ฮ่องสอน!J267"")"),50)</f>
        <v>50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IFERROR(__xludf.DUMMYFUNCTION("IMPORTRANGE(""https://docs.google.com/spreadsheets/d/11923uPwbBZFjjGgGUA6NLw09EwE0CqkOc4q9oUmW1yo/edit?usp=sharing"",""แม่ฮ่องสอน!I164"")"),0)</f>
        <v>0</v>
      </c>
      <c r="J373" s="205">
        <f ca="1">IFERROR(__xludf.DUMMYFUNCTION("IMPORTRANGE(""https://docs.google.com/spreadsheets/d/11923uPwbBZFjjGgGUA6NLw09EwE0CqkOc4q9oUmW1yo/edit?usp=sharing"",""แม่ฮ่องสอน!J164"")"),0)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IFERROR(__xludf.DUMMYFUNCTION("IMPORTRANGE(""https://docs.google.com/spreadsheets/d/11923uPwbBZFjjGgGUA6NLw09EwE0CqkOc4q9oUmW1yo/edit?usp=sharing"",""แม่ฮ่องสอน!I164"")"),0)</f>
        <v>0</v>
      </c>
      <c r="J374" s="189">
        <f ca="1">IFERROR(__xludf.DUMMYFUNCTION("IMPORTRANGE(""https://docs.google.com/spreadsheets/d/11923uPwbBZFjjGgGUA6NLw09EwE0CqkOc4q9oUmW1yo/edit?usp=sharing"",""แม่ฮ่องสอน!J164"")"),0)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IFERROR(__xludf.DUMMYFUNCTION("IMPORTRANGE(""https://docs.google.com/spreadsheets/d/11923uPwbBZFjjGgGUA6NLw09EwE0CqkOc4q9oUmW1yo/edit?usp=sharing"",""แม่ฮ่องสอน!I270"")"),110)</f>
        <v>110</v>
      </c>
      <c r="J375" s="189">
        <f ca="1">IFERROR(__xludf.DUMMYFUNCTION("IMPORTRANGE(""https://docs.google.com/spreadsheets/d/11923uPwbBZFjjGgGUA6NLw09EwE0CqkOc4q9oUmW1yo/edit?usp=sharing"",""แม่ฮ่องสอน!J270"")"),110)</f>
        <v>110</v>
      </c>
      <c r="K375" s="165">
        <f t="shared" ref="K375:K377" ca="1" si="107">IF(I375&gt;0,J375*100/I375,0)</f>
        <v>100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IFERROR(__xludf.DUMMYFUNCTION("IMPORTRANGE(""https://docs.google.com/spreadsheets/d/11923uPwbBZFjjGgGUA6NLw09EwE0CqkOc4q9oUmW1yo/edit?usp=sharing"",""แม่ฮ่องสอน!I271"")"),60)</f>
        <v>60</v>
      </c>
      <c r="J376" s="190">
        <f ca="1">IFERROR(__xludf.DUMMYFUNCTION("IMPORTRANGE(""https://docs.google.com/spreadsheets/d/11923uPwbBZFjjGgGUA6NLw09EwE0CqkOc4q9oUmW1yo/edit?usp=sharing"",""แม่ฮ่องสอน!J271"")"),60)</f>
        <v>60</v>
      </c>
      <c r="K376" s="165">
        <f t="shared" ca="1" si="107"/>
        <v>100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IFERROR(__xludf.DUMMYFUNCTION("IMPORTRANGE(""https://docs.google.com/spreadsheets/d/11923uPwbBZFjjGgGUA6NLw09EwE0CqkOc4q9oUmW1yo/edit?usp=sharing"",""แม่ฮ่องสอน!I272"")"),50)</f>
        <v>50</v>
      </c>
      <c r="J377" s="205">
        <f ca="1">IFERROR(__xludf.DUMMYFUNCTION("IMPORTRANGE(""https://docs.google.com/spreadsheets/d/11923uPwbBZFjjGgGUA6NLw09EwE0CqkOc4q9oUmW1yo/edit?usp=sharing"",""แม่ฮ่องสอน!J272"")"),50)</f>
        <v>50</v>
      </c>
      <c r="K377" s="165">
        <f t="shared" ca="1" si="107"/>
        <v>100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IFERROR(__xludf.DUMMYFUNCTION("IMPORTRANGE(""https://docs.google.com/spreadsheets/d/11923uPwbBZFjjGgGUA6NLw09EwE0CqkOc4q9oUmW1yo/edit?usp=sharing"",""แม่ฮ่องสอน!J273"")"),0)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IFERROR(__xludf.DUMMYFUNCTION("IMPORTRANGE(""https://docs.google.com/spreadsheets/d/11923uPwbBZFjjGgGUA6NLw09EwE0CqkOc4q9oUmW1yo/edit?usp=sharing"",""แม่ฮ่องสอน!J274"")"),0)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IFERROR(__xludf.DUMMYFUNCTION("IMPORTRANGE(""https://docs.google.com/spreadsheets/d/11923uPwbBZFjjGgGUA6NLw09EwE0CqkOc4q9oUmW1yo/edit?usp=sharing"",""แม่ฮ่องสอน!I275"")"),100)</f>
        <v>100</v>
      </c>
      <c r="J380" s="372">
        <f ca="1">IFERROR(__xludf.DUMMYFUNCTION("IMPORTRANGE(""https://docs.google.com/spreadsheets/d/11923uPwbBZFjjGgGUA6NLw09EwE0CqkOc4q9oUmW1yo/edit?usp=sharing"",""แม่ฮ่องสอน!J275"")"),0)</f>
        <v>0</v>
      </c>
      <c r="K380" s="373">
        <f t="shared" ref="K380:K381" ca="1" si="108">IF(I380&gt;0,J380*100/I380,0)</f>
        <v>0</v>
      </c>
      <c r="L380" s="374">
        <f ca="1">IFERROR(__xludf.DUMMYFUNCTION("IMPORTRANGE(""https://docs.google.com/spreadsheets/d/11923uPwbBZFjjGgGUA6NLw09EwE0CqkOc4q9oUmW1yo/edit?usp=sharing"",""แม่ฮ่องสอน!L275"")"),127660)</f>
        <v>127660</v>
      </c>
      <c r="M380" s="374"/>
      <c r="N380" s="374">
        <f ca="1">IFERROR(__xludf.DUMMYFUNCTION("IMPORTRANGE(""https://docs.google.com/spreadsheets/d/11923uPwbBZFjjGgGUA6NLw09EwE0CqkOc4q9oUmW1yo/edit?usp=sharing"",""แม่ฮ่องสอน!M275"")"),52870)</f>
        <v>52870</v>
      </c>
      <c r="O380" s="374">
        <f ca="1">+IF(L380&gt;0,N380*100/L380,0)</f>
        <v>41.414695284349051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IFERROR(__xludf.DUMMYFUNCTION("IMPORTRANGE(""https://docs.google.com/spreadsheets/d/11923uPwbBZFjjGgGUA6NLw09EwE0CqkOc4q9oUmW1yo/edit?usp=sharing"",""แม่ฮ่องสอน!I276"")"),10)</f>
        <v>10</v>
      </c>
      <c r="J381" s="372">
        <f ca="1">IFERROR(__xludf.DUMMYFUNCTION("IMPORTRANGE(""https://docs.google.com/spreadsheets/d/11923uPwbBZFjjGgGUA6NLw09EwE0CqkOc4q9oUmW1yo/edit?usp=sharing"",""แม่ฮ่องสอน!J276"")"),10)</f>
        <v>10</v>
      </c>
      <c r="K381" s="373">
        <f t="shared" ca="1" si="108"/>
        <v>100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IFERROR(__xludf.DUMMYFUNCTION("IMPORTRANGE(""https://docs.google.com/spreadsheets/d/11923uPwbBZFjjGgGUA6NLw09EwE0CqkOc4q9oUmW1yo/edit?usp=sharing"",""แม่ฮ่องสอน!L277"")"),0)</f>
        <v>0</v>
      </c>
      <c r="M382" s="166"/>
      <c r="N382" s="166">
        <f ca="1">IFERROR(__xludf.DUMMYFUNCTION("IMPORTRANGE(""https://docs.google.com/spreadsheets/d/11923uPwbBZFjjGgGUA6NLw09EwE0CqkOc4q9oUmW1yo/edit?usp=sharing"",""แม่ฮ่องสอน!M277"")"),0)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7"/>
      <c r="N383" s="167">
        <f ca="1">IFERROR(__xludf.DUMMYFUNCTION("IMPORTRANGE(""https://docs.google.com/spreadsheets/d/11923uPwbBZFjjGgGUA6NLw09EwE0CqkOc4q9oUmW1yo/edit?usp=sharing"",""แม่ฮ่องสอน!M278"")"),52870)</f>
        <v>52870</v>
      </c>
      <c r="O383" s="167">
        <f t="shared" ca="1" si="109"/>
        <v>41.414695284349051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IFERROR(__xludf.DUMMYFUNCTION("IMPORTRANGE(""https://docs.google.com/spreadsheets/d/11923uPwbBZFjjGgGUA6NLw09EwE0CqkOc4q9oUmW1yo/edit?usp=sharing"",""แม่ฮ่องสอน!L279"")"),0)</f>
        <v>0</v>
      </c>
      <c r="M384" s="170"/>
      <c r="N384" s="170">
        <f ca="1">IFERROR(__xludf.DUMMYFUNCTION("IMPORTRANGE(""https://docs.google.com/spreadsheets/d/11923uPwbBZFjjGgGUA6NLw09EwE0CqkOc4q9oUmW1yo/edit?usp=sharing"",""แม่ฮ่องสอน!M279"")"),0)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IFERROR(__xludf.DUMMYFUNCTION("IMPORTRANGE(""https://docs.google.com/spreadsheets/d/11923uPwbBZFjjGgGUA6NLw09EwE0CqkOc4q9oUmW1yo/edit?usp=sharing"",""แม่ฮ่องสอน!L280"")"),127660)</f>
        <v>127660</v>
      </c>
      <c r="M385" s="170"/>
      <c r="N385" s="169">
        <f ca="1">IFERROR(__xludf.DUMMYFUNCTION("IMPORTRANGE(""https://docs.google.com/spreadsheets/d/11923uPwbBZFjjGgGUA6NLw09EwE0CqkOc4q9oUmW1yo/edit?usp=sharing"",""แม่ฮ่องสอน!M280"")"),52870)</f>
        <v>52870</v>
      </c>
      <c r="O385" s="170">
        <f t="shared" ca="1" si="109"/>
        <v>41.414695284349051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IFERROR(__xludf.DUMMYFUNCTION("IMPORTRANGE(""https://docs.google.com/spreadsheets/d/11923uPwbBZFjjGgGUA6NLw09EwE0CqkOc4q9oUmW1yo/edit?usp=sharing"",""แม่ฮ่องสอน!M281"")"),41400)</f>
        <v>41400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IFERROR(__xludf.DUMMYFUNCTION("IMPORTRANGE(""https://docs.google.com/spreadsheets/d/11923uPwbBZFjjGgGUA6NLw09EwE0CqkOc4q9oUmW1yo/edit?usp=sharing"",""แม่ฮ่องสอน!M282"")"),0)</f>
        <v>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IFERROR(__xludf.DUMMYFUNCTION("IMPORTRANGE(""https://docs.google.com/spreadsheets/d/11923uPwbBZFjjGgGUA6NLw09EwE0CqkOc4q9oUmW1yo/edit?usp=sharing"",""แม่ฮ่องสอน!M283"")"),0)</f>
        <v>0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IFERROR(__xludf.DUMMYFUNCTION("IMPORTRANGE(""https://docs.google.com/spreadsheets/d/11923uPwbBZFjjGgGUA6NLw09EwE0CqkOc4q9oUmW1yo/edit?usp=sharing"",""แม่ฮ่องสอน!M284"")"),11470)</f>
        <v>11470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IFERROR(__xludf.DUMMYFUNCTION("IMPORTRANGE(""https://docs.google.com/spreadsheets/d/11923uPwbBZFjjGgGUA6NLw09EwE0CqkOc4q9oUmW1yo/edit?usp=sharing"",""แม่ฮ่องสอน!J286"")"),0)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IFERROR(__xludf.DUMMYFUNCTION("IMPORTRANGE(""https://docs.google.com/spreadsheets/d/11923uPwbBZFjjGgGUA6NLw09EwE0CqkOc4q9oUmW1yo/edit?usp=sharing"",""แม่ฮ่องสอน!J287"")"),1)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IFERROR(__xludf.DUMMYFUNCTION("IMPORTRANGE(""https://docs.google.com/spreadsheets/d/11923uPwbBZFjjGgGUA6NLw09EwE0CqkOc4q9oUmW1yo/edit?usp=sharing"",""แม่ฮ่องสอน!J288"")"),1)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IFERROR(__xludf.DUMMYFUNCTION("IMPORTRANGE(""https://docs.google.com/spreadsheets/d/11923uPwbBZFjjGgGUA6NLw09EwE0CqkOc4q9oUmW1yo/edit?usp=sharing"",""แม่ฮ่องสอน!J289"")"),1)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IFERROR(__xludf.DUMMYFUNCTION("IMPORTRANGE(""https://docs.google.com/spreadsheets/d/11923uPwbBZFjjGgGUA6NLw09EwE0CqkOc4q9oUmW1yo/edit?usp=sharing"",""แม่ฮ่องสอน!I291"")"),10)</f>
        <v>10</v>
      </c>
      <c r="J396" s="199">
        <f ca="1">IFERROR(__xludf.DUMMYFUNCTION("IMPORTRANGE(""https://docs.google.com/spreadsheets/d/11923uPwbBZFjjGgGUA6NLw09EwE0CqkOc4q9oUmW1yo/edit?usp=sharing"",""แม่ฮ่องสอน!J291"")"),10)</f>
        <v>10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IFERROR(__xludf.DUMMYFUNCTION("IMPORTRANGE(""https://docs.google.com/spreadsheets/d/11923uPwbBZFjjGgGUA6NLw09EwE0CqkOc4q9oUmW1yo/edit?usp=sharing"",""แม่ฮ่องสอน!I292"")"),100)</f>
        <v>100</v>
      </c>
      <c r="J397" s="199">
        <f ca="1">IFERROR(__xludf.DUMMYFUNCTION("IMPORTRANGE(""https://docs.google.com/spreadsheets/d/11923uPwbBZFjjGgGUA6NLw09EwE0CqkOc4q9oUmW1yo/edit?usp=sharing"",""แม่ฮ่องสอน!J292"")"),0)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IFERROR(__xludf.DUMMYFUNCTION("IMPORTRANGE(""https://docs.google.com/spreadsheets/d/11923uPwbBZFjjGgGUA6NLw09EwE0CqkOc4q9oUmW1yo/edit?usp=sharing"",""แม่ฮ่องสอน!I293"")"),10)</f>
        <v>10</v>
      </c>
      <c r="J398" s="199">
        <f ca="1">IFERROR(__xludf.DUMMYFUNCTION("IMPORTRANGE(""https://docs.google.com/spreadsheets/d/11923uPwbBZFjjGgGUA6NLw09EwE0CqkOc4q9oUmW1yo/edit?usp=sharing"",""แม่ฮ่องสอน!J293"")"),0)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IFERROR(__xludf.DUMMYFUNCTION("IMPORTRANGE(""https://docs.google.com/spreadsheets/d/11923uPwbBZFjjGgGUA6NLw09EwE0CqkOc4q9oUmW1yo/edit?usp=sharing"",""แม่ฮ่องสอน!J294"")"),0)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IFERROR(__xludf.DUMMYFUNCTION("IMPORTRANGE(""https://docs.google.com/spreadsheets/d/11923uPwbBZFjjGgGUA6NLw09EwE0CqkOc4q9oUmW1yo/edit?usp=sharing"",""แม่ฮ่องสอน!J295"")"),0)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IFERROR(__xludf.DUMMYFUNCTION("IMPORTRANGE(""https://docs.google.com/spreadsheets/d/11923uPwbBZFjjGgGUA6NLw09EwE0CqkOc4q9oUmW1yo/edit?usp=sharing"",""แม่ฮ่องสอน!I296"")"),93)</f>
        <v>93</v>
      </c>
      <c r="J401" s="372">
        <f ca="1">IFERROR(__xludf.DUMMYFUNCTION("IMPORTRANGE(""https://docs.google.com/spreadsheets/d/11923uPwbBZFjjGgGUA6NLw09EwE0CqkOc4q9oUmW1yo/edit?usp=sharing"",""แม่ฮ่องสอน!J296"")"),93)</f>
        <v>93</v>
      </c>
      <c r="K401" s="373">
        <f t="shared" ref="K401:K402" ca="1" si="111">IF(I401&gt;0,J401*100/I401,0)</f>
        <v>100</v>
      </c>
      <c r="L401" s="374">
        <f ca="1">IFERROR(__xludf.DUMMYFUNCTION("IMPORTRANGE(""https://docs.google.com/spreadsheets/d/11923uPwbBZFjjGgGUA6NLw09EwE0CqkOc4q9oUmW1yo/edit?usp=sharing"",""แม่ฮ่องสอน!L296"")"),104590)</f>
        <v>104590</v>
      </c>
      <c r="M401" s="374"/>
      <c r="N401" s="374">
        <f ca="1">IFERROR(__xludf.DUMMYFUNCTION("IMPORTRANGE(""https://docs.google.com/spreadsheets/d/11923uPwbBZFjjGgGUA6NLw09EwE0CqkOc4q9oUmW1yo/edit?usp=sharing"",""แม่ฮ่องสอน!M296"")"),101650)</f>
        <v>101650</v>
      </c>
      <c r="O401" s="374">
        <f ca="1">+IF(L401&gt;0,N401*100/L401,0)</f>
        <v>97.189023807247352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IFERROR(__xludf.DUMMYFUNCTION("IMPORTRANGE(""https://docs.google.com/spreadsheets/d/11923uPwbBZFjjGgGUA6NLw09EwE0CqkOc4q9oUmW1yo/edit?usp=sharing"",""แม่ฮ่องสอน!I297"")"),31)</f>
        <v>31</v>
      </c>
      <c r="J402" s="372">
        <f ca="1">IFERROR(__xludf.DUMMYFUNCTION("IMPORTRANGE(""https://docs.google.com/spreadsheets/d/11923uPwbBZFjjGgGUA6NLw09EwE0CqkOc4q9oUmW1yo/edit?usp=sharing"",""แม่ฮ่องสอน!J297"")"),31)</f>
        <v>31</v>
      </c>
      <c r="K402" s="373">
        <f t="shared" ca="1" si="111"/>
        <v>100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IFERROR(__xludf.DUMMYFUNCTION("IMPORTRANGE(""https://docs.google.com/spreadsheets/d/11923uPwbBZFjjGgGUA6NLw09EwE0CqkOc4q9oUmW1yo/edit?usp=sharing"",""แม่ฮ่องสอน!L298"")"),0)</f>
        <v>0</v>
      </c>
      <c r="M403" s="166"/>
      <c r="N403" s="170">
        <f ca="1">IFERROR(__xludf.DUMMYFUNCTION("IMPORTRANGE(""https://docs.google.com/spreadsheets/d/11923uPwbBZFjjGgGUA6NLw09EwE0CqkOc4q9oUmW1yo/edit?usp=sharing"",""แม่ฮ่องสอน!M298"")"),0)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7"/>
      <c r="N404" s="170">
        <f ca="1">IFERROR(__xludf.DUMMYFUNCTION("IMPORTRANGE(""https://docs.google.com/spreadsheets/d/11923uPwbBZFjjGgGUA6NLw09EwE0CqkOc4q9oUmW1yo/edit?usp=sharing"",""แม่ฮ่องสอน!M299"")"),101650)</f>
        <v>101650</v>
      </c>
      <c r="O404" s="170">
        <f t="shared" ca="1" si="112"/>
        <v>97.189023807247352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IFERROR(__xludf.DUMMYFUNCTION("IMPORTRANGE(""https://docs.google.com/spreadsheets/d/11923uPwbBZFjjGgGUA6NLw09EwE0CqkOc4q9oUmW1yo/edit?usp=sharing"",""แม่ฮ่องสอน!L300"")"),0)</f>
        <v>0</v>
      </c>
      <c r="M405" s="170"/>
      <c r="N405" s="170">
        <f ca="1">IFERROR(__xludf.DUMMYFUNCTION("IMPORTRANGE(""https://docs.google.com/spreadsheets/d/11923uPwbBZFjjGgGUA6NLw09EwE0CqkOc4q9oUmW1yo/edit?usp=sharing"",""แม่ฮ่องสอน!M300"")"),0)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IFERROR(__xludf.DUMMYFUNCTION("IMPORTRANGE(""https://docs.google.com/spreadsheets/d/11923uPwbBZFjjGgGUA6NLw09EwE0CqkOc4q9oUmW1yo/edit?usp=sharing"",""แม่ฮ่องสอน!L301"")"),104590)</f>
        <v>104590</v>
      </c>
      <c r="M406" s="170"/>
      <c r="N406" s="170">
        <f ca="1">IFERROR(__xludf.DUMMYFUNCTION("IMPORTRANGE(""https://docs.google.com/spreadsheets/d/11923uPwbBZFjjGgGUA6NLw09EwE0CqkOc4q9oUmW1yo/edit?usp=sharing"",""แม่ฮ่องสอน!M301"")"),101650)</f>
        <v>101650</v>
      </c>
      <c r="O406" s="170">
        <f t="shared" ca="1" si="112"/>
        <v>97.189023807247352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IFERROR(__xludf.DUMMYFUNCTION("IMPORTRANGE(""https://docs.google.com/spreadsheets/d/11923uPwbBZFjjGgGUA6NLw09EwE0CqkOc4q9oUmW1yo/edit?usp=sharing"",""แม่ฮ่องสอน!M302"")"),67070)</f>
        <v>67070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IFERROR(__xludf.DUMMYFUNCTION("IMPORTRANGE(""https://docs.google.com/spreadsheets/d/11923uPwbBZFjjGgGUA6NLw09EwE0CqkOc4q9oUmW1yo/edit?usp=sharing"",""แม่ฮ่องสอน!M303"")"),14700)</f>
        <v>14700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IFERROR(__xludf.DUMMYFUNCTION("IMPORTRANGE(""https://docs.google.com/spreadsheets/d/11923uPwbBZFjjGgGUA6NLw09EwE0CqkOc4q9oUmW1yo/edit?usp=sharing"",""แม่ฮ่องสอน!M304"")"),0)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IFERROR(__xludf.DUMMYFUNCTION("IMPORTRANGE(""https://docs.google.com/spreadsheets/d/11923uPwbBZFjjGgGUA6NLw09EwE0CqkOc4q9oUmW1yo/edit?usp=sharing"",""แม่ฮ่องสอน!M305"")"),19880)</f>
        <v>19880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IFERROR(__xludf.DUMMYFUNCTION("IMPORTRANGE(""https://docs.google.com/spreadsheets/d/11923uPwbBZFjjGgGUA6NLw09EwE0CqkOc4q9oUmW1yo/edit?usp=sharing"",""แม่ฮ่องสอน!J307"")"),0)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IFERROR(__xludf.DUMMYFUNCTION("IMPORTRANGE(""https://docs.google.com/spreadsheets/d/11923uPwbBZFjjGgGUA6NLw09EwE0CqkOc4q9oUmW1yo/edit?usp=sharing"",""แม่ฮ่องสอน!J308"")"),1)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IFERROR(__xludf.DUMMYFUNCTION("IMPORTRANGE(""https://docs.google.com/spreadsheets/d/11923uPwbBZFjjGgGUA6NLw09EwE0CqkOc4q9oUmW1yo/edit?usp=sharing"",""แม่ฮ่องสอน!J309"")"),1)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IFERROR(__xludf.DUMMYFUNCTION("IMPORTRANGE(""https://docs.google.com/spreadsheets/d/11923uPwbBZFjjGgGUA6NLw09EwE0CqkOc4q9oUmW1yo/edit?usp=sharing"",""แม่ฮ่องสอน!J310"")"),0)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IFERROR(__xludf.DUMMYFUNCTION("IMPORTRANGE(""https://docs.google.com/spreadsheets/d/11923uPwbBZFjjGgGUA6NLw09EwE0CqkOc4q9oUmW1yo/edit?usp=sharing"",""แม่ฮ่องสอน!I311"")"),31)</f>
        <v>31</v>
      </c>
      <c r="J416" s="202">
        <f ca="1">IFERROR(__xludf.DUMMYFUNCTION("IMPORTRANGE(""https://docs.google.com/spreadsheets/d/11923uPwbBZFjjGgGUA6NLw09EwE0CqkOc4q9oUmW1yo/edit?usp=sharing"",""แม่ฮ่องสอน!J311"")"),31)</f>
        <v>31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IFERROR(__xludf.DUMMYFUNCTION("IMPORTRANGE(""https://docs.google.com/spreadsheets/d/11923uPwbBZFjjGgGUA6NLw09EwE0CqkOc4q9oUmW1yo/edit?usp=sharing"",""แม่ฮ่องสอน!I312"")"),0)</f>
        <v>0</v>
      </c>
      <c r="J417" s="393">
        <f ca="1">IFERROR(__xludf.DUMMYFUNCTION("IMPORTRANGE(""https://docs.google.com/spreadsheets/d/11923uPwbBZFjjGgGUA6NLw09EwE0CqkOc4q9oUmW1yo/edit?usp=sharing"",""แม่ฮ่องสอน!J312"")"),0)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IFERROR(__xludf.DUMMYFUNCTION("IMPORTRANGE(""https://docs.google.com/spreadsheets/d/11923uPwbBZFjjGgGUA6NLw09EwE0CqkOc4q9oUmW1yo/edit?usp=sharing"",""แม่ฮ่องสอน!I313"")"),0)</f>
        <v>0</v>
      </c>
      <c r="J418" s="394">
        <f ca="1">IFERROR(__xludf.DUMMYFUNCTION("IMPORTRANGE(""https://docs.google.com/spreadsheets/d/11923uPwbBZFjjGgGUA6NLw09EwE0CqkOc4q9oUmW1yo/edit?usp=sharing"",""แม่ฮ่องสอน!J313"")"),0)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IFERROR(__xludf.DUMMYFUNCTION("IMPORTRANGE(""https://docs.google.com/spreadsheets/d/11923uPwbBZFjjGgGUA6NLw09EwE0CqkOc4q9oUmW1yo/edit?usp=sharing"",""แม่ฮ่องสอน!I314"")"),0)</f>
        <v>0</v>
      </c>
      <c r="J419" s="395">
        <f ca="1">IFERROR(__xludf.DUMMYFUNCTION("IMPORTRANGE(""https://docs.google.com/spreadsheets/d/11923uPwbBZFjjGgGUA6NLw09EwE0CqkOc4q9oUmW1yo/edit?usp=sharing"",""แม่ฮ่องสอน!J314"")"),0)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IFERROR(__xludf.DUMMYFUNCTION("IMPORTRANGE(""https://docs.google.com/spreadsheets/d/11923uPwbBZFjjGgGUA6NLw09EwE0CqkOc4q9oUmW1yo/edit?usp=sharing"",""แม่ฮ่องสอน!I315"")"),0)</f>
        <v>0</v>
      </c>
      <c r="J420" s="395">
        <f ca="1">IFERROR(__xludf.DUMMYFUNCTION("IMPORTRANGE(""https://docs.google.com/spreadsheets/d/11923uPwbBZFjjGgGUA6NLw09EwE0CqkOc4q9oUmW1yo/edit?usp=sharing"",""แม่ฮ่องสอน!J315"")"),0)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IFERROR(__xludf.DUMMYFUNCTION("IMPORTRANGE(""https://docs.google.com/spreadsheets/d/11923uPwbBZFjjGgGUA6NLw09EwE0CqkOc4q9oUmW1yo/edit?usp=sharing"",""แม่ฮ่องสอน!I316"")"),21)</f>
        <v>21</v>
      </c>
      <c r="J421" s="393">
        <f ca="1">IFERROR(__xludf.DUMMYFUNCTION("IMPORTRANGE(""https://docs.google.com/spreadsheets/d/11923uPwbBZFjjGgGUA6NLw09EwE0CqkOc4q9oUmW1yo/edit?usp=sharing"",""แม่ฮ่องสอน!J316"")"),21)</f>
        <v>21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IFERROR(__xludf.DUMMYFUNCTION("IMPORTRANGE(""https://docs.google.com/spreadsheets/d/11923uPwbBZFjjGgGUA6NLw09EwE0CqkOc4q9oUmW1yo/edit?usp=sharing"",""แม่ฮ่องสอน!I317"")"),63)</f>
        <v>63</v>
      </c>
      <c r="J422" s="394">
        <f ca="1">IFERROR(__xludf.DUMMYFUNCTION("IMPORTRANGE(""https://docs.google.com/spreadsheets/d/11923uPwbBZFjjGgGUA6NLw09EwE0CqkOc4q9oUmW1yo/edit?usp=sharing"",""แม่ฮ่องสอน!J317"")"),63)</f>
        <v>63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IFERROR(__xludf.DUMMYFUNCTION("IMPORTRANGE(""https://docs.google.com/spreadsheets/d/11923uPwbBZFjjGgGUA6NLw09EwE0CqkOc4q9oUmW1yo/edit?usp=sharing"",""แม่ฮ่องสอน!I318"")"),21)</f>
        <v>21</v>
      </c>
      <c r="J423" s="395">
        <f ca="1">IFERROR(__xludf.DUMMYFUNCTION("IMPORTRANGE(""https://docs.google.com/spreadsheets/d/11923uPwbBZFjjGgGUA6NLw09EwE0CqkOc4q9oUmW1yo/edit?usp=sharing"",""แม่ฮ่องสอน!J318"")"),21)</f>
        <v>21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IFERROR(__xludf.DUMMYFUNCTION("IMPORTRANGE(""https://docs.google.com/spreadsheets/d/11923uPwbBZFjjGgGUA6NLw09EwE0CqkOc4q9oUmW1yo/edit?usp=sharing"",""แม่ฮ่องสอน!I319"")"),21)</f>
        <v>21</v>
      </c>
      <c r="J424" s="395">
        <f ca="1">IFERROR(__xludf.DUMMYFUNCTION("IMPORTRANGE(""https://docs.google.com/spreadsheets/d/11923uPwbBZFjjGgGUA6NLw09EwE0CqkOc4q9oUmW1yo/edit?usp=sharing"",""แม่ฮ่องสอน!J319"")"),21)</f>
        <v>21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IFERROR(__xludf.DUMMYFUNCTION("IMPORTRANGE(""https://docs.google.com/spreadsheets/d/11923uPwbBZFjjGgGUA6NLw09EwE0CqkOc4q9oUmW1yo/edit?usp=sharing"",""แม่ฮ่องสอน!I320"")"),21)</f>
        <v>21</v>
      </c>
      <c r="J425" s="395">
        <f ca="1">IFERROR(__xludf.DUMMYFUNCTION("IMPORTRANGE(""https://docs.google.com/spreadsheets/d/11923uPwbBZFjjGgGUA6NLw09EwE0CqkOc4q9oUmW1yo/edit?usp=sharing"",""แม่ฮ่องสอน!J320"")"),21)</f>
        <v>21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IFERROR(__xludf.DUMMYFUNCTION("IMPORTRANGE(""https://docs.google.com/spreadsheets/d/11923uPwbBZFjjGgGUA6NLw09EwE0CqkOc4q9oUmW1yo/edit?usp=sharing"",""แม่ฮ่องสอน!I321"")"),10)</f>
        <v>10</v>
      </c>
      <c r="J426" s="393">
        <f ca="1">IFERROR(__xludf.DUMMYFUNCTION("IMPORTRANGE(""https://docs.google.com/spreadsheets/d/11923uPwbBZFjjGgGUA6NLw09EwE0CqkOc4q9oUmW1yo/edit?usp=sharing"",""แม่ฮ่องสอน!J321"")"),10)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IFERROR(__xludf.DUMMYFUNCTION("IMPORTRANGE(""https://docs.google.com/spreadsheets/d/11923uPwbBZFjjGgGUA6NLw09EwE0CqkOc4q9oUmW1yo/edit?usp=sharing"",""แม่ฮ่องสอน!I322"")"),30)</f>
        <v>30</v>
      </c>
      <c r="J427" s="394">
        <f ca="1">IFERROR(__xludf.DUMMYFUNCTION("IMPORTRANGE(""https://docs.google.com/spreadsheets/d/11923uPwbBZFjjGgGUA6NLw09EwE0CqkOc4q9oUmW1yo/edit?usp=sharing"",""แม่ฮ่องสอน!J322"")"),30)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IFERROR(__xludf.DUMMYFUNCTION("IMPORTRANGE(""https://docs.google.com/spreadsheets/d/11923uPwbBZFjjGgGUA6NLw09EwE0CqkOc4q9oUmW1yo/edit?usp=sharing"",""แม่ฮ่องสอน!I323"")"),10)</f>
        <v>10</v>
      </c>
      <c r="J428" s="395">
        <f ca="1">IFERROR(__xludf.DUMMYFUNCTION("IMPORTRANGE(""https://docs.google.com/spreadsheets/d/11923uPwbBZFjjGgGUA6NLw09EwE0CqkOc4q9oUmW1yo/edit?usp=sharing"",""แม่ฮ่องสอน!J323"")"),10)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IFERROR(__xludf.DUMMYFUNCTION("IMPORTRANGE(""https://docs.google.com/spreadsheets/d/11923uPwbBZFjjGgGUA6NLw09EwE0CqkOc4q9oUmW1yo/edit?usp=sharing"",""แม่ฮ่องสอน!I324"")"),10)</f>
        <v>10</v>
      </c>
      <c r="J429" s="395">
        <f ca="1">IFERROR(__xludf.DUMMYFUNCTION("IMPORTRANGE(""https://docs.google.com/spreadsheets/d/11923uPwbBZFjjGgGUA6NLw09EwE0CqkOc4q9oUmW1yo/edit?usp=sharing"",""แม่ฮ่องสอน!J324"")"),10)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IFERROR(__xludf.DUMMYFUNCTION("IMPORTRANGE(""https://docs.google.com/spreadsheets/d/11923uPwbBZFjjGgGUA6NLw09EwE0CqkOc4q9oUmW1yo/edit?usp=sharing"",""แม่ฮ่องสอน!I325"")"),21)</f>
        <v>21</v>
      </c>
      <c r="J430" s="393">
        <f ca="1">IFERROR(__xludf.DUMMYFUNCTION("IMPORTRANGE(""https://docs.google.com/spreadsheets/d/11923uPwbBZFjjGgGUA6NLw09EwE0CqkOc4q9oUmW1yo/edit?usp=sharing"",""แม่ฮ่องสอน!J325"")"),21)</f>
        <v>21</v>
      </c>
      <c r="K430" s="203">
        <f t="shared" ca="1" si="113"/>
        <v>100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IFERROR(__xludf.DUMMYFUNCTION("IMPORTRANGE(""https://docs.google.com/spreadsheets/d/11923uPwbBZFjjGgGUA6NLw09EwE0CqkOc4q9oUmW1yo/edit?usp=sharing"",""แม่ฮ่องสอน!I326"")"),0)</f>
        <v>0</v>
      </c>
      <c r="J431" s="395">
        <f ca="1">IFERROR(__xludf.DUMMYFUNCTION("IMPORTRANGE(""https://docs.google.com/spreadsheets/d/11923uPwbBZFjjGgGUA6NLw09EwE0CqkOc4q9oUmW1yo/edit?usp=sharing"",""แม่ฮ่องสอน!J326"")"),0)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IFERROR(__xludf.DUMMYFUNCTION("IMPORTRANGE(""https://docs.google.com/spreadsheets/d/11923uPwbBZFjjGgGUA6NLw09EwE0CqkOc4q9oUmW1yo/edit?usp=sharing"",""แม่ฮ่องสอน!I327"")"),21)</f>
        <v>21</v>
      </c>
      <c r="J432" s="395">
        <f ca="1">IFERROR(__xludf.DUMMYFUNCTION("IMPORTRANGE(""https://docs.google.com/spreadsheets/d/11923uPwbBZFjjGgGUA6NLw09EwE0CqkOc4q9oUmW1yo/edit?usp=sharing"",""แม่ฮ่องสอน!J327"")"),21)</f>
        <v>21</v>
      </c>
      <c r="K432" s="165">
        <f t="shared" ca="1" si="113"/>
        <v>100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IFERROR(__xludf.DUMMYFUNCTION("IMPORTRANGE(""https://docs.google.com/spreadsheets/d/11923uPwbBZFjjGgGUA6NLw09EwE0CqkOc4q9oUmW1yo/edit?usp=sharing"",""แม่ฮ่องสอน!J328"")"),0)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IFERROR(__xludf.DUMMYFUNCTION("IMPORTRANGE(""https://docs.google.com/spreadsheets/d/11923uPwbBZFjjGgGUA6NLw09EwE0CqkOc4q9oUmW1yo/edit?usp=sharing"",""แม่ฮ่องสอน!J329"")"),0)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IFERROR(__xludf.DUMMYFUNCTION("IMPORTRANGE(""https://docs.google.com/spreadsheets/d/11923uPwbBZFjjGgGUA6NLw09EwE0CqkOc4q9oUmW1yo/edit?usp=sharing"",""แม่ฮ่องสอน!I330"")"),20)</f>
        <v>20</v>
      </c>
      <c r="J435" s="411">
        <f ca="1">IFERROR(__xludf.DUMMYFUNCTION("IMPORTRANGE(""https://docs.google.com/spreadsheets/d/11923uPwbBZFjjGgGUA6NLw09EwE0CqkOc4q9oUmW1yo/edit?usp=sharing"",""แม่ฮ่องสอน!J330"")"),20)</f>
        <v>20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IFERROR(__xludf.DUMMYFUNCTION("IMPORTRANGE(""https://docs.google.com/spreadsheets/d/11923uPwbBZFjjGgGUA6NLw09EwE0CqkOc4q9oUmW1yo/edit?usp=sharing"",""แม่ฮ่องสอน!L330"")"),100000)</f>
        <v>100000</v>
      </c>
      <c r="M435" s="413"/>
      <c r="N435" s="413">
        <f ca="1">IFERROR(__xludf.DUMMYFUNCTION("IMPORTRANGE(""https://docs.google.com/spreadsheets/d/11923uPwbBZFjjGgGUA6NLw09EwE0CqkOc4q9oUmW1yo/edit?usp=sharing"",""แม่ฮ่องสอน!M330"")"),77659)</f>
        <v>77659</v>
      </c>
      <c r="O435" s="413">
        <f t="shared" ref="O435:O439" ca="1" si="114">+IF(L435&gt;0,N435*100/L435,0)</f>
        <v>77.659000000000006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IFERROR(__xludf.DUMMYFUNCTION("IMPORTRANGE(""https://docs.google.com/spreadsheets/d/11923uPwbBZFjjGgGUA6NLw09EwE0CqkOc4q9oUmW1yo/edit?usp=sharing"",""แม่ฮ่องสอน!L331"")"),0)</f>
        <v>0</v>
      </c>
      <c r="M436" s="166"/>
      <c r="N436" s="170">
        <f ca="1">IFERROR(__xludf.DUMMYFUNCTION("IMPORTRANGE(""https://docs.google.com/spreadsheets/d/11923uPwbBZFjjGgGUA6NLw09EwE0CqkOc4q9oUmW1yo/edit?usp=sharing"",""แม่ฮ่องสอน!M331"")"),0)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IFERROR(__xludf.DUMMYFUNCTION("IMPORTRANGE(""https://docs.google.com/spreadsheets/d/11923uPwbBZFjjGgGUA6NLw09EwE0CqkOc4q9oUmW1yo/edit?usp=sharing"",""แม่ฮ่องสอน!L332"")"),100000)</f>
        <v>100000</v>
      </c>
      <c r="M437" s="167"/>
      <c r="N437" s="170">
        <f ca="1">IFERROR(__xludf.DUMMYFUNCTION("IMPORTRANGE(""https://docs.google.com/spreadsheets/d/11923uPwbBZFjjGgGUA6NLw09EwE0CqkOc4q9oUmW1yo/edit?usp=sharing"",""แม่ฮ่องสอน!M332"")"),77659)</f>
        <v>77659</v>
      </c>
      <c r="O437" s="170">
        <f t="shared" ca="1" si="114"/>
        <v>77.659000000000006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IFERROR(__xludf.DUMMYFUNCTION("IMPORTRANGE(""https://docs.google.com/spreadsheets/d/11923uPwbBZFjjGgGUA6NLw09EwE0CqkOc4q9oUmW1yo/edit?usp=sharing"",""แม่ฮ่องสอน!L333"")"),0)</f>
        <v>0</v>
      </c>
      <c r="M438" s="170"/>
      <c r="N438" s="170">
        <f ca="1">IFERROR(__xludf.DUMMYFUNCTION("IMPORTRANGE(""https://docs.google.com/spreadsheets/d/11923uPwbBZFjjGgGUA6NLw09EwE0CqkOc4q9oUmW1yo/edit?usp=sharing"",""แม่ฮ่องสอน!M333"")"),0)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IFERROR(__xludf.DUMMYFUNCTION("IMPORTRANGE(""https://docs.google.com/spreadsheets/d/11923uPwbBZFjjGgGUA6NLw09EwE0CqkOc4q9oUmW1yo/edit?usp=sharing"",""แม่ฮ่องสอน!L334"")"),100000)</f>
        <v>100000</v>
      </c>
      <c r="M439" s="170"/>
      <c r="N439" s="170">
        <f ca="1">IFERROR(__xludf.DUMMYFUNCTION("IMPORTRANGE(""https://docs.google.com/spreadsheets/d/11923uPwbBZFjjGgGUA6NLw09EwE0CqkOc4q9oUmW1yo/edit?usp=sharing"",""แม่ฮ่องสอน!M334"")"),77659)</f>
        <v>77659</v>
      </c>
      <c r="O439" s="170">
        <f t="shared" ca="1" si="114"/>
        <v>77.659000000000006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IFERROR(__xludf.DUMMYFUNCTION("IMPORTRANGE(""https://docs.google.com/spreadsheets/d/11923uPwbBZFjjGgGUA6NLw09EwE0CqkOc4q9oUmW1yo/edit?usp=sharing"",""แม่ฮ่องสอน!M335"")"),44200)</f>
        <v>44200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IFERROR(__xludf.DUMMYFUNCTION("IMPORTRANGE(""https://docs.google.com/spreadsheets/d/11923uPwbBZFjjGgGUA6NLw09EwE0CqkOc4q9oUmW1yo/edit?usp=sharing"",""แม่ฮ่องสอน!M336"")"),0)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IFERROR(__xludf.DUMMYFUNCTION("IMPORTRANGE(""https://docs.google.com/spreadsheets/d/11923uPwbBZFjjGgGUA6NLw09EwE0CqkOc4q9oUmW1yo/edit?usp=sharing"",""แม่ฮ่องสอน!M337"")"),0)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IFERROR(__xludf.DUMMYFUNCTION("IMPORTRANGE(""https://docs.google.com/spreadsheets/d/11923uPwbBZFjjGgGUA6NLw09EwE0CqkOc4q9oUmW1yo/edit?usp=sharing"",""แม่ฮ่องสอน!M338"")"),33459)</f>
        <v>33459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IFERROR(__xludf.DUMMYFUNCTION("IMPORTRANGE(""https://docs.google.com/spreadsheets/d/11923uPwbBZFjjGgGUA6NLw09EwE0CqkOc4q9oUmW1yo/edit?usp=sharing"",""แม่ฮ่องสอน!J340"")"),0)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IFERROR(__xludf.DUMMYFUNCTION("IMPORTRANGE(""https://docs.google.com/spreadsheets/d/11923uPwbBZFjjGgGUA6NLw09EwE0CqkOc4q9oUmW1yo/edit?usp=sharing"",""แม่ฮ่องสอน!J341"")"),1)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IFERROR(__xludf.DUMMYFUNCTION("IMPORTRANGE(""https://docs.google.com/spreadsheets/d/11923uPwbBZFjjGgGUA6NLw09EwE0CqkOc4q9oUmW1yo/edit?usp=sharing"",""แม่ฮ่องสอน!J342"")"),1)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IFERROR(__xludf.DUMMYFUNCTION("IMPORTRANGE(""https://docs.google.com/spreadsheets/d/11923uPwbBZFjjGgGUA6NLw09EwE0CqkOc4q9oUmW1yo/edit?usp=sharing"",""แม่ฮ่องสอน!J343"")"),1)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IFERROR(__xludf.DUMMYFUNCTION("IMPORTRANGE(""https://docs.google.com/spreadsheets/d/11923uPwbBZFjjGgGUA6NLw09EwE0CqkOc4q9oUmW1yo/edit?usp=sharing"",""แม่ฮ่องสอน!I344"")"),20)</f>
        <v>20</v>
      </c>
      <c r="J449" s="202">
        <f ca="1">IFERROR(__xludf.DUMMYFUNCTION("IMPORTRANGE(""https://docs.google.com/spreadsheets/d/11923uPwbBZFjjGgGUA6NLw09EwE0CqkOc4q9oUmW1yo/edit?usp=sharing"",""แม่ฮ่องสอน!J344"")"),20)</f>
        <v>20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IFERROR(__xludf.DUMMYFUNCTION("IMPORTRANGE(""https://docs.google.com/spreadsheets/d/11923uPwbBZFjjGgGUA6NLw09EwE0CqkOc4q9oUmW1yo/edit?usp=sharing"",""แม่ฮ่องสอน!I345"")"),20)</f>
        <v>20</v>
      </c>
      <c r="J450" s="190">
        <f ca="1">IFERROR(__xludf.DUMMYFUNCTION("IMPORTRANGE(""https://docs.google.com/spreadsheets/d/11923uPwbBZFjjGgGUA6NLw09EwE0CqkOc4q9oUmW1yo/edit?usp=sharing"",""แม่ฮ่องสอน!J345"")"),20)</f>
        <v>20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IFERROR(__xludf.DUMMYFUNCTION("IMPORTRANGE(""https://docs.google.com/spreadsheets/d/11923uPwbBZFjjGgGUA6NLw09EwE0CqkOc4q9oUmW1yo/edit?usp=sharing"",""แม่ฮ่องสอน!I346"")"),0)</f>
        <v>0</v>
      </c>
      <c r="J451" s="189">
        <f ca="1">IFERROR(__xludf.DUMMYFUNCTION("IMPORTRANGE(""https://docs.google.com/spreadsheets/d/11923uPwbBZFjjGgGUA6NLw09EwE0CqkOc4q9oUmW1yo/edit?usp=sharing"",""แม่ฮ่องสอน!J346"")"),0)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hidden="1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IFERROR(__xludf.DUMMYFUNCTION("IMPORTRANGE(""https://docs.google.com/spreadsheets/d/11923uPwbBZFjjGgGUA6NLw09EwE0CqkOc4q9oUmW1yo/edit?usp=sharing"",""แม่ฮ่องสอน!I347"")"),0)</f>
        <v>0</v>
      </c>
      <c r="J452" s="189">
        <f ca="1">IFERROR(__xludf.DUMMYFUNCTION("IMPORTRANGE(""https://docs.google.com/spreadsheets/d/11923uPwbBZFjjGgGUA6NLw09EwE0CqkOc4q9oUmW1yo/edit?usp=sharing"",""แม่ฮ่องสอน!J347"")"),0)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IFERROR(__xludf.DUMMYFUNCTION("IMPORTRANGE(""https://docs.google.com/spreadsheets/d/11923uPwbBZFjjGgGUA6NLw09EwE0CqkOc4q9oUmW1yo/edit?usp=sharing"",""แม่ฮ่องสอน!J348"")"),1)</f>
        <v>1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IFERROR(__xludf.DUMMYFUNCTION("IMPORTRANGE(""https://docs.google.com/spreadsheets/d/11923uPwbBZFjjGgGUA6NLw09EwE0CqkOc4q9oUmW1yo/edit?usp=sharing"",""แม่ฮ่องสอน!J349"")"),0)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IFERROR(__xludf.DUMMYFUNCTION("IMPORTRANGE(""https://docs.google.com/spreadsheets/d/11923uPwbBZFjjGgGUA6NLw09EwE0CqkOc4q9oUmW1yo/edit?usp=sharing"",""แม่ฮ่องสอน!I350"")"),4665)</f>
        <v>4665</v>
      </c>
      <c r="J455" s="372">
        <f ca="1">IFERROR(__xludf.DUMMYFUNCTION("IMPORTRANGE(""https://docs.google.com/spreadsheets/d/11923uPwbBZFjjGgGUA6NLw09EwE0CqkOc4q9oUmW1yo/edit?usp=sharing"",""แม่ฮ่องสอน!J350"")"),4665)</f>
        <v>4665</v>
      </c>
      <c r="K455" s="373">
        <f ca="1">IF(I455&gt;0,J455*100/I455,0)</f>
        <v>100</v>
      </c>
      <c r="L455" s="374">
        <f ca="1">IFERROR(__xludf.DUMMYFUNCTION("IMPORTRANGE(""https://docs.google.com/spreadsheets/d/11923uPwbBZFjjGgGUA6NLw09EwE0CqkOc4q9oUmW1yo/edit?usp=sharing"",""แม่ฮ่องสอน!L350"")"),97593)</f>
        <v>97593</v>
      </c>
      <c r="M455" s="374"/>
      <c r="N455" s="374">
        <f ca="1">IFERROR(__xludf.DUMMYFUNCTION("IMPORTRANGE(""https://docs.google.com/spreadsheets/d/11923uPwbBZFjjGgGUA6NLw09EwE0CqkOc4q9oUmW1yo/edit?usp=sharing"",""แม่ฮ่องสอน!M350"")"),40255)</f>
        <v>40255</v>
      </c>
      <c r="O455" s="374">
        <f t="shared" ref="O455:O459" ca="1" si="116">+IF(L455&gt;0,N455*100/L455,0)</f>
        <v>41.247835398030595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IFERROR(__xludf.DUMMYFUNCTION("IMPORTRANGE(""https://docs.google.com/spreadsheets/d/11923uPwbBZFjjGgGUA6NLw09EwE0CqkOc4q9oUmW1yo/edit?usp=sharing"",""แม่ฮ่องสอน!L351"")"),0)</f>
        <v>0</v>
      </c>
      <c r="M456" s="166"/>
      <c r="N456" s="170">
        <f ca="1">IFERROR(__xludf.DUMMYFUNCTION("IMPORTRANGE(""https://docs.google.com/spreadsheets/d/11923uPwbBZFjjGgGUA6NLw09EwE0CqkOc4q9oUmW1yo/edit?usp=sharing"",""แม่ฮ่องสอน!M351"")"),0)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IFERROR(__xludf.DUMMYFUNCTION("IMPORTRANGE(""https://docs.google.com/spreadsheets/d/11923uPwbBZFjjGgGUA6NLw09EwE0CqkOc4q9oUmW1yo/edit?usp=sharing"",""แม่ฮ่องสอน!L352"")"),97593)</f>
        <v>97593</v>
      </c>
      <c r="M457" s="167"/>
      <c r="N457" s="170">
        <f ca="1">IFERROR(__xludf.DUMMYFUNCTION("IMPORTRANGE(""https://docs.google.com/spreadsheets/d/11923uPwbBZFjjGgGUA6NLw09EwE0CqkOc4q9oUmW1yo/edit?usp=sharing"",""แม่ฮ่องสอน!M352"")"),40255)</f>
        <v>40255</v>
      </c>
      <c r="O457" s="170">
        <f t="shared" ca="1" si="116"/>
        <v>41.247835398030595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IFERROR(__xludf.DUMMYFUNCTION("IMPORTRANGE(""https://docs.google.com/spreadsheets/d/11923uPwbBZFjjGgGUA6NLw09EwE0CqkOc4q9oUmW1yo/edit?usp=sharing"",""แม่ฮ่องสอน!L353"")"),0)</f>
        <v>0</v>
      </c>
      <c r="M458" s="170"/>
      <c r="N458" s="170">
        <f ca="1">IFERROR(__xludf.DUMMYFUNCTION("IMPORTRANGE(""https://docs.google.com/spreadsheets/d/11923uPwbBZFjjGgGUA6NLw09EwE0CqkOc4q9oUmW1yo/edit?usp=sharing"",""แม่ฮ่องสอน!M353"")"),0)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IFERROR(__xludf.DUMMYFUNCTION("IMPORTRANGE(""https://docs.google.com/spreadsheets/d/11923uPwbBZFjjGgGUA6NLw09EwE0CqkOc4q9oUmW1yo/edit?usp=sharing"",""แม่ฮ่องสอน!L354"")"),97593)</f>
        <v>97593</v>
      </c>
      <c r="M459" s="170"/>
      <c r="N459" s="170">
        <f ca="1">IFERROR(__xludf.DUMMYFUNCTION("IMPORTRANGE(""https://docs.google.com/spreadsheets/d/11923uPwbBZFjjGgGUA6NLw09EwE0CqkOc4q9oUmW1yo/edit?usp=sharing"",""แม่ฮ่องสอน!M354"")"),40255)</f>
        <v>40255</v>
      </c>
      <c r="O459" s="170">
        <f t="shared" ca="1" si="116"/>
        <v>41.247835398030595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IFERROR(__xludf.DUMMYFUNCTION("IMPORTRANGE(""https://docs.google.com/spreadsheets/d/11923uPwbBZFjjGgGUA6NLw09EwE0CqkOc4q9oUmW1yo/edit?usp=sharing"",""แม่ฮ่องสอน!M355"")"),0)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IFERROR(__xludf.DUMMYFUNCTION("IMPORTRANGE(""https://docs.google.com/spreadsheets/d/11923uPwbBZFjjGgGUA6NLw09EwE0CqkOc4q9oUmW1yo/edit?usp=sharing"",""แม่ฮ่องสอน!M356"")"),0)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IFERROR(__xludf.DUMMYFUNCTION("IMPORTRANGE(""https://docs.google.com/spreadsheets/d/11923uPwbBZFjjGgGUA6NLw09EwE0CqkOc4q9oUmW1yo/edit?usp=sharing"",""แม่ฮ่องสอน!M357"")"),0)</f>
        <v>0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IFERROR(__xludf.DUMMYFUNCTION("IMPORTRANGE(""https://docs.google.com/spreadsheets/d/11923uPwbBZFjjGgGUA6NLw09EwE0CqkOc4q9oUmW1yo/edit?usp=sharing"",""แม่ฮ่องสอน!M358"")"),40255)</f>
        <v>40255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IFERROR(__xludf.DUMMYFUNCTION("IMPORTRANGE(""https://docs.google.com/spreadsheets/d/11923uPwbBZFjjGgGUA6NLw09EwE0CqkOc4q9oUmW1yo/edit?usp=sharing"",""แม่ฮ่องสอน!I359"")"),4665)</f>
        <v>4665</v>
      </c>
      <c r="J464" s="268">
        <f ca="1">IFERROR(__xludf.DUMMYFUNCTION("IMPORTRANGE(""https://docs.google.com/spreadsheets/d/11923uPwbBZFjjGgGUA6NLw09EwE0CqkOc4q9oUmW1yo/edit?usp=sharing"",""แม่ฮ่องสอน!J359"")"),4665)</f>
        <v>4665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IFERROR(__xludf.DUMMYFUNCTION("IMPORTRANGE(""https://docs.google.com/spreadsheets/d/11923uPwbBZFjjGgGUA6NLw09EwE0CqkOc4q9oUmW1yo/edit?usp=sharing"",""แม่ฮ่องสอน!I360"")"),4665)</f>
        <v>4665</v>
      </c>
      <c r="J465" s="422">
        <f ca="1">IFERROR(__xludf.DUMMYFUNCTION("IMPORTRANGE(""https://docs.google.com/spreadsheets/d/11923uPwbBZFjjGgGUA6NLw09EwE0CqkOc4q9oUmW1yo/edit?usp=sharing"",""แม่ฮ่องสอน!J360"")"),4665)</f>
        <v>4665</v>
      </c>
      <c r="K465" s="203">
        <f t="shared" ca="1" si="117"/>
        <v>100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IFERROR(__xludf.DUMMYFUNCTION("IMPORTRANGE(""https://docs.google.com/spreadsheets/d/11923uPwbBZFjjGgGUA6NLw09EwE0CqkOc4q9oUmW1yo/edit?usp=sharing"",""แม่ฮ่องสอน!I361"")"),1134)</f>
        <v>1134</v>
      </c>
      <c r="J466" s="422">
        <f ca="1">IFERROR(__xludf.DUMMYFUNCTION("IMPORTRANGE(""https://docs.google.com/spreadsheets/d/11923uPwbBZFjjGgGUA6NLw09EwE0CqkOc4q9oUmW1yo/edit?usp=sharing"",""แม่ฮ่องสอน!J361"")"),1134)</f>
        <v>1134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IFERROR(__xludf.DUMMYFUNCTION("IMPORTRANGE(""https://docs.google.com/spreadsheets/d/11923uPwbBZFjjGgGUA6NLw09EwE0CqkOc4q9oUmW1yo/edit?usp=sharing"",""แม่ฮ่องสอน!I362"")"),0)</f>
        <v>0</v>
      </c>
      <c r="J467" s="190">
        <f ca="1">IFERROR(__xludf.DUMMYFUNCTION("IMPORTRANGE(""https://docs.google.com/spreadsheets/d/11923uPwbBZFjjGgGUA6NLw09EwE0CqkOc4q9oUmW1yo/edit?usp=sharing"",""แม่ฮ่องสอน!J362"")"),4581)</f>
        <v>4581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IFERROR(__xludf.DUMMYFUNCTION("IMPORTRANGE(""https://docs.google.com/spreadsheets/d/11923uPwbBZFjjGgGUA6NLw09EwE0CqkOc4q9oUmW1yo/edit?usp=sharing"",""แม่ฮ่องสอน!I363"")"),0)</f>
        <v>0</v>
      </c>
      <c r="J468" s="190">
        <f ca="1">IFERROR(__xludf.DUMMYFUNCTION("IMPORTRANGE(""https://docs.google.com/spreadsheets/d/11923uPwbBZFjjGgGUA6NLw09EwE0CqkOc4q9oUmW1yo/edit?usp=sharing"",""แม่ฮ่องสอน!J363"")"),1123)</f>
        <v>1123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IFERROR(__xludf.DUMMYFUNCTION("IMPORTRANGE(""https://docs.google.com/spreadsheets/d/11923uPwbBZFjjGgGUA6NLw09EwE0CqkOc4q9oUmW1yo/edit?usp=sharing"",""แม่ฮ่องสอน!I364"")"),0)</f>
        <v>0</v>
      </c>
      <c r="J469" s="190">
        <f ca="1">IFERROR(__xludf.DUMMYFUNCTION("IMPORTRANGE(""https://docs.google.com/spreadsheets/d/11923uPwbBZFjjGgGUA6NLw09EwE0CqkOc4q9oUmW1yo/edit?usp=sharing"",""แม่ฮ่องสอน!J364"")"),66)</f>
        <v>66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IFERROR(__xludf.DUMMYFUNCTION("IMPORTRANGE(""https://docs.google.com/spreadsheets/d/11923uPwbBZFjjGgGUA6NLw09EwE0CqkOc4q9oUmW1yo/edit?usp=sharing"",""แม่ฮ่องสอน!I365"")"),0)</f>
        <v>0</v>
      </c>
      <c r="J470" s="190">
        <f ca="1">IFERROR(__xludf.DUMMYFUNCTION("IMPORTRANGE(""https://docs.google.com/spreadsheets/d/11923uPwbBZFjjGgGUA6NLw09EwE0CqkOc4q9oUmW1yo/edit?usp=sharing"",""แม่ฮ่องสอน!J365"")"),7)</f>
        <v>7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IFERROR(__xludf.DUMMYFUNCTION("IMPORTRANGE(""https://docs.google.com/spreadsheets/d/11923uPwbBZFjjGgGUA6NLw09EwE0CqkOc4q9oUmW1yo/edit?usp=sharing"",""แม่ฮ่องสอน!I366"")"),0)</f>
        <v>0</v>
      </c>
      <c r="J471" s="190">
        <f ca="1">IFERROR(__xludf.DUMMYFUNCTION("IMPORTRANGE(""https://docs.google.com/spreadsheets/d/11923uPwbBZFjjGgGUA6NLw09EwE0CqkOc4q9oUmW1yo/edit?usp=sharing"",""แม่ฮ่องสอน!J366"")"),18)</f>
        <v>18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IFERROR(__xludf.DUMMYFUNCTION("IMPORTRANGE(""https://docs.google.com/spreadsheets/d/11923uPwbBZFjjGgGUA6NLw09EwE0CqkOc4q9oUmW1yo/edit?usp=sharing"",""แม่ฮ่องสอน!I367"")"),0)</f>
        <v>0</v>
      </c>
      <c r="J472" s="190">
        <f ca="1">IFERROR(__xludf.DUMMYFUNCTION("IMPORTRANGE(""https://docs.google.com/spreadsheets/d/11923uPwbBZFjjGgGUA6NLw09EwE0CqkOc4q9oUmW1yo/edit?usp=sharing"",""แม่ฮ่องสอน!J367"")"),4)</f>
        <v>4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IFERROR(__xludf.DUMMYFUNCTION("IMPORTRANGE(""https://docs.google.com/spreadsheets/d/11923uPwbBZFjjGgGUA6NLw09EwE0CqkOc4q9oUmW1yo/edit?usp=sharing"",""แม่ฮ่องสอน!I368"")"),4665)</f>
        <v>4665</v>
      </c>
      <c r="J473" s="422">
        <f ca="1">IFERROR(__xludf.DUMMYFUNCTION("IMPORTRANGE(""https://docs.google.com/spreadsheets/d/11923uPwbBZFjjGgGUA6NLw09EwE0CqkOc4q9oUmW1yo/edit?usp=sharing"",""แม่ฮ่องสอน!J368"")"),4665)</f>
        <v>4665</v>
      </c>
      <c r="K473" s="203">
        <f t="shared" ca="1" si="117"/>
        <v>100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IFERROR(__xludf.DUMMYFUNCTION("IMPORTRANGE(""https://docs.google.com/spreadsheets/d/11923uPwbBZFjjGgGUA6NLw09EwE0CqkOc4q9oUmW1yo/edit?usp=sharing"",""แม่ฮ่องสอน!I369"")"),1134)</f>
        <v>1134</v>
      </c>
      <c r="J474" s="422">
        <f ca="1">IFERROR(__xludf.DUMMYFUNCTION("IMPORTRANGE(""https://docs.google.com/spreadsheets/d/11923uPwbBZFjjGgGUA6NLw09EwE0CqkOc4q9oUmW1yo/edit?usp=sharing"",""แม่ฮ่องสอน!J369"")"),1134)</f>
        <v>1134</v>
      </c>
      <c r="K474" s="203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IFERROR(__xludf.DUMMYFUNCTION("IMPORTRANGE(""https://docs.google.com/spreadsheets/d/11923uPwbBZFjjGgGUA6NLw09EwE0CqkOc4q9oUmW1yo/edit?usp=sharing"",""แม่ฮ่องสอน!I370"")"),0)</f>
        <v>0</v>
      </c>
      <c r="J475" s="190">
        <f ca="1">IFERROR(__xludf.DUMMYFUNCTION("IMPORTRANGE(""https://docs.google.com/spreadsheets/d/11923uPwbBZFjjGgGUA6NLw09EwE0CqkOc4q9oUmW1yo/edit?usp=sharing"",""แม่ฮ่องสอน!J370"")"),4634)</f>
        <v>4634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IFERROR(__xludf.DUMMYFUNCTION("IMPORTRANGE(""https://docs.google.com/spreadsheets/d/11923uPwbBZFjjGgGUA6NLw09EwE0CqkOc4q9oUmW1yo/edit?usp=sharing"",""แม่ฮ่องสอน!I371"")"),0)</f>
        <v>0</v>
      </c>
      <c r="J476" s="190">
        <f ca="1">IFERROR(__xludf.DUMMYFUNCTION("IMPORTRANGE(""https://docs.google.com/spreadsheets/d/11923uPwbBZFjjGgGUA6NLw09EwE0CqkOc4q9oUmW1yo/edit?usp=sharing"",""แม่ฮ่องสอน!J371"")"),1122)</f>
        <v>1122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IFERROR(__xludf.DUMMYFUNCTION("IMPORTRANGE(""https://docs.google.com/spreadsheets/d/11923uPwbBZFjjGgGUA6NLw09EwE0CqkOc4q9oUmW1yo/edit?usp=sharing"",""แม่ฮ่องสอน!I372"")"),0)</f>
        <v>0</v>
      </c>
      <c r="J477" s="190">
        <f ca="1">IFERROR(__xludf.DUMMYFUNCTION("IMPORTRANGE(""https://docs.google.com/spreadsheets/d/11923uPwbBZFjjGgGUA6NLw09EwE0CqkOc4q9oUmW1yo/edit?usp=sharing"",""แม่ฮ่องสอน!J372"")"),13)</f>
        <v>13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IFERROR(__xludf.DUMMYFUNCTION("IMPORTRANGE(""https://docs.google.com/spreadsheets/d/11923uPwbBZFjjGgGUA6NLw09EwE0CqkOc4q9oUmW1yo/edit?usp=sharing"",""แม่ฮ่องสอน!I373"")"),0)</f>
        <v>0</v>
      </c>
      <c r="J478" s="190">
        <f ca="1">IFERROR(__xludf.DUMMYFUNCTION("IMPORTRANGE(""https://docs.google.com/spreadsheets/d/11923uPwbBZFjjGgGUA6NLw09EwE0CqkOc4q9oUmW1yo/edit?usp=sharing"",""แม่ฮ่องสอน!J373"")"),8)</f>
        <v>8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IFERROR(__xludf.DUMMYFUNCTION("IMPORTRANGE(""https://docs.google.com/spreadsheets/d/11923uPwbBZFjjGgGUA6NLw09EwE0CqkOc4q9oUmW1yo/edit?usp=sharing"",""แม่ฮ่องสอน!I374"")"),0)</f>
        <v>0</v>
      </c>
      <c r="J479" s="190">
        <f ca="1">IFERROR(__xludf.DUMMYFUNCTION("IMPORTRANGE(""https://docs.google.com/spreadsheets/d/11923uPwbBZFjjGgGUA6NLw09EwE0CqkOc4q9oUmW1yo/edit?usp=sharing"",""แม่ฮ่องสอน!J374"")"),18)</f>
        <v>18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IFERROR(__xludf.DUMMYFUNCTION("IMPORTRANGE(""https://docs.google.com/spreadsheets/d/11923uPwbBZFjjGgGUA6NLw09EwE0CqkOc4q9oUmW1yo/edit?usp=sharing"",""แม่ฮ่องสอน!I375"")"),0)</f>
        <v>0</v>
      </c>
      <c r="J480" s="190">
        <f ca="1">IFERROR(__xludf.DUMMYFUNCTION("IMPORTRANGE(""https://docs.google.com/spreadsheets/d/11923uPwbBZFjjGgGUA6NLw09EwE0CqkOc4q9oUmW1yo/edit?usp=sharing"",""แม่ฮ่องสอน!J375"")"),4)</f>
        <v>4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IFERROR(__xludf.DUMMYFUNCTION("IMPORTRANGE(""https://docs.google.com/spreadsheets/d/11923uPwbBZFjjGgGUA6NLw09EwE0CqkOc4q9oUmW1yo/edit?usp=sharing"",""แม่ฮ่องสอน!I376"")"),4665)</f>
        <v>4665</v>
      </c>
      <c r="J481" s="422">
        <f ca="1">IFERROR(__xludf.DUMMYFUNCTION("IMPORTRANGE(""https://docs.google.com/spreadsheets/d/11923uPwbBZFjjGgGUA6NLw09EwE0CqkOc4q9oUmW1yo/edit?usp=sharing"",""แม่ฮ่องสอน!J376"")"),4665)</f>
        <v>4665</v>
      </c>
      <c r="K481" s="203">
        <f t="shared" ca="1" si="117"/>
        <v>100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IFERROR(__xludf.DUMMYFUNCTION("IMPORTRANGE(""https://docs.google.com/spreadsheets/d/11923uPwbBZFjjGgGUA6NLw09EwE0CqkOc4q9oUmW1yo/edit?usp=sharing"",""แม่ฮ่องสอน!I377"")"),1134)</f>
        <v>1134</v>
      </c>
      <c r="J482" s="422">
        <f ca="1">IFERROR(__xludf.DUMMYFUNCTION("IMPORTRANGE(""https://docs.google.com/spreadsheets/d/11923uPwbBZFjjGgGUA6NLw09EwE0CqkOc4q9oUmW1yo/edit?usp=sharing"",""แม่ฮ่องสอน!J377"")"),1134)</f>
        <v>1134</v>
      </c>
      <c r="K482" s="203">
        <f t="shared" ca="1" si="117"/>
        <v>100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IFERROR(__xludf.DUMMYFUNCTION("IMPORTRANGE(""https://docs.google.com/spreadsheets/d/11923uPwbBZFjjGgGUA6NLw09EwE0CqkOc4q9oUmW1yo/edit?usp=sharing"",""แม่ฮ่องสอน!I378"")"),0)</f>
        <v>0</v>
      </c>
      <c r="J483" s="190">
        <f ca="1">IFERROR(__xludf.DUMMYFUNCTION("IMPORTRANGE(""https://docs.google.com/spreadsheets/d/11923uPwbBZFjjGgGUA6NLw09EwE0CqkOc4q9oUmW1yo/edit?usp=sharing"",""แม่ฮ่องสอน!J378"")"),4634)</f>
        <v>4634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IFERROR(__xludf.DUMMYFUNCTION("IMPORTRANGE(""https://docs.google.com/spreadsheets/d/11923uPwbBZFjjGgGUA6NLw09EwE0CqkOc4q9oUmW1yo/edit?usp=sharing"",""แม่ฮ่องสอน!I379"")"),0)</f>
        <v>0</v>
      </c>
      <c r="J484" s="190">
        <f ca="1">IFERROR(__xludf.DUMMYFUNCTION("IMPORTRANGE(""https://docs.google.com/spreadsheets/d/11923uPwbBZFjjGgGUA6NLw09EwE0CqkOc4q9oUmW1yo/edit?usp=sharing"",""แม่ฮ่องสอน!J379"")"),1122)</f>
        <v>1122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IFERROR(__xludf.DUMMYFUNCTION("IMPORTRANGE(""https://docs.google.com/spreadsheets/d/11923uPwbBZFjjGgGUA6NLw09EwE0CqkOc4q9oUmW1yo/edit?usp=sharing"",""แม่ฮ่องสอน!I380"")"),0)</f>
        <v>0</v>
      </c>
      <c r="J485" s="190">
        <f ca="1">IFERROR(__xludf.DUMMYFUNCTION("IMPORTRANGE(""https://docs.google.com/spreadsheets/d/11923uPwbBZFjjGgGUA6NLw09EwE0CqkOc4q9oUmW1yo/edit?usp=sharing"",""แม่ฮ่องสอน!J380"")"),13)</f>
        <v>13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IFERROR(__xludf.DUMMYFUNCTION("IMPORTRANGE(""https://docs.google.com/spreadsheets/d/11923uPwbBZFjjGgGUA6NLw09EwE0CqkOc4q9oUmW1yo/edit?usp=sharing"",""แม่ฮ่องสอน!I381"")"),0)</f>
        <v>0</v>
      </c>
      <c r="J486" s="190">
        <f ca="1">IFERROR(__xludf.DUMMYFUNCTION("IMPORTRANGE(""https://docs.google.com/spreadsheets/d/11923uPwbBZFjjGgGUA6NLw09EwE0CqkOc4q9oUmW1yo/edit?usp=sharing"",""แม่ฮ่องสอน!J381"")"),8)</f>
        <v>8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IFERROR(__xludf.DUMMYFUNCTION("IMPORTRANGE(""https://docs.google.com/spreadsheets/d/11923uPwbBZFjjGgGUA6NLw09EwE0CqkOc4q9oUmW1yo/edit?usp=sharing"",""แม่ฮ่องสอน!I382"")"),0)</f>
        <v>0</v>
      </c>
      <c r="J487" s="422">
        <f ca="1">IFERROR(__xludf.DUMMYFUNCTION("IMPORTRANGE(""https://docs.google.com/spreadsheets/d/11923uPwbBZFjjGgGUA6NLw09EwE0CqkOc4q9oUmW1yo/edit?usp=sharing"",""แม่ฮ่องสอน!J382"")"),18)</f>
        <v>18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IFERROR(__xludf.DUMMYFUNCTION("IMPORTRANGE(""https://docs.google.com/spreadsheets/d/11923uPwbBZFjjGgGUA6NLw09EwE0CqkOc4q9oUmW1yo/edit?usp=sharing"",""แม่ฮ่องสอน!I383"")"),0)</f>
        <v>0</v>
      </c>
      <c r="J488" s="422">
        <f ca="1">IFERROR(__xludf.DUMMYFUNCTION("IMPORTRANGE(""https://docs.google.com/spreadsheets/d/11923uPwbBZFjjGgGUA6NLw09EwE0CqkOc4q9oUmW1yo/edit?usp=sharing"",""แม่ฮ่องสอน!J383"")"),4)</f>
        <v>4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IFERROR(__xludf.DUMMYFUNCTION("IMPORTRANGE(""https://docs.google.com/spreadsheets/d/11923uPwbBZFjjGgGUA6NLw09EwE0CqkOc4q9oUmW1yo/edit?usp=sharing"",""แม่ฮ่องสอน!I384"")"),0)</f>
        <v>0</v>
      </c>
      <c r="J489" s="190">
        <f ca="1">IFERROR(__xludf.DUMMYFUNCTION("IMPORTRANGE(""https://docs.google.com/spreadsheets/d/11923uPwbBZFjjGgGUA6NLw09EwE0CqkOc4q9oUmW1yo/edit?usp=sharing"",""แม่ฮ่องสอน!J384"")"),18)</f>
        <v>18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IFERROR(__xludf.DUMMYFUNCTION("IMPORTRANGE(""https://docs.google.com/spreadsheets/d/11923uPwbBZFjjGgGUA6NLw09EwE0CqkOc4q9oUmW1yo/edit?usp=sharing"",""แม่ฮ่องสอน!I385"")"),0)</f>
        <v>0</v>
      </c>
      <c r="J490" s="190">
        <f ca="1">IFERROR(__xludf.DUMMYFUNCTION("IMPORTRANGE(""https://docs.google.com/spreadsheets/d/11923uPwbBZFjjGgGUA6NLw09EwE0CqkOc4q9oUmW1yo/edit?usp=sharing"",""แม่ฮ่องสอน!J385"")"),4)</f>
        <v>4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IFERROR(__xludf.DUMMYFUNCTION("IMPORTRANGE(""https://docs.google.com/spreadsheets/d/11923uPwbBZFjjGgGUA6NLw09EwE0CqkOc4q9oUmW1yo/edit?usp=sharing"",""แม่ฮ่องสอน!I386"")"),0)</f>
        <v>0</v>
      </c>
      <c r="J491" s="190">
        <f ca="1">IFERROR(__xludf.DUMMYFUNCTION("IMPORTRANGE(""https://docs.google.com/spreadsheets/d/11923uPwbBZFjjGgGUA6NLw09EwE0CqkOc4q9oUmW1yo/edit?usp=sharing"",""แม่ฮ่องสอน!J386"")"),0)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IFERROR(__xludf.DUMMYFUNCTION("IMPORTRANGE(""https://docs.google.com/spreadsheets/d/11923uPwbBZFjjGgGUA6NLw09EwE0CqkOc4q9oUmW1yo/edit?usp=sharing"",""แม่ฮ่องสอน!I387"")"),0)</f>
        <v>0</v>
      </c>
      <c r="J492" s="190">
        <f ca="1">IFERROR(__xludf.DUMMYFUNCTION("IMPORTRANGE(""https://docs.google.com/spreadsheets/d/11923uPwbBZFjjGgGUA6NLw09EwE0CqkOc4q9oUmW1yo/edit?usp=sharing"",""แม่ฮ่องสอน!J387"")"),0)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IFERROR(__xludf.DUMMYFUNCTION("IMPORTRANGE(""https://docs.google.com/spreadsheets/d/11923uPwbBZFjjGgGUA6NLw09EwE0CqkOc4q9oUmW1yo/edit?usp=sharing"",""แม่ฮ่องสอน!I388"")"),0)</f>
        <v>0</v>
      </c>
      <c r="J493" s="190">
        <f ca="1">IFERROR(__xludf.DUMMYFUNCTION("IMPORTRANGE(""https://docs.google.com/spreadsheets/d/11923uPwbBZFjjGgGUA6NLw09EwE0CqkOc4q9oUmW1yo/edit?usp=sharing"",""แม่ฮ่องสอน!J388"")"),0)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IFERROR(__xludf.DUMMYFUNCTION("IMPORTRANGE(""https://docs.google.com/spreadsheets/d/11923uPwbBZFjjGgGUA6NLw09EwE0CqkOc4q9oUmW1yo/edit?usp=sharing"",""แม่ฮ่องสอน!I389"")"),0)</f>
        <v>0</v>
      </c>
      <c r="J494" s="438">
        <f ca="1">IFERROR(__xludf.DUMMYFUNCTION("IMPORTRANGE(""https://docs.google.com/spreadsheets/d/11923uPwbBZFjjGgGUA6NLw09EwE0CqkOc4q9oUmW1yo/edit?usp=sharing"",""แม่ฮ่องสอน!J389"")"),0)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IFERROR(__xludf.DUMMYFUNCTION("IMPORTRANGE(""https://docs.google.com/spreadsheets/d/11923uPwbBZFjjGgGUA6NLw09EwE0CqkOc4q9oUmW1yo/edit?usp=sharing"",""แม่ฮ่องสอน!I390"")"),0)</f>
        <v>0</v>
      </c>
      <c r="J495" s="438">
        <f ca="1">IFERROR(__xludf.DUMMYFUNCTION("IMPORTRANGE(""https://docs.google.com/spreadsheets/d/11923uPwbBZFjjGgGUA6NLw09EwE0CqkOc4q9oUmW1yo/edit?usp=sharing"",""แม่ฮ่องสอน!J390"")"),0)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IFERROR(__xludf.DUMMYFUNCTION("IMPORTRANGE(""https://docs.google.com/spreadsheets/d/11923uPwbBZFjjGgGUA6NLw09EwE0CqkOc4q9oUmW1yo/edit?usp=sharing"",""แม่ฮ่องสอน!I391"")"),0)</f>
        <v>0</v>
      </c>
      <c r="J496" s="438">
        <f ca="1">IFERROR(__xludf.DUMMYFUNCTION("IMPORTRANGE(""https://docs.google.com/spreadsheets/d/11923uPwbBZFjjGgGUA6NLw09EwE0CqkOc4q9oUmW1yo/edit?usp=sharing"",""แม่ฮ่องสอน!J391"")"),0)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IFERROR(__xludf.DUMMYFUNCTION("IMPORTRANGE(""https://docs.google.com/spreadsheets/d/11923uPwbBZFjjGgGUA6NLw09EwE0CqkOc4q9oUmW1yo/edit?usp=sharing"",""แม่ฮ่องสอน!I392"")"),21)</f>
        <v>21</v>
      </c>
      <c r="J497" s="445">
        <f ca="1">IFERROR(__xludf.DUMMYFUNCTION("IMPORTRANGE(""https://docs.google.com/spreadsheets/d/11923uPwbBZFjjGgGUA6NLw09EwE0CqkOc4q9oUmW1yo/edit?usp=sharing"",""แม่ฮ่องสอน!J392"")"),21)</f>
        <v>21</v>
      </c>
      <c r="K497" s="446">
        <f t="shared" ca="1" si="117"/>
        <v>100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IFERROR(__xludf.DUMMYFUNCTION("IMPORTRANGE(""https://docs.google.com/spreadsheets/d/11923uPwbBZFjjGgGUA6NLw09EwE0CqkOc4q9oUmW1yo/edit?usp=sharing"",""แม่ฮ่องสอน!I393"")"),21)</f>
        <v>21</v>
      </c>
      <c r="J498" s="422">
        <f ca="1">IFERROR(__xludf.DUMMYFUNCTION("IMPORTRANGE(""https://docs.google.com/spreadsheets/d/11923uPwbBZFjjGgGUA6NLw09EwE0CqkOc4q9oUmW1yo/edit?usp=sharing"",""แม่ฮ่องสอน!J393"")"),21)</f>
        <v>21</v>
      </c>
      <c r="K498" s="203">
        <f t="shared" ca="1" si="117"/>
        <v>100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IFERROR(__xludf.DUMMYFUNCTION("IMPORTRANGE(""https://docs.google.com/spreadsheets/d/11923uPwbBZFjjGgGUA6NLw09EwE0CqkOc4q9oUmW1yo/edit?usp=sharing"",""แม่ฮ่องสอน!I394"")"),7)</f>
        <v>7</v>
      </c>
      <c r="J499" s="422">
        <f ca="1">IFERROR(__xludf.DUMMYFUNCTION("IMPORTRANGE(""https://docs.google.com/spreadsheets/d/11923uPwbBZFjjGgGUA6NLw09EwE0CqkOc4q9oUmW1yo/edit?usp=sharing"",""แม่ฮ่องสอน!J394"")"),7)</f>
        <v>7</v>
      </c>
      <c r="K499" s="203">
        <f t="shared" ca="1" si="117"/>
        <v>100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IFERROR(__xludf.DUMMYFUNCTION("IMPORTRANGE(""https://docs.google.com/spreadsheets/d/11923uPwbBZFjjGgGUA6NLw09EwE0CqkOc4q9oUmW1yo/edit?usp=sharing"",""แม่ฮ่องสอน!I395"")"),0)</f>
        <v>0</v>
      </c>
      <c r="J500" s="164">
        <f ca="1">IFERROR(__xludf.DUMMYFUNCTION("IMPORTRANGE(""https://docs.google.com/spreadsheets/d/11923uPwbBZFjjGgGUA6NLw09EwE0CqkOc4q9oUmW1yo/edit?usp=sharing"",""แม่ฮ่องสอน!J395"")"),16)</f>
        <v>16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IFERROR(__xludf.DUMMYFUNCTION("IMPORTRANGE(""https://docs.google.com/spreadsheets/d/11923uPwbBZFjjGgGUA6NLw09EwE0CqkOc4q9oUmW1yo/edit?usp=sharing"",""แม่ฮ่องสอน!I396"")"),0)</f>
        <v>0</v>
      </c>
      <c r="J501" s="164">
        <f ca="1">IFERROR(__xludf.DUMMYFUNCTION("IMPORTRANGE(""https://docs.google.com/spreadsheets/d/11923uPwbBZFjjGgGUA6NLw09EwE0CqkOc4q9oUmW1yo/edit?usp=sharing"",""แม่ฮ่องสอน!J396"")"),4)</f>
        <v>4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IFERROR(__xludf.DUMMYFUNCTION("IMPORTRANGE(""https://docs.google.com/spreadsheets/d/11923uPwbBZFjjGgGUA6NLw09EwE0CqkOc4q9oUmW1yo/edit?usp=sharing"",""แม่ฮ่องสอน!I397"")"),0)</f>
        <v>0</v>
      </c>
      <c r="J502" s="190">
        <f ca="1">IFERROR(__xludf.DUMMYFUNCTION("IMPORTRANGE(""https://docs.google.com/spreadsheets/d/11923uPwbBZFjjGgGUA6NLw09EwE0CqkOc4q9oUmW1yo/edit?usp=sharing"",""แม่ฮ่องสอน!J397"")"),4)</f>
        <v>4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IFERROR(__xludf.DUMMYFUNCTION("IMPORTRANGE(""https://docs.google.com/spreadsheets/d/11923uPwbBZFjjGgGUA6NLw09EwE0CqkOc4q9oUmW1yo/edit?usp=sharing"",""แม่ฮ่องสอน!I398"")"),0)</f>
        <v>0</v>
      </c>
      <c r="J503" s="199">
        <f ca="1">IFERROR(__xludf.DUMMYFUNCTION("IMPORTRANGE(""https://docs.google.com/spreadsheets/d/11923uPwbBZFjjGgGUA6NLw09EwE0CqkOc4q9oUmW1yo/edit?usp=sharing"",""แม่ฮ่องสอน!J398"")"),1)</f>
        <v>1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IFERROR(__xludf.DUMMYFUNCTION("IMPORTRANGE(""https://docs.google.com/spreadsheets/d/11923uPwbBZFjjGgGUA6NLw09EwE0CqkOc4q9oUmW1yo/edit?usp=sharing"",""แม่ฮ่องสอน!I399"")"),0)</f>
        <v>0</v>
      </c>
      <c r="J504" s="190">
        <f ca="1">IFERROR(__xludf.DUMMYFUNCTION("IMPORTRANGE(""https://docs.google.com/spreadsheets/d/11923uPwbBZFjjGgGUA6NLw09EwE0CqkOc4q9oUmW1yo/edit?usp=sharing"",""แม่ฮ่องสอน!J399"")"),12)</f>
        <v>12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IFERROR(__xludf.DUMMYFUNCTION("IMPORTRANGE(""https://docs.google.com/spreadsheets/d/11923uPwbBZFjjGgGUA6NLw09EwE0CqkOc4q9oUmW1yo/edit?usp=sharing"",""แม่ฮ่องสอน!I400"")"),0)</f>
        <v>0</v>
      </c>
      <c r="J505" s="199">
        <f ca="1">IFERROR(__xludf.DUMMYFUNCTION("IMPORTRANGE(""https://docs.google.com/spreadsheets/d/11923uPwbBZFjjGgGUA6NLw09EwE0CqkOc4q9oUmW1yo/edit?usp=sharing"",""แม่ฮ่องสอน!J400"")"),3)</f>
        <v>3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IFERROR(__xludf.DUMMYFUNCTION("IMPORTRANGE(""https://docs.google.com/spreadsheets/d/11923uPwbBZFjjGgGUA6NLw09EwE0CqkOc4q9oUmW1yo/edit?usp=sharing"",""แม่ฮ่องสอน!I401"")"),0)</f>
        <v>0</v>
      </c>
      <c r="J506" s="190">
        <f ca="1">IFERROR(__xludf.DUMMYFUNCTION("IMPORTRANGE(""https://docs.google.com/spreadsheets/d/11923uPwbBZFjjGgGUA6NLw09EwE0CqkOc4q9oUmW1yo/edit?usp=sharing"",""แม่ฮ่องสอน!J401"")"),0)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IFERROR(__xludf.DUMMYFUNCTION("IMPORTRANGE(""https://docs.google.com/spreadsheets/d/11923uPwbBZFjjGgGUA6NLw09EwE0CqkOc4q9oUmW1yo/edit?usp=sharing"",""แม่ฮ่องสอน!I402"")"),0)</f>
        <v>0</v>
      </c>
      <c r="J507" s="199">
        <f ca="1">IFERROR(__xludf.DUMMYFUNCTION("IMPORTRANGE(""https://docs.google.com/spreadsheets/d/11923uPwbBZFjjGgGUA6NLw09EwE0CqkOc4q9oUmW1yo/edit?usp=sharing"",""แม่ฮ่องสอน!J402"")"),0)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IFERROR(__xludf.DUMMYFUNCTION("IMPORTRANGE(""https://docs.google.com/spreadsheets/d/11923uPwbBZFjjGgGUA6NLw09EwE0CqkOc4q9oUmW1yo/edit?usp=sharing"",""แม่ฮ่องสอน!I403"")"),0)</f>
        <v>0</v>
      </c>
      <c r="J508" s="164">
        <f ca="1">IFERROR(__xludf.DUMMYFUNCTION("IMPORTRANGE(""https://docs.google.com/spreadsheets/d/11923uPwbBZFjjGgGUA6NLw09EwE0CqkOc4q9oUmW1yo/edit?usp=sharing"",""แม่ฮ่องสอน!J403"")"),5)</f>
        <v>5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IFERROR(__xludf.DUMMYFUNCTION("IMPORTRANGE(""https://docs.google.com/spreadsheets/d/11923uPwbBZFjjGgGUA6NLw09EwE0CqkOc4q9oUmW1yo/edit?usp=sharing"",""แม่ฮ่องสอน!I404"")"),0)</f>
        <v>0</v>
      </c>
      <c r="J509" s="164">
        <f ca="1">IFERROR(__xludf.DUMMYFUNCTION("IMPORTRANGE(""https://docs.google.com/spreadsheets/d/11923uPwbBZFjjGgGUA6NLw09EwE0CqkOc4q9oUmW1yo/edit?usp=sharing"",""แม่ฮ่องสอน!J404"")"),3)</f>
        <v>3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IFERROR(__xludf.DUMMYFUNCTION("IMPORTRANGE(""https://docs.google.com/spreadsheets/d/11923uPwbBZFjjGgGUA6NLw09EwE0CqkOc4q9oUmW1yo/edit?usp=sharing"",""แม่ฮ่องสอน!I405"")"),0)</f>
        <v>0</v>
      </c>
      <c r="J510" s="199">
        <f ca="1">IFERROR(__xludf.DUMMYFUNCTION("IMPORTRANGE(""https://docs.google.com/spreadsheets/d/11923uPwbBZFjjGgGUA6NLw09EwE0CqkOc4q9oUmW1yo/edit?usp=sharing"",""แม่ฮ่องสอน!J405"")"),0)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IFERROR(__xludf.DUMMYFUNCTION("IMPORTRANGE(""https://docs.google.com/spreadsheets/d/11923uPwbBZFjjGgGUA6NLw09EwE0CqkOc4q9oUmW1yo/edit?usp=sharing"",""แม่ฮ่องสอน!I406"")"),0)</f>
        <v>0</v>
      </c>
      <c r="J511" s="199">
        <f ca="1">IFERROR(__xludf.DUMMYFUNCTION("IMPORTRANGE(""https://docs.google.com/spreadsheets/d/11923uPwbBZFjjGgGUA6NLw09EwE0CqkOc4q9oUmW1yo/edit?usp=sharing"",""แม่ฮ่องสอน!J406"")"),0)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IFERROR(__xludf.DUMMYFUNCTION("IMPORTRANGE(""https://docs.google.com/spreadsheets/d/11923uPwbBZFjjGgGUA6NLw09EwE0CqkOc4q9oUmW1yo/edit?usp=sharing"",""แม่ฮ่องสอน!I407"")"),0)</f>
        <v>0</v>
      </c>
      <c r="J512" s="199">
        <f ca="1">IFERROR(__xludf.DUMMYFUNCTION("IMPORTRANGE(""https://docs.google.com/spreadsheets/d/11923uPwbBZFjjGgGUA6NLw09EwE0CqkOc4q9oUmW1yo/edit?usp=sharing"",""แม่ฮ่องสอน!J407"")"),5)</f>
        <v>5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IFERROR(__xludf.DUMMYFUNCTION("IMPORTRANGE(""https://docs.google.com/spreadsheets/d/11923uPwbBZFjjGgGUA6NLw09EwE0CqkOc4q9oUmW1yo/edit?usp=sharing"",""แม่ฮ่องสอน!I408"")"),0)</f>
        <v>0</v>
      </c>
      <c r="J513" s="199">
        <f ca="1">IFERROR(__xludf.DUMMYFUNCTION("IMPORTRANGE(""https://docs.google.com/spreadsheets/d/11923uPwbBZFjjGgGUA6NLw09EwE0CqkOc4q9oUmW1yo/edit?usp=sharing"",""แม่ฮ่องสอน!J408"")"),3)</f>
        <v>3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IFERROR(__xludf.DUMMYFUNCTION("IMPORTRANGE(""https://docs.google.com/spreadsheets/d/11923uPwbBZFjjGgGUA6NLw09EwE0CqkOc4q9oUmW1yo/edit?usp=sharing"",""แม่ฮ่องสอน!I409"")"),0)</f>
        <v>0</v>
      </c>
      <c r="J514" s="199">
        <f ca="1">IFERROR(__xludf.DUMMYFUNCTION("IMPORTRANGE(""https://docs.google.com/spreadsheets/d/11923uPwbBZFjjGgGUA6NLw09EwE0CqkOc4q9oUmW1yo/edit?usp=sharing"",""แม่ฮ่องสอน!J409"")"),0)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IFERROR(__xludf.DUMMYFUNCTION("IMPORTRANGE(""https://docs.google.com/spreadsheets/d/11923uPwbBZFjjGgGUA6NLw09EwE0CqkOc4q9oUmW1yo/edit?usp=sharing"",""แม่ฮ่องสอน!I410"")"),0)</f>
        <v>0</v>
      </c>
      <c r="J515" s="199">
        <f ca="1">IFERROR(__xludf.DUMMYFUNCTION("IMPORTRANGE(""https://docs.google.com/spreadsheets/d/11923uPwbBZFjjGgGUA6NLw09EwE0CqkOc4q9oUmW1yo/edit?usp=sharing"",""แม่ฮ่องสอน!J410"")"),0)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IFERROR(__xludf.DUMMYFUNCTION("IMPORTRANGE(""https://docs.google.com/spreadsheets/d/11923uPwbBZFjjGgGUA6NLw09EwE0CqkOc4q9oUmW1yo/edit?usp=sharing"",""แม่ฮ่องสอน!I411"")"),0)</f>
        <v>0</v>
      </c>
      <c r="J516" s="268">
        <f ca="1">IFERROR(__xludf.DUMMYFUNCTION("IMPORTRANGE(""https://docs.google.com/spreadsheets/d/11923uPwbBZFjjGgGUA6NLw09EwE0CqkOc4q9oUmW1yo/edit?usp=sharing"",""แม่ฮ่องสอน!J411"")"),0)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IFERROR(__xludf.DUMMYFUNCTION("IMPORTRANGE(""https://docs.google.com/spreadsheets/d/11923uPwbBZFjjGgGUA6NLw09EwE0CqkOc4q9oUmW1yo/edit?usp=sharing"",""แม่ฮ่องสอน!I412"")"),0)</f>
        <v>0</v>
      </c>
      <c r="J517" s="285">
        <f ca="1">IFERROR(__xludf.DUMMYFUNCTION("IMPORTRANGE(""https://docs.google.com/spreadsheets/d/11923uPwbBZFjjGgGUA6NLw09EwE0CqkOc4q9oUmW1yo/edit?usp=sharing"",""แม่ฮ่องสอน!J412"")"),0)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IFERROR(__xludf.DUMMYFUNCTION("IMPORTRANGE(""https://docs.google.com/spreadsheets/d/11923uPwbBZFjjGgGUA6NLw09EwE0CqkOc4q9oUmW1yo/edit?usp=sharing"",""แม่ฮ่องสอน!I413"")"),0)</f>
        <v>0</v>
      </c>
      <c r="J518" s="285">
        <f ca="1">IFERROR(__xludf.DUMMYFUNCTION("IMPORTRANGE(""https://docs.google.com/spreadsheets/d/11923uPwbBZFjjGgGUA6NLw09EwE0CqkOc4q9oUmW1yo/edit?usp=sharing"",""แม่ฮ่องสอน!J413"")"),0)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IFERROR(__xludf.DUMMYFUNCTION("IMPORTRANGE(""https://docs.google.com/spreadsheets/d/11923uPwbBZFjjGgGUA6NLw09EwE0CqkOc4q9oUmW1yo/edit?usp=sharing"",""แม่ฮ่องสอน!I414"")"),0)</f>
        <v>0</v>
      </c>
      <c r="J519" s="189">
        <f ca="1">IFERROR(__xludf.DUMMYFUNCTION("IMPORTRANGE(""https://docs.google.com/spreadsheets/d/11923uPwbBZFjjGgGUA6NLw09EwE0CqkOc4q9oUmW1yo/edit?usp=sharing"",""แม่ฮ่องสอน!J414"")"),0)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IFERROR(__xludf.DUMMYFUNCTION("IMPORTRANGE(""https://docs.google.com/spreadsheets/d/11923uPwbBZFjjGgGUA6NLw09EwE0CqkOc4q9oUmW1yo/edit?usp=sharing"",""แม่ฮ่องสอน!I415"")"),0)</f>
        <v>0</v>
      </c>
      <c r="J520" s="189">
        <f ca="1">IFERROR(__xludf.DUMMYFUNCTION("IMPORTRANGE(""https://docs.google.com/spreadsheets/d/11923uPwbBZFjjGgGUA6NLw09EwE0CqkOc4q9oUmW1yo/edit?usp=sharing"",""แม่ฮ่องสอน!J415"")"),0)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IFERROR(__xludf.DUMMYFUNCTION("IMPORTRANGE(""https://docs.google.com/spreadsheets/d/11923uPwbBZFjjGgGUA6NLw09EwE0CqkOc4q9oUmW1yo/edit?usp=sharing"",""แม่ฮ่องสอน!I416"")"),0)</f>
        <v>0</v>
      </c>
      <c r="J521" s="189">
        <f ca="1">IFERROR(__xludf.DUMMYFUNCTION("IMPORTRANGE(""https://docs.google.com/spreadsheets/d/11923uPwbBZFjjGgGUA6NLw09EwE0CqkOc4q9oUmW1yo/edit?usp=sharing"",""แม่ฮ่องสอน!J416"")"),0)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IFERROR(__xludf.DUMMYFUNCTION("IMPORTRANGE(""https://docs.google.com/spreadsheets/d/11923uPwbBZFjjGgGUA6NLw09EwE0CqkOc4q9oUmW1yo/edit?usp=sharing"",""แม่ฮ่องสอน!I417"")"),0)</f>
        <v>0</v>
      </c>
      <c r="J522" s="189">
        <f ca="1">IFERROR(__xludf.DUMMYFUNCTION("IMPORTRANGE(""https://docs.google.com/spreadsheets/d/11923uPwbBZFjjGgGUA6NLw09EwE0CqkOc4q9oUmW1yo/edit?usp=sharing"",""แม่ฮ่องสอน!J417"")"),0)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IFERROR(__xludf.DUMMYFUNCTION("IMPORTRANGE(""https://docs.google.com/spreadsheets/d/11923uPwbBZFjjGgGUA6NLw09EwE0CqkOc4q9oUmW1yo/edit?usp=sharing"",""แม่ฮ่องสอน!I418"")"),0)</f>
        <v>0</v>
      </c>
      <c r="J523" s="189">
        <f ca="1">IFERROR(__xludf.DUMMYFUNCTION("IMPORTRANGE(""https://docs.google.com/spreadsheets/d/11923uPwbBZFjjGgGUA6NLw09EwE0CqkOc4q9oUmW1yo/edit?usp=sharing"",""แม่ฮ่องสอน!J418"")"),24)</f>
        <v>24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IFERROR(__xludf.DUMMYFUNCTION("IMPORTRANGE(""https://docs.google.com/spreadsheets/d/11923uPwbBZFjjGgGUA6NLw09EwE0CqkOc4q9oUmW1yo/edit?usp=sharing"",""แม่ฮ่องสอน!I419"")"),0)</f>
        <v>0</v>
      </c>
      <c r="J524" s="189">
        <f ca="1">IFERROR(__xludf.DUMMYFUNCTION("IMPORTRANGE(""https://docs.google.com/spreadsheets/d/11923uPwbBZFjjGgGUA6NLw09EwE0CqkOc4q9oUmW1yo/edit?usp=sharing"",""แม่ฮ่องสอน!J419"")"),4)</f>
        <v>4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IFERROR(__xludf.DUMMYFUNCTION("IMPORTRANGE(""https://docs.google.com/spreadsheets/d/11923uPwbBZFjjGgGUA6NLw09EwE0CqkOc4q9oUmW1yo/edit?usp=sharing"",""แม่ฮ่องสอน!I420"")"),24)</f>
        <v>24</v>
      </c>
      <c r="J525" s="285">
        <f ca="1">IFERROR(__xludf.DUMMYFUNCTION("IMPORTRANGE(""https://docs.google.com/spreadsheets/d/11923uPwbBZFjjGgGUA6NLw09EwE0CqkOc4q9oUmW1yo/edit?usp=sharing"",""แม่ฮ่องสอน!J420"")"),24)</f>
        <v>24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IFERROR(__xludf.DUMMYFUNCTION("IMPORTRANGE(""https://docs.google.com/spreadsheets/d/11923uPwbBZFjjGgGUA6NLw09EwE0CqkOc4q9oUmW1yo/edit?usp=sharing"",""แม่ฮ่องสอน!I421"")"),4)</f>
        <v>4</v>
      </c>
      <c r="J526" s="285">
        <f ca="1">IFERROR(__xludf.DUMMYFUNCTION("IMPORTRANGE(""https://docs.google.com/spreadsheets/d/11923uPwbBZFjjGgGUA6NLw09EwE0CqkOc4q9oUmW1yo/edit?usp=sharing"",""แม่ฮ่องสอน!J421"")"),4)</f>
        <v>4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IFERROR(__xludf.DUMMYFUNCTION("IMPORTRANGE(""https://docs.google.com/spreadsheets/d/11923uPwbBZFjjGgGUA6NLw09EwE0CqkOc4q9oUmW1yo/edit?usp=sharing"",""แม่ฮ่องสอน!I422"")"),0)</f>
        <v>0</v>
      </c>
      <c r="J527" s="199">
        <f ca="1">IFERROR(__xludf.DUMMYFUNCTION("IMPORTRANGE(""https://docs.google.com/spreadsheets/d/11923uPwbBZFjjGgGUA6NLw09EwE0CqkOc4q9oUmW1yo/edit?usp=sharing"",""แม่ฮ่องสอน!J422"")"),2.75)</f>
        <v>2.75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IFERROR(__xludf.DUMMYFUNCTION("IMPORTRANGE(""https://docs.google.com/spreadsheets/d/11923uPwbBZFjjGgGUA6NLw09EwE0CqkOc4q9oUmW1yo/edit?usp=sharing"",""แม่ฮ่องสอน!I423"")"),0)</f>
        <v>0</v>
      </c>
      <c r="J528" s="199">
        <f ca="1">IFERROR(__xludf.DUMMYFUNCTION("IMPORTRANGE(""https://docs.google.com/spreadsheets/d/11923uPwbBZFjjGgGUA6NLw09EwE0CqkOc4q9oUmW1yo/edit?usp=sharing"",""แม่ฮ่องสอน!J423"")"),1)</f>
        <v>1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IFERROR(__xludf.DUMMYFUNCTION("IMPORTRANGE(""https://docs.google.com/spreadsheets/d/11923uPwbBZFjjGgGUA6NLw09EwE0CqkOc4q9oUmW1yo/edit?usp=sharing"",""แม่ฮ่องสอน!I424"")"),0)</f>
        <v>0</v>
      </c>
      <c r="J529" s="199">
        <f ca="1">IFERROR(__xludf.DUMMYFUNCTION("IMPORTRANGE(""https://docs.google.com/spreadsheets/d/11923uPwbBZFjjGgGUA6NLw09EwE0CqkOc4q9oUmW1yo/edit?usp=sharing"",""แม่ฮ่องสอน!J424"")"),21.25)</f>
        <v>21.25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IFERROR(__xludf.DUMMYFUNCTION("IMPORTRANGE(""https://docs.google.com/spreadsheets/d/11923uPwbBZFjjGgGUA6NLw09EwE0CqkOc4q9oUmW1yo/edit?usp=sharing"",""แม่ฮ่องสอน!I425"")"),0)</f>
        <v>0</v>
      </c>
      <c r="J530" s="199">
        <f ca="1">IFERROR(__xludf.DUMMYFUNCTION("IMPORTRANGE(""https://docs.google.com/spreadsheets/d/11923uPwbBZFjjGgGUA6NLw09EwE0CqkOc4q9oUmW1yo/edit?usp=sharing"",""แม่ฮ่องสอน!J425"")"),3)</f>
        <v>3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IFERROR(__xludf.DUMMYFUNCTION("IMPORTRANGE(""https://docs.google.com/spreadsheets/d/11923uPwbBZFjjGgGUA6NLw09EwE0CqkOc4q9oUmW1yo/edit?usp=sharing"",""แม่ฮ่องสอน!I426"")"),0)</f>
        <v>0</v>
      </c>
      <c r="J531" s="199">
        <f ca="1">IFERROR(__xludf.DUMMYFUNCTION("IMPORTRANGE(""https://docs.google.com/spreadsheets/d/11923uPwbBZFjjGgGUA6NLw09EwE0CqkOc4q9oUmW1yo/edit?usp=sharing"",""แม่ฮ่องสอน!J426"")"),0)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IFERROR(__xludf.DUMMYFUNCTION("IMPORTRANGE(""https://docs.google.com/spreadsheets/d/11923uPwbBZFjjGgGUA6NLw09EwE0CqkOc4q9oUmW1yo/edit?usp=sharing"",""แม่ฮ่องสอน!I427"")"),0)</f>
        <v>0</v>
      </c>
      <c r="J532" s="468">
        <f ca="1">IFERROR(__xludf.DUMMYFUNCTION("IMPORTRANGE(""https://docs.google.com/spreadsheets/d/11923uPwbBZFjjGgGUA6NLw09EwE0CqkOc4q9oUmW1yo/edit?usp=sharing"",""แม่ฮ่องสอน!J427"")"),0)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IFERROR(__xludf.DUMMYFUNCTION("IMPORTRANGE(""https://docs.google.com/spreadsheets/d/11923uPwbBZFjjGgGUA6NLw09EwE0CqkOc4q9oUmW1yo/edit?usp=sharing"",""แม่ฮ่องสอน!I428"")"),22)</f>
        <v>22</v>
      </c>
      <c r="J533" s="411">
        <f ca="1">IFERROR(__xludf.DUMMYFUNCTION("IMPORTRANGE(""https://docs.google.com/spreadsheets/d/11923uPwbBZFjjGgGUA6NLw09EwE0CqkOc4q9oUmW1yo/edit?usp=sharing"",""แม่ฮ่องสอน!J428"")"),22)</f>
        <v>22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IFERROR(__xludf.DUMMYFUNCTION("IMPORTRANGE(""https://docs.google.com/spreadsheets/d/11923uPwbBZFjjGgGUA6NLw09EwE0CqkOc4q9oUmW1yo/edit?usp=sharing"",""แม่ฮ่องสอน!L428"")"),34340)</f>
        <v>34340</v>
      </c>
      <c r="M533" s="413"/>
      <c r="N533" s="413">
        <f ca="1">IFERROR(__xludf.DUMMYFUNCTION("IMPORTRANGE(""https://docs.google.com/spreadsheets/d/11923uPwbBZFjjGgGUA6NLw09EwE0CqkOc4q9oUmW1yo/edit?usp=sharing"",""แม่ฮ่องสอน!M428"")"),30107)</f>
        <v>30107</v>
      </c>
      <c r="O533" s="413">
        <f t="shared" ref="O533:O537" ca="1" si="118">+IF(L533&gt;0,N533*100/L533,0)</f>
        <v>87.67326732673267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IFERROR(__xludf.DUMMYFUNCTION("IMPORTRANGE(""https://docs.google.com/spreadsheets/d/11923uPwbBZFjjGgGUA6NLw09EwE0CqkOc4q9oUmW1yo/edit?usp=sharing"",""แม่ฮ่องสอน!L429"")"),0)</f>
        <v>0</v>
      </c>
      <c r="M534" s="166"/>
      <c r="N534" s="170">
        <f ca="1">IFERROR(__xludf.DUMMYFUNCTION("IMPORTRANGE(""https://docs.google.com/spreadsheets/d/11923uPwbBZFjjGgGUA6NLw09EwE0CqkOc4q9oUmW1yo/edit?usp=sharing"",""แม่ฮ่องสอน!M429"")"),0)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IFERROR(__xludf.DUMMYFUNCTION("IMPORTRANGE(""https://docs.google.com/spreadsheets/d/11923uPwbBZFjjGgGUA6NLw09EwE0CqkOc4q9oUmW1yo/edit?usp=sharing"",""แม่ฮ่องสอน!L430"")"),34340)</f>
        <v>34340</v>
      </c>
      <c r="M535" s="167"/>
      <c r="N535" s="170">
        <f ca="1">IFERROR(__xludf.DUMMYFUNCTION("IMPORTRANGE(""https://docs.google.com/spreadsheets/d/11923uPwbBZFjjGgGUA6NLw09EwE0CqkOc4q9oUmW1yo/edit?usp=sharing"",""แม่ฮ่องสอน!M430"")"),30107)</f>
        <v>30107</v>
      </c>
      <c r="O535" s="170">
        <f t="shared" ca="1" si="118"/>
        <v>87.67326732673267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IFERROR(__xludf.DUMMYFUNCTION("IMPORTRANGE(""https://docs.google.com/spreadsheets/d/11923uPwbBZFjjGgGUA6NLw09EwE0CqkOc4q9oUmW1yo/edit?usp=sharing"",""แม่ฮ่องสอน!L431"")"),0)</f>
        <v>0</v>
      </c>
      <c r="M536" s="170"/>
      <c r="N536" s="170">
        <f ca="1">IFERROR(__xludf.DUMMYFUNCTION("IMPORTRANGE(""https://docs.google.com/spreadsheets/d/11923uPwbBZFjjGgGUA6NLw09EwE0CqkOc4q9oUmW1yo/edit?usp=sharing"",""แม่ฮ่องสอน!M431"")"),0)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IFERROR(__xludf.DUMMYFUNCTION("IMPORTRANGE(""https://docs.google.com/spreadsheets/d/11923uPwbBZFjjGgGUA6NLw09EwE0CqkOc4q9oUmW1yo/edit?usp=sharing"",""แม่ฮ่องสอน!L432"")"),34340)</f>
        <v>34340</v>
      </c>
      <c r="M537" s="170"/>
      <c r="N537" s="170">
        <f ca="1">IFERROR(__xludf.DUMMYFUNCTION("IMPORTRANGE(""https://docs.google.com/spreadsheets/d/11923uPwbBZFjjGgGUA6NLw09EwE0CqkOc4q9oUmW1yo/edit?usp=sharing"",""แม่ฮ่องสอน!M432"")"),30107)</f>
        <v>30107</v>
      </c>
      <c r="O537" s="170">
        <f t="shared" ca="1" si="118"/>
        <v>87.67326732673267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IFERROR(__xludf.DUMMYFUNCTION("IMPORTRANGE(""https://docs.google.com/spreadsheets/d/11923uPwbBZFjjGgGUA6NLw09EwE0CqkOc4q9oUmW1yo/edit?usp=sharing"",""แม่ฮ่องสอน!M433"")"),18740)</f>
        <v>18740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IFERROR(__xludf.DUMMYFUNCTION("IMPORTRANGE(""https://docs.google.com/spreadsheets/d/11923uPwbBZFjjGgGUA6NLw09EwE0CqkOc4q9oUmW1yo/edit?usp=sharing"",""แม่ฮ่องสอน!M434"")"),0)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IFERROR(__xludf.DUMMYFUNCTION("IMPORTRANGE(""https://docs.google.com/spreadsheets/d/11923uPwbBZFjjGgGUA6NLw09EwE0CqkOc4q9oUmW1yo/edit?usp=sharing"",""แม่ฮ่องสอน!M435"")"),0)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IFERROR(__xludf.DUMMYFUNCTION("IMPORTRANGE(""https://docs.google.com/spreadsheets/d/11923uPwbBZFjjGgGUA6NLw09EwE0CqkOc4q9oUmW1yo/edit?usp=sharing"",""แม่ฮ่องสอน!M436"")"),11367)</f>
        <v>11367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IFERROR(__xludf.DUMMYFUNCTION("IMPORTRANGE(""https://docs.google.com/spreadsheets/d/11923uPwbBZFjjGgGUA6NLw09EwE0CqkOc4q9oUmW1yo/edit?usp=sharing"",""แม่ฮ่องสอน!J438"")"),0)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IFERROR(__xludf.DUMMYFUNCTION("IMPORTRANGE(""https://docs.google.com/spreadsheets/d/11923uPwbBZFjjGgGUA6NLw09EwE0CqkOc4q9oUmW1yo/edit?usp=sharing"",""แม่ฮ่องสอน!J439"")"),1)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IFERROR(__xludf.DUMMYFUNCTION("IMPORTRANGE(""https://docs.google.com/spreadsheets/d/11923uPwbBZFjjGgGUA6NLw09EwE0CqkOc4q9oUmW1yo/edit?usp=sharing"",""แม่ฮ่องสอน!J440"")"),1)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IFERROR(__xludf.DUMMYFUNCTION("IMPORTRANGE(""https://docs.google.com/spreadsheets/d/11923uPwbBZFjjGgGUA6NLw09EwE0CqkOc4q9oUmW1yo/edit?usp=sharing"",""แม่ฮ่องสอน!J441"")"),1)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IFERROR(__xludf.DUMMYFUNCTION("IMPORTRANGE(""https://docs.google.com/spreadsheets/d/11923uPwbBZFjjGgGUA6NLw09EwE0CqkOc4q9oUmW1yo/edit?usp=sharing"",""แม่ฮ่องสอน!I442"")"),22)</f>
        <v>22</v>
      </c>
      <c r="J547" s="190">
        <f ca="1">IFERROR(__xludf.DUMMYFUNCTION("IMPORTRANGE(""https://docs.google.com/spreadsheets/d/11923uPwbBZFjjGgGUA6NLw09EwE0CqkOc4q9oUmW1yo/edit?usp=sharing"",""แม่ฮ่องสอน!J442"")"),22)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IFERROR(__xludf.DUMMYFUNCTION("IMPORTRANGE(""https://docs.google.com/spreadsheets/d/11923uPwbBZFjjGgGUA6NLw09EwE0CqkOc4q9oUmW1yo/edit?usp=sharing"",""แม่ฮ่องสอน!J166"")"),0)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IFERROR(__xludf.DUMMYFUNCTION("IMPORTRANGE(""https://docs.google.com/spreadsheets/d/11923uPwbBZFjjGgGUA6NLw09EwE0CqkOc4q9oUmW1yo/edit?usp=sharing"",""แม่ฮ่องสอน!J444"")"),0)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IFERROR(__xludf.DUMMYFUNCTION("IMPORTRANGE(""https://docs.google.com/spreadsheets/d/11923uPwbBZFjjGgGUA6NLw09EwE0CqkOc4q9oUmW1yo/edit?usp=sharing"",""แม่ฮ่องสอน!J445"")"),0)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IFERROR(__xludf.DUMMYFUNCTION("IMPORTRANGE(""https://docs.google.com/spreadsheets/d/11923uPwbBZFjjGgGUA6NLw09EwE0CqkOc4q9oUmW1yo/edit?usp=sharing"",""แม่ฮ่องสอน!I446"")"),0)</f>
        <v>0</v>
      </c>
      <c r="J551" s="411">
        <f ca="1">IFERROR(__xludf.DUMMYFUNCTION("IMPORTRANGE(""https://docs.google.com/spreadsheets/d/11923uPwbBZFjjGgGUA6NLw09EwE0CqkOc4q9oUmW1yo/edit?usp=sharing"",""แม่ฮ่องสอน!J446"")"),0)</f>
        <v>0</v>
      </c>
      <c r="K551" s="412">
        <f ca="1">IF(I551&gt;0,J551*100/I551,0)</f>
        <v>0</v>
      </c>
      <c r="L551" s="413">
        <f ca="1">IFERROR(__xludf.DUMMYFUNCTION("IMPORTRANGE(""https://docs.google.com/spreadsheets/d/11923uPwbBZFjjGgGUA6NLw09EwE0CqkOc4q9oUmW1yo/edit?usp=sharing"",""แม่ฮ่องสอน!L446"")"),0)</f>
        <v>0</v>
      </c>
      <c r="M551" s="413"/>
      <c r="N551" s="413">
        <f ca="1">IFERROR(__xludf.DUMMYFUNCTION("IMPORTRANGE(""https://docs.google.com/spreadsheets/d/11923uPwbBZFjjGgGUA6NLw09EwE0CqkOc4q9oUmW1yo/edit?usp=sharing"",""แม่ฮ่องสอน!M446"")"),0)</f>
        <v>0</v>
      </c>
      <c r="O551" s="413">
        <f t="shared" ref="O551:O555" ca="1" si="120">+IF(L551&gt;0,N551*100/L551,0)</f>
        <v>0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IFERROR(__xludf.DUMMYFUNCTION("IMPORTRANGE(""https://docs.google.com/spreadsheets/d/11923uPwbBZFjjGgGUA6NLw09EwE0CqkOc4q9oUmW1yo/edit?usp=sharing"",""แม่ฮ่องสอน!L447"")"),0)</f>
        <v>0</v>
      </c>
      <c r="M552" s="166"/>
      <c r="N552" s="170">
        <f ca="1">IFERROR(__xludf.DUMMYFUNCTION("IMPORTRANGE(""https://docs.google.com/spreadsheets/d/11923uPwbBZFjjGgGUA6NLw09EwE0CqkOc4q9oUmW1yo/edit?usp=sharing"",""แม่ฮ่องสอน!M447"")"),0)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IFERROR(__xludf.DUMMYFUNCTION("IMPORTRANGE(""https://docs.google.com/spreadsheets/d/11923uPwbBZFjjGgGUA6NLw09EwE0CqkOc4q9oUmW1yo/edit?usp=sharing"",""แม่ฮ่องสอน!L448"")"),0)</f>
        <v>0</v>
      </c>
      <c r="M553" s="167"/>
      <c r="N553" s="170">
        <f ca="1">IFERROR(__xludf.DUMMYFUNCTION("IMPORTRANGE(""https://docs.google.com/spreadsheets/d/11923uPwbBZFjjGgGUA6NLw09EwE0CqkOc4q9oUmW1yo/edit?usp=sharing"",""แม่ฮ่องสอน!M448"")"),0)</f>
        <v>0</v>
      </c>
      <c r="O553" s="170">
        <f t="shared" ca="1" si="120"/>
        <v>0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IFERROR(__xludf.DUMMYFUNCTION("IMPORTRANGE(""https://docs.google.com/spreadsheets/d/11923uPwbBZFjjGgGUA6NLw09EwE0CqkOc4q9oUmW1yo/edit?usp=sharing"",""แม่ฮ่องสอน!L449"")"),0)</f>
        <v>0</v>
      </c>
      <c r="M554" s="170"/>
      <c r="N554" s="170">
        <f ca="1">IFERROR(__xludf.DUMMYFUNCTION("IMPORTRANGE(""https://docs.google.com/spreadsheets/d/11923uPwbBZFjjGgGUA6NLw09EwE0CqkOc4q9oUmW1yo/edit?usp=sharing"",""แม่ฮ่องสอน!M449"")"),0)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IFERROR(__xludf.DUMMYFUNCTION("IMPORTRANGE(""https://docs.google.com/spreadsheets/d/11923uPwbBZFjjGgGUA6NLw09EwE0CqkOc4q9oUmW1yo/edit?usp=sharing"",""แม่ฮ่องสอน!L450"")"),0)</f>
        <v>0</v>
      </c>
      <c r="M555" s="170"/>
      <c r="N555" s="170">
        <f ca="1">IFERROR(__xludf.DUMMYFUNCTION("IMPORTRANGE(""https://docs.google.com/spreadsheets/d/11923uPwbBZFjjGgGUA6NLw09EwE0CqkOc4q9oUmW1yo/edit?usp=sharing"",""แม่ฮ่องสอน!M450"")"),0)</f>
        <v>0</v>
      </c>
      <c r="O555" s="170">
        <f t="shared" ca="1" si="120"/>
        <v>0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IFERROR(__xludf.DUMMYFUNCTION("IMPORTRANGE(""https://docs.google.com/spreadsheets/d/11923uPwbBZFjjGgGUA6NLw09EwE0CqkOc4q9oUmW1yo/edit?usp=sharing"",""แม่ฮ่องสอน!M451"")"),0)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IFERROR(__xludf.DUMMYFUNCTION("IMPORTRANGE(""https://docs.google.com/spreadsheets/d/11923uPwbBZFjjGgGUA6NLw09EwE0CqkOc4q9oUmW1yo/edit?usp=sharing"",""แม่ฮ่องสอน!M452"")"),0)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IFERROR(__xludf.DUMMYFUNCTION("IMPORTRANGE(""https://docs.google.com/spreadsheets/d/11923uPwbBZFjjGgGUA6NLw09EwE0CqkOc4q9oUmW1yo/edit?usp=sharing"",""แม่ฮ่องสอน!M453"")"),0)</f>
        <v>0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IFERROR(__xludf.DUMMYFUNCTION("IMPORTRANGE(""https://docs.google.com/spreadsheets/d/11923uPwbBZFjjGgGUA6NLw09EwE0CqkOc4q9oUmW1yo/edit?usp=sharing"",""แม่ฮ่องสอน!M454"")"),0)</f>
        <v>0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IFERROR(__xludf.DUMMYFUNCTION("IMPORTRANGE(""https://docs.google.com/spreadsheets/d/11923uPwbBZFjjGgGUA6NLw09EwE0CqkOc4q9oUmW1yo/edit?usp=sharing"",""แม่ฮ่องสอน!I455"")"),0)</f>
        <v>0</v>
      </c>
      <c r="J560" s="164">
        <f ca="1">IFERROR(__xludf.DUMMYFUNCTION("IMPORTRANGE(""https://docs.google.com/spreadsheets/d/11923uPwbBZFjjGgGUA6NLw09EwE0CqkOc4q9oUmW1yo/edit?usp=sharing"",""แม่ฮ่องสอน!J455"")"),0)</f>
        <v>0</v>
      </c>
      <c r="K560" s="225">
        <f t="shared" ref="K560:K561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IFERROR(__xludf.DUMMYFUNCTION("IMPORTRANGE(""https://docs.google.com/spreadsheets/d/11923uPwbBZFjjGgGUA6NLw09EwE0CqkOc4q9oUmW1yo/edit?usp=sharing"",""แม่ฮ่องสอน!I456"")"),0)</f>
        <v>0</v>
      </c>
      <c r="J561" s="205">
        <f ca="1">IFERROR(__xludf.DUMMYFUNCTION("IMPORTRANGE(""https://docs.google.com/spreadsheets/d/11923uPwbBZFjjGgGUA6NLw09EwE0CqkOc4q9oUmW1yo/edit?usp=sharing"",""แม่ฮ่องสอน!J456"")"),0)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IFERROR(__xludf.DUMMYFUNCTION("IMPORTRANGE(""https://docs.google.com/spreadsheets/d/11923uPwbBZFjjGgGUA6NLw09EwE0CqkOc4q9oUmW1yo/edit?usp=sharing"",""แม่ฮ่องสอน!I459"")"),250)</f>
        <v>250</v>
      </c>
      <c r="J564" s="372">
        <f ca="1">IFERROR(__xludf.DUMMYFUNCTION("IMPORTRANGE(""https://docs.google.com/spreadsheets/d/11923uPwbBZFjjGgGUA6NLw09EwE0CqkOc4q9oUmW1yo/edit?usp=sharing"",""แม่ฮ่องสอน!J459"")"),300)</f>
        <v>300</v>
      </c>
      <c r="K564" s="373">
        <f ca="1">IF(I564&gt;0,J564*100/I564,0)</f>
        <v>120</v>
      </c>
      <c r="L564" s="374">
        <f ca="1">IFERROR(__xludf.DUMMYFUNCTION("IMPORTRANGE(""https://docs.google.com/spreadsheets/d/11923uPwbBZFjjGgGUA6NLw09EwE0CqkOc4q9oUmW1yo/edit?usp=sharing"",""แม่ฮ่องสอน!L459"")"),130080)</f>
        <v>130080</v>
      </c>
      <c r="M564" s="374"/>
      <c r="N564" s="374">
        <f ca="1">IFERROR(__xludf.DUMMYFUNCTION("IMPORTRANGE(""https://docs.google.com/spreadsheets/d/11923uPwbBZFjjGgGUA6NLw09EwE0CqkOc4q9oUmW1yo/edit?usp=sharing"",""แม่ฮ่องสอน!M459"")"),70747)</f>
        <v>70747</v>
      </c>
      <c r="O564" s="374">
        <f t="shared" ref="O564:O568" ca="1" si="122">+IF(L564&gt;0,N564*100/L564,0)</f>
        <v>54.387300123001232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IFERROR(__xludf.DUMMYFUNCTION("IMPORTRANGE(""https://docs.google.com/spreadsheets/d/11923uPwbBZFjjGgGUA6NLw09EwE0CqkOc4q9oUmW1yo/edit?usp=sharing"",""แม่ฮ่องสอน!L460"")"),0)</f>
        <v>0</v>
      </c>
      <c r="M565" s="166"/>
      <c r="N565" s="170">
        <f ca="1">IFERROR(__xludf.DUMMYFUNCTION("IMPORTRANGE(""https://docs.google.com/spreadsheets/d/11923uPwbBZFjjGgGUA6NLw09EwE0CqkOc4q9oUmW1yo/edit?usp=sharing"",""แม่ฮ่องสอน!M460"")"),0)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7"/>
      <c r="N566" s="170">
        <f ca="1">IFERROR(__xludf.DUMMYFUNCTION("IMPORTRANGE(""https://docs.google.com/spreadsheets/d/11923uPwbBZFjjGgGUA6NLw09EwE0CqkOc4q9oUmW1yo/edit?usp=sharing"",""แม่ฮ่องสอน!M461"")"),70747)</f>
        <v>70747</v>
      </c>
      <c r="O566" s="170">
        <f t="shared" ca="1" si="122"/>
        <v>54.387300123001232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IFERROR(__xludf.DUMMYFUNCTION("IMPORTRANGE(""https://docs.google.com/spreadsheets/d/11923uPwbBZFjjGgGUA6NLw09EwE0CqkOc4q9oUmW1yo/edit?usp=sharing"",""แม่ฮ่องสอน!L462"")"),0)</f>
        <v>0</v>
      </c>
      <c r="M567" s="170"/>
      <c r="N567" s="170">
        <f ca="1">IFERROR(__xludf.DUMMYFUNCTION("IMPORTRANGE(""https://docs.google.com/spreadsheets/d/11923uPwbBZFjjGgGUA6NLw09EwE0CqkOc4q9oUmW1yo/edit?usp=sharing"",""แม่ฮ่องสอน!M462"")"),0)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IFERROR(__xludf.DUMMYFUNCTION("IMPORTRANGE(""https://docs.google.com/spreadsheets/d/11923uPwbBZFjjGgGUA6NLw09EwE0CqkOc4q9oUmW1yo/edit?usp=sharing"",""แม่ฮ่องสอน!L463"")"),130080)</f>
        <v>130080</v>
      </c>
      <c r="M568" s="170"/>
      <c r="N568" s="170">
        <f ca="1">IFERROR(__xludf.DUMMYFUNCTION("IMPORTRANGE(""https://docs.google.com/spreadsheets/d/11923uPwbBZFjjGgGUA6NLw09EwE0CqkOc4q9oUmW1yo/edit?usp=sharing"",""แม่ฮ่องสอน!M463"")"),70747)</f>
        <v>70747</v>
      </c>
      <c r="O568" s="170">
        <f t="shared" ca="1" si="122"/>
        <v>54.387300123001232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IFERROR(__xludf.DUMMYFUNCTION("IMPORTRANGE(""https://docs.google.com/spreadsheets/d/11923uPwbBZFjjGgGUA6NLw09EwE0CqkOc4q9oUmW1yo/edit?usp=sharing"",""แม่ฮ่องสอน!M464"")"),0)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IFERROR(__xludf.DUMMYFUNCTION("IMPORTRANGE(""https://docs.google.com/spreadsheets/d/11923uPwbBZFjjGgGUA6NLw09EwE0CqkOc4q9oUmW1yo/edit?usp=sharing"",""แม่ฮ่องสอน!M465"")"),0)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IFERROR(__xludf.DUMMYFUNCTION("IMPORTRANGE(""https://docs.google.com/spreadsheets/d/11923uPwbBZFjjGgGUA6NLw09EwE0CqkOc4q9oUmW1yo/edit?usp=sharing"",""แม่ฮ่องสอน!M466"")"),54607)</f>
        <v>54607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IFERROR(__xludf.DUMMYFUNCTION("IMPORTRANGE(""https://docs.google.com/spreadsheets/d/11923uPwbBZFjjGgGUA6NLw09EwE0CqkOc4q9oUmW1yo/edit?usp=sharing"",""แม่ฮ่องสอน!M467"")"),16140)</f>
        <v>16140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IFERROR(__xludf.DUMMYFUNCTION("IMPORTRANGE(""https://docs.google.com/spreadsheets/d/11923uPwbBZFjjGgGUA6NLw09EwE0CqkOc4q9oUmW1yo/edit?usp=sharing"",""แม่ฮ่องสอน!I468"")"),250)</f>
        <v>250</v>
      </c>
      <c r="J573" s="422">
        <f ca="1">IFERROR(__xludf.DUMMYFUNCTION("IMPORTRANGE(""https://docs.google.com/spreadsheets/d/11923uPwbBZFjjGgGUA6NLw09EwE0CqkOc4q9oUmW1yo/edit?usp=sharing"",""แม่ฮ่องสอน!J468"")"),300)</f>
        <v>300</v>
      </c>
      <c r="K573" s="203">
        <f ca="1">IF(I573&gt;0,J573*100/I573,0)</f>
        <v>120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IFERROR(__xludf.DUMMYFUNCTION("IMPORTRANGE(""https://docs.google.com/spreadsheets/d/11923uPwbBZFjjGgGUA6NLw09EwE0CqkOc4q9oUmW1yo/edit?usp=sharing"",""แม่ฮ่องสอน!I470"")"),0)</f>
        <v>0</v>
      </c>
      <c r="J575" s="199">
        <f ca="1">IFERROR(__xludf.DUMMYFUNCTION("IMPORTRANGE(""https://docs.google.com/spreadsheets/d/11923uPwbBZFjjGgGUA6NLw09EwE0CqkOc4q9oUmW1yo/edit?usp=sharing"",""แม่ฮ่องสอน!J470"")"),8)</f>
        <v>8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IFERROR(__xludf.DUMMYFUNCTION("IMPORTRANGE(""https://docs.google.com/spreadsheets/d/11923uPwbBZFjjGgGUA6NLw09EwE0CqkOc4q9oUmW1yo/edit?usp=sharing"",""แม่ฮ่องสอน!I471"")"),0)</f>
        <v>0</v>
      </c>
      <c r="J576" s="199">
        <f ca="1">IFERROR(__xludf.DUMMYFUNCTION("IMPORTRANGE(""https://docs.google.com/spreadsheets/d/11923uPwbBZFjjGgGUA6NLw09EwE0CqkOc4q9oUmW1yo/edit?usp=sharing"",""แม่ฮ่องสอน!J471"")"),215)</f>
        <v>215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IFERROR(__xludf.DUMMYFUNCTION("IMPORTRANGE(""https://docs.google.com/spreadsheets/d/11923uPwbBZFjjGgGUA6NLw09EwE0CqkOc4q9oUmW1yo/edit?usp=sharing"",""แม่ฮ่องสอน!I472"")"),0)</f>
        <v>0</v>
      </c>
      <c r="J577" s="190">
        <f ca="1">IFERROR(__xludf.DUMMYFUNCTION("IMPORTRANGE(""https://docs.google.com/spreadsheets/d/11923uPwbBZFjjGgGUA6NLw09EwE0CqkOc4q9oUmW1yo/edit?usp=sharing"",""แม่ฮ่องสอน!J472"")"),85)</f>
        <v>85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IFERROR(__xludf.DUMMYFUNCTION("IMPORTRANGE(""https://docs.google.com/spreadsheets/d/11923uPwbBZFjjGgGUA6NLw09EwE0CqkOc4q9oUmW1yo/edit?usp=sharing"",""แม่ฮ่องสอน!I473"")"),0)</f>
        <v>0</v>
      </c>
      <c r="J578" s="199">
        <f ca="1">IFERROR(__xludf.DUMMYFUNCTION("IMPORTRANGE(""https://docs.google.com/spreadsheets/d/11923uPwbBZFjjGgGUA6NLw09EwE0CqkOc4q9oUmW1yo/edit?usp=sharing"",""แม่ฮ่องสอน!J473"")"),0)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IFERROR(__xludf.DUMMYFUNCTION("IMPORTRANGE(""https://docs.google.com/spreadsheets/d/11923uPwbBZFjjGgGUA6NLw09EwE0CqkOc4q9oUmW1yo/edit?usp=sharing"",""แม่ฮ่องสอน!I474"")"),0)</f>
        <v>0</v>
      </c>
      <c r="J579" s="199">
        <f ca="1">IFERROR(__xludf.DUMMYFUNCTION("IMPORTRANGE(""https://docs.google.com/spreadsheets/d/11923uPwbBZFjjGgGUA6NLw09EwE0CqkOc4q9oUmW1yo/edit?usp=sharing"",""แม่ฮ่องสอน!J474"")"),0)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IFERROR(__xludf.DUMMYFUNCTION("IMPORTRANGE(""https://docs.google.com/spreadsheets/d/11923uPwbBZFjjGgGUA6NLw09EwE0CqkOc4q9oUmW1yo/edit?usp=sharing"",""แม่ฮ่องสอน!I475"")"),34)</f>
        <v>34</v>
      </c>
      <c r="J580" s="372">
        <f ca="1">IFERROR(__xludf.DUMMYFUNCTION("IMPORTRANGE(""https://docs.google.com/spreadsheets/d/11923uPwbBZFjjGgGUA6NLw09EwE0CqkOc4q9oUmW1yo/edit?usp=sharing"",""แม่ฮ่องสอน!J475"")"),0)</f>
        <v>0</v>
      </c>
      <c r="K580" s="373">
        <f ca="1">IF(I580&gt;0,J580*100/I580,0)</f>
        <v>0</v>
      </c>
      <c r="L580" s="374">
        <f ca="1">IFERROR(__xludf.DUMMYFUNCTION("IMPORTRANGE(""https://docs.google.com/spreadsheets/d/11923uPwbBZFjjGgGUA6NLw09EwE0CqkOc4q9oUmW1yo/edit?usp=sharing"",""แม่ฮ่องสอน!L475"")"),128934)</f>
        <v>128934</v>
      </c>
      <c r="M580" s="374"/>
      <c r="N580" s="374">
        <f ca="1">IFERROR(__xludf.DUMMYFUNCTION("IMPORTRANGE(""https://docs.google.com/spreadsheets/d/11923uPwbBZFjjGgGUA6NLw09EwE0CqkOc4q9oUmW1yo/edit?usp=sharing"",""แม่ฮ่องสอน!M475"")"),44620)</f>
        <v>44620</v>
      </c>
      <c r="O580" s="374">
        <f t="shared" ref="O580:O584" ca="1" si="124">+IF(L580&gt;0,N580*100/L580,0)</f>
        <v>34.606853118649852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IFERROR(__xludf.DUMMYFUNCTION("IMPORTRANGE(""https://docs.google.com/spreadsheets/d/11923uPwbBZFjjGgGUA6NLw09EwE0CqkOc4q9oUmW1yo/edit?usp=sharing"",""แม่ฮ่องสอน!L476"")"),0)</f>
        <v>0</v>
      </c>
      <c r="M581" s="166"/>
      <c r="N581" s="170">
        <f ca="1">IFERROR(__xludf.DUMMYFUNCTION("IMPORTRANGE(""https://docs.google.com/spreadsheets/d/11923uPwbBZFjjGgGUA6NLw09EwE0CqkOc4q9oUmW1yo/edit?usp=sharing"",""แม่ฮ่องสอน!M476"")"),0)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IFERROR(__xludf.DUMMYFUNCTION("IMPORTRANGE(""https://docs.google.com/spreadsheets/d/11923uPwbBZFjjGgGUA6NLw09EwE0CqkOc4q9oUmW1yo/edit?usp=sharing"",""แม่ฮ่องสอน!L477"")"),128934)</f>
        <v>128934</v>
      </c>
      <c r="M582" s="167"/>
      <c r="N582" s="170">
        <f ca="1">IFERROR(__xludf.DUMMYFUNCTION("IMPORTRANGE(""https://docs.google.com/spreadsheets/d/11923uPwbBZFjjGgGUA6NLw09EwE0CqkOc4q9oUmW1yo/edit?usp=sharing"",""แม่ฮ่องสอน!M477"")"),44620)</f>
        <v>44620</v>
      </c>
      <c r="O582" s="170">
        <f t="shared" ca="1" si="124"/>
        <v>34.606853118649852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IFERROR(__xludf.DUMMYFUNCTION("IMPORTRANGE(""https://docs.google.com/spreadsheets/d/11923uPwbBZFjjGgGUA6NLw09EwE0CqkOc4q9oUmW1yo/edit?usp=sharing"",""แม่ฮ่องสอน!L478"")"),0)</f>
        <v>0</v>
      </c>
      <c r="M583" s="170"/>
      <c r="N583" s="170">
        <f ca="1">IFERROR(__xludf.DUMMYFUNCTION("IMPORTRANGE(""https://docs.google.com/spreadsheets/d/11923uPwbBZFjjGgGUA6NLw09EwE0CqkOc4q9oUmW1yo/edit?usp=sharing"",""แม่ฮ่องสอน!M478"")"),0)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IFERROR(__xludf.DUMMYFUNCTION("IMPORTRANGE(""https://docs.google.com/spreadsheets/d/11923uPwbBZFjjGgGUA6NLw09EwE0CqkOc4q9oUmW1yo/edit?usp=sharing"",""แม่ฮ่องสอน!L479"")"),128934)</f>
        <v>128934</v>
      </c>
      <c r="M584" s="170"/>
      <c r="N584" s="170">
        <f ca="1">IFERROR(__xludf.DUMMYFUNCTION("IMPORTRANGE(""https://docs.google.com/spreadsheets/d/11923uPwbBZFjjGgGUA6NLw09EwE0CqkOc4q9oUmW1yo/edit?usp=sharing"",""แม่ฮ่องสอน!M479"")"),44620)</f>
        <v>44620</v>
      </c>
      <c r="O584" s="170">
        <f t="shared" ca="1" si="124"/>
        <v>34.606853118649852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IFERROR(__xludf.DUMMYFUNCTION("IMPORTRANGE(""https://docs.google.com/spreadsheets/d/11923uPwbBZFjjGgGUA6NLw09EwE0CqkOc4q9oUmW1yo/edit?usp=sharing"",""แม่ฮ่องสอน!M480"")"),0)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IFERROR(__xludf.DUMMYFUNCTION("IMPORTRANGE(""https://docs.google.com/spreadsheets/d/11923uPwbBZFjjGgGUA6NLw09EwE0CqkOc4q9oUmW1yo/edit?usp=sharing"",""แม่ฮ่องสอน!M481"")"),0)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IFERROR(__xludf.DUMMYFUNCTION("IMPORTRANGE(""https://docs.google.com/spreadsheets/d/11923uPwbBZFjjGgGUA6NLw09EwE0CqkOc4q9oUmW1yo/edit?usp=sharing"",""แม่ฮ่องสอน!M482"")"),0)</f>
        <v>0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IFERROR(__xludf.DUMMYFUNCTION("IMPORTRANGE(""https://docs.google.com/spreadsheets/d/11923uPwbBZFjjGgGUA6NLw09EwE0CqkOc4q9oUmW1yo/edit?usp=sharing"",""แม่ฮ่องสอน!M483"")"),44620)</f>
        <v>44620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IFERROR(__xludf.DUMMYFUNCTION("IMPORTRANGE(""https://docs.google.com/spreadsheets/d/11923uPwbBZFjjGgGUA6NLw09EwE0CqkOc4q9oUmW1yo/edit?usp=sharing"",""แม่ฮ่องสอน!I484"")"),34)</f>
        <v>34</v>
      </c>
      <c r="J589" s="189">
        <f ca="1">IFERROR(__xludf.DUMMYFUNCTION("IMPORTRANGE(""https://docs.google.com/spreadsheets/d/11923uPwbBZFjjGgGUA6NLw09EwE0CqkOc4q9oUmW1yo/edit?usp=sharing"",""แม่ฮ่องสอน!J484"")"),0)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IFERROR(__xludf.DUMMYFUNCTION("IMPORTRANGE(""https://docs.google.com/spreadsheets/d/11923uPwbBZFjjGgGUA6NLw09EwE0CqkOc4q9oUmW1yo/edit?usp=sharing"",""แม่ฮ่องสอน!I485"")"),0)</f>
        <v>0</v>
      </c>
      <c r="J590" s="189">
        <f ca="1">IFERROR(__xludf.DUMMYFUNCTION("IMPORTRANGE(""https://docs.google.com/spreadsheets/d/11923uPwbBZFjjGgGUA6NLw09EwE0CqkOc4q9oUmW1yo/edit?usp=sharing"",""แม่ฮ่องสอน!J485"")"),0)</f>
        <v>0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IFERROR(__xludf.DUMMYFUNCTION("IMPORTRANGE(""https://docs.google.com/spreadsheets/d/11923uPwbBZFjjGgGUA6NLw09EwE0CqkOc4q9oUmW1yo/edit?usp=sharing"",""แม่ฮ่องสอน!I486"")"),34)</f>
        <v>34</v>
      </c>
      <c r="J591" s="189">
        <f ca="1">IFERROR(__xludf.DUMMYFUNCTION("IMPORTRANGE(""https://docs.google.com/spreadsheets/d/11923uPwbBZFjjGgGUA6NLw09EwE0CqkOc4q9oUmW1yo/edit?usp=sharing"",""แม่ฮ่องสอน!J486"")"),0)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IFERROR(__xludf.DUMMYFUNCTION("IMPORTRANGE(""https://docs.google.com/spreadsheets/d/11923uPwbBZFjjGgGUA6NLw09EwE0CqkOc4q9oUmW1yo/edit?usp=sharing"",""แม่ฮ่องสอน!I487"")"),0)</f>
        <v>0</v>
      </c>
      <c r="J592" s="189">
        <f ca="1">IFERROR(__xludf.DUMMYFUNCTION("IMPORTRANGE(""https://docs.google.com/spreadsheets/d/11923uPwbBZFjjGgGUA6NLw09EwE0CqkOc4q9oUmW1yo/edit?usp=sharing"",""แม่ฮ่องสอน!J487"")"),0)</f>
        <v>0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IFERROR(__xludf.DUMMYFUNCTION("IMPORTRANGE(""https://docs.google.com/spreadsheets/d/11923uPwbBZFjjGgGUA6NLw09EwE0CqkOc4q9oUmW1yo/edit?usp=sharing"",""แม่ฮ่องสอน!I488"")"),34)</f>
        <v>34</v>
      </c>
      <c r="J593" s="189">
        <f ca="1">IFERROR(__xludf.DUMMYFUNCTION("IMPORTRANGE(""https://docs.google.com/spreadsheets/d/11923uPwbBZFjjGgGUA6NLw09EwE0CqkOc4q9oUmW1yo/edit?usp=sharing"",""แม่ฮ่องสอน!J488"")"),0)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IFERROR(__xludf.DUMMYFUNCTION("IMPORTRANGE(""https://docs.google.com/spreadsheets/d/11923uPwbBZFjjGgGUA6NLw09EwE0CqkOc4q9oUmW1yo/edit?usp=sharing"",""แม่ฮ่องสอน!I489"")"),0)</f>
        <v>0</v>
      </c>
      <c r="J594" s="189">
        <f ca="1">IFERROR(__xludf.DUMMYFUNCTION("IMPORTRANGE(""https://docs.google.com/spreadsheets/d/11923uPwbBZFjjGgGUA6NLw09EwE0CqkOc4q9oUmW1yo/edit?usp=sharing"",""แม่ฮ่องสอน!J489"")"),0)</f>
        <v>0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IFERROR(__xludf.DUMMYFUNCTION("IMPORTRANGE(""https://docs.google.com/spreadsheets/d/11923uPwbBZFjjGgGUA6NLw09EwE0CqkOc4q9oUmW1yo/edit?usp=sharing"",""แม่ฮ่องสอน!I490"")"),34)</f>
        <v>34</v>
      </c>
      <c r="J595" s="189">
        <f ca="1">IFERROR(__xludf.DUMMYFUNCTION("IMPORTRANGE(""https://docs.google.com/spreadsheets/d/11923uPwbBZFjjGgGUA6NLw09EwE0CqkOc4q9oUmW1yo/edit?usp=sharing"",""แม่ฮ่องสอน!J490"")"),0)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IFERROR(__xludf.DUMMYFUNCTION("IMPORTRANGE(""https://docs.google.com/spreadsheets/d/11923uPwbBZFjjGgGUA6NLw09EwE0CqkOc4q9oUmW1yo/edit?usp=sharing"",""แม่ฮ่องสอน!I491"")"),0)</f>
        <v>0</v>
      </c>
      <c r="J596" s="242">
        <f ca="1">IFERROR(__xludf.DUMMYFUNCTION("IMPORTRANGE(""https://docs.google.com/spreadsheets/d/11923uPwbBZFjjGgGUA6NLw09EwE0CqkOc4q9oUmW1yo/edit?usp=sharing"",""แม่ฮ่องสอน!J491"")"),0)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IFERROR(__xludf.DUMMYFUNCTION("IMPORTRANGE(""https://docs.google.com/spreadsheets/d/11923uPwbBZFjjGgGUA6NLw09EwE0CqkOc4q9oUmW1yo/edit?usp=sharing"",""แม่ฮ่องสอน!I492"")"),50)</f>
        <v>50</v>
      </c>
      <c r="J597" s="489">
        <f ca="1">IFERROR(__xludf.DUMMYFUNCTION("IMPORTRANGE(""https://docs.google.com/spreadsheets/d/11923uPwbBZFjjGgGUA6NLw09EwE0CqkOc4q9oUmW1yo/edit?usp=sharing"",""แม่ฮ่องสอน!J492"")"),0)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IFERROR(__xludf.DUMMYFUNCTION("IMPORTRANGE(""https://docs.google.com/spreadsheets/d/11923uPwbBZFjjGgGUA6NLw09EwE0CqkOc4q9oUmW1yo/edit?usp=sharing"",""แม่ฮ่องสอน!L492"")"),6950)</f>
        <v>6950</v>
      </c>
      <c r="M597" s="413"/>
      <c r="N597" s="413">
        <f ca="1">IFERROR(__xludf.DUMMYFUNCTION("IMPORTRANGE(""https://docs.google.com/spreadsheets/d/11923uPwbBZFjjGgGUA6NLw09EwE0CqkOc4q9oUmW1yo/edit?usp=sharing"",""แม่ฮ่องสอน!M492"")"),3910)</f>
        <v>3910</v>
      </c>
      <c r="O597" s="413">
        <f t="shared" ref="O597:O601" ca="1" si="126">+IF(L597&gt;0,N597*100/L597,0)</f>
        <v>56.258992805755398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IFERROR(__xludf.DUMMYFUNCTION("IMPORTRANGE(""https://docs.google.com/spreadsheets/d/11923uPwbBZFjjGgGUA6NLw09EwE0CqkOc4q9oUmW1yo/edit?usp=sharing"",""แม่ฮ่องสอน!L493"")"),0)</f>
        <v>0</v>
      </c>
      <c r="M598" s="166"/>
      <c r="N598" s="170">
        <f ca="1">IFERROR(__xludf.DUMMYFUNCTION("IMPORTRANGE(""https://docs.google.com/spreadsheets/d/11923uPwbBZFjjGgGUA6NLw09EwE0CqkOc4q9oUmW1yo/edit?usp=sharing"",""แม่ฮ่องสอน!M493"")"),0)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IFERROR(__xludf.DUMMYFUNCTION("IMPORTRANGE(""https://docs.google.com/spreadsheets/d/11923uPwbBZFjjGgGUA6NLw09EwE0CqkOc4q9oUmW1yo/edit?usp=sharing"",""แม่ฮ่องสอน!L494"")"),6950)</f>
        <v>6950</v>
      </c>
      <c r="M599" s="167"/>
      <c r="N599" s="170">
        <f ca="1">IFERROR(__xludf.DUMMYFUNCTION("IMPORTRANGE(""https://docs.google.com/spreadsheets/d/11923uPwbBZFjjGgGUA6NLw09EwE0CqkOc4q9oUmW1yo/edit?usp=sharing"",""แม่ฮ่องสอน!M494"")"),3910)</f>
        <v>3910</v>
      </c>
      <c r="O599" s="170">
        <f t="shared" ca="1" si="126"/>
        <v>56.258992805755398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IFERROR(__xludf.DUMMYFUNCTION("IMPORTRANGE(""https://docs.google.com/spreadsheets/d/11923uPwbBZFjjGgGUA6NLw09EwE0CqkOc4q9oUmW1yo/edit?usp=sharing"",""แม่ฮ่องสอน!L495"")"),0)</f>
        <v>0</v>
      </c>
      <c r="M600" s="170"/>
      <c r="N600" s="170">
        <f ca="1">IFERROR(__xludf.DUMMYFUNCTION("IMPORTRANGE(""https://docs.google.com/spreadsheets/d/11923uPwbBZFjjGgGUA6NLw09EwE0CqkOc4q9oUmW1yo/edit?usp=sharing"",""แม่ฮ่องสอน!M495"")"),0)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IFERROR(__xludf.DUMMYFUNCTION("IMPORTRANGE(""https://docs.google.com/spreadsheets/d/11923uPwbBZFjjGgGUA6NLw09EwE0CqkOc4q9oUmW1yo/edit?usp=sharing"",""แม่ฮ่องสอน!L496"")"),6950)</f>
        <v>6950</v>
      </c>
      <c r="M601" s="170"/>
      <c r="N601" s="170">
        <f ca="1">IFERROR(__xludf.DUMMYFUNCTION("IMPORTRANGE(""https://docs.google.com/spreadsheets/d/11923uPwbBZFjjGgGUA6NLw09EwE0CqkOc4q9oUmW1yo/edit?usp=sharing"",""แม่ฮ่องสอน!M496"")"),3910)</f>
        <v>3910</v>
      </c>
      <c r="O601" s="170">
        <f t="shared" ca="1" si="126"/>
        <v>56.258992805755398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IFERROR(__xludf.DUMMYFUNCTION("IMPORTRANGE(""https://docs.google.com/spreadsheets/d/11923uPwbBZFjjGgGUA6NLw09EwE0CqkOc4q9oUmW1yo/edit?usp=sharing"",""แม่ฮ่องสอน!M497"")"),0)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IFERROR(__xludf.DUMMYFUNCTION("IMPORTRANGE(""https://docs.google.com/spreadsheets/d/11923uPwbBZFjjGgGUA6NLw09EwE0CqkOc4q9oUmW1yo/edit?usp=sharing"",""แม่ฮ่องสอน!M498"")"),0)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IFERROR(__xludf.DUMMYFUNCTION("IMPORTRANGE(""https://docs.google.com/spreadsheets/d/11923uPwbBZFjjGgGUA6NLw09EwE0CqkOc4q9oUmW1yo/edit?usp=sharing"",""แม่ฮ่องสอน!M499"")"),0)</f>
        <v>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IFERROR(__xludf.DUMMYFUNCTION("IMPORTRANGE(""https://docs.google.com/spreadsheets/d/11923uPwbBZFjjGgGUA6NLw09EwE0CqkOc4q9oUmW1yo/edit?usp=sharing"",""แม่ฮ่องสอน!M500"")"),3910)</f>
        <v>3910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IFERROR(__xludf.DUMMYFUNCTION("IMPORTRANGE(""https://docs.google.com/spreadsheets/d/11923uPwbBZFjjGgGUA6NLw09EwE0CqkOc4q9oUmW1yo/edit?usp=sharing"",""แม่ฮ่องสอน!J502"")"),0)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IFERROR(__xludf.DUMMYFUNCTION("IMPORTRANGE(""https://docs.google.com/spreadsheets/d/11923uPwbBZFjjGgGUA6NLw09EwE0CqkOc4q9oUmW1yo/edit?usp=sharing"",""แม่ฮ่องสอน!J503"")"),1)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IFERROR(__xludf.DUMMYFUNCTION("IMPORTRANGE(""https://docs.google.com/spreadsheets/d/11923uPwbBZFjjGgGUA6NLw09EwE0CqkOc4q9oUmW1yo/edit?usp=sharing"",""แม่ฮ่องสอน!J166"")"),0)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IFERROR(__xludf.DUMMYFUNCTION("IMPORTRANGE(""https://docs.google.com/spreadsheets/d/11923uPwbBZFjjGgGUA6NLw09EwE0CqkOc4q9oUmW1yo/edit?usp=sharing"",""แม่ฮ่องสอน!J166"")"),0)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IFERROR(__xludf.DUMMYFUNCTION("IMPORTRANGE(""https://docs.google.com/spreadsheets/d/11923uPwbBZFjjGgGUA6NLw09EwE0CqkOc4q9oUmW1yo/edit?usp=sharing"",""แม่ฮ่องสอน!I506"")"),50)</f>
        <v>50</v>
      </c>
      <c r="J611" s="164">
        <f ca="1">IFERROR(__xludf.DUMMYFUNCTION("IMPORTRANGE(""https://docs.google.com/spreadsheets/d/11923uPwbBZFjjGgGUA6NLw09EwE0CqkOc4q9oUmW1yo/edit?usp=sharing"",""แม่ฮ่องสอน!J506"")"),0)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IFERROR(__xludf.DUMMYFUNCTION("IMPORTRANGE(""https://docs.google.com/spreadsheets/d/11923uPwbBZFjjGgGUA6NLw09EwE0CqkOc4q9oUmW1yo/edit?usp=sharing"",""แม่ฮ่องสอน!I507"")"),0)</f>
        <v>0</v>
      </c>
      <c r="J612" s="199">
        <f ca="1">IFERROR(__xludf.DUMMYFUNCTION("IMPORTRANGE(""https://docs.google.com/spreadsheets/d/11923uPwbBZFjjGgGUA6NLw09EwE0CqkOc4q9oUmW1yo/edit?usp=sharing"",""แม่ฮ่องสอน!J507"")"),0)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IFERROR(__xludf.DUMMYFUNCTION("IMPORTRANGE(""https://docs.google.com/spreadsheets/d/11923uPwbBZFjjGgGUA6NLw09EwE0CqkOc4q9oUmW1yo/edit?usp=sharing"",""แม่ฮ่องสอน!I508"")"),0)</f>
        <v>0</v>
      </c>
      <c r="J613" s="199">
        <f ca="1">IFERROR(__xludf.DUMMYFUNCTION("IMPORTRANGE(""https://docs.google.com/spreadsheets/d/11923uPwbBZFjjGgGUA6NLw09EwE0CqkOc4q9oUmW1yo/edit?usp=sharing"",""แม่ฮ่องสอน!J508"")"),0)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IFERROR(__xludf.DUMMYFUNCTION("IMPORTRANGE(""https://docs.google.com/spreadsheets/d/11923uPwbBZFjjGgGUA6NLw09EwE0CqkOc4q9oUmW1yo/edit?usp=sharing"",""แม่ฮ่องสอน!I509"")"),0)</f>
        <v>0</v>
      </c>
      <c r="J614" s="199">
        <f ca="1">IFERROR(__xludf.DUMMYFUNCTION("IMPORTRANGE(""https://docs.google.com/spreadsheets/d/11923uPwbBZFjjGgGUA6NLw09EwE0CqkOc4q9oUmW1yo/edit?usp=sharing"",""แม่ฮ่องสอน!J509"")"),0)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IFERROR(__xludf.DUMMYFUNCTION("IMPORTRANGE(""https://docs.google.com/spreadsheets/d/11923uPwbBZFjjGgGUA6NLw09EwE0CqkOc4q9oUmW1yo/edit?usp=sharing"",""แม่ฮ่องสอน!I510"")"),0)</f>
        <v>0</v>
      </c>
      <c r="J615" s="199">
        <f ca="1">IFERROR(__xludf.DUMMYFUNCTION("IMPORTRANGE(""https://docs.google.com/spreadsheets/d/11923uPwbBZFjjGgGUA6NLw09EwE0CqkOc4q9oUmW1yo/edit?usp=sharing"",""แม่ฮ่องสอน!J510"")"),0)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IFERROR(__xludf.DUMMYFUNCTION("IMPORTRANGE(""https://docs.google.com/spreadsheets/d/11923uPwbBZFjjGgGUA6NLw09EwE0CqkOc4q9oUmW1yo/edit?usp=sharing"",""แม่ฮ่องสอน!I511"")"),0)</f>
        <v>0</v>
      </c>
      <c r="J616" s="199">
        <f ca="1">IFERROR(__xludf.DUMMYFUNCTION("IMPORTRANGE(""https://docs.google.com/spreadsheets/d/11923uPwbBZFjjGgGUA6NLw09EwE0CqkOc4q9oUmW1yo/edit?usp=sharing"",""แม่ฮ่องสอน!J511"")"),0)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IFERROR(__xludf.DUMMYFUNCTION("IMPORTRANGE(""https://docs.google.com/spreadsheets/d/11923uPwbBZFjjGgGUA6NLw09EwE0CqkOc4q9oUmW1yo/edit?usp=sharing"",""แม่ฮ่องสอน!I512"")"),0)</f>
        <v>0</v>
      </c>
      <c r="J617" s="189">
        <f ca="1">IFERROR(__xludf.DUMMYFUNCTION("IMPORTRANGE(""https://docs.google.com/spreadsheets/d/11923uPwbBZFjjGgGUA6NLw09EwE0CqkOc4q9oUmW1yo/edit?usp=sharing"",""แม่ฮ่องสอน!J512"")"),0)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IFERROR(__xludf.DUMMYFUNCTION("IMPORTRANGE(""https://docs.google.com/spreadsheets/d/11923uPwbBZFjjGgGUA6NLw09EwE0CqkOc4q9oUmW1yo/edit?usp=sharing"",""แม่ฮ่องสอน!I513"")"),0)</f>
        <v>0</v>
      </c>
      <c r="J618" s="190">
        <f ca="1">IFERROR(__xludf.DUMMYFUNCTION("IMPORTRANGE(""https://docs.google.com/spreadsheets/d/11923uPwbBZFjjGgGUA6NLw09EwE0CqkOc4q9oUmW1yo/edit?usp=sharing"",""แม่ฮ่องสอน!J513"")"),0)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IFERROR(__xludf.DUMMYFUNCTION("IMPORTRANGE(""https://docs.google.com/spreadsheets/d/11923uPwbBZFjjGgGUA6NLw09EwE0CqkOc4q9oUmW1yo/edit?usp=sharing"",""แม่ฮ่องสอน!I514"")"),0)</f>
        <v>0</v>
      </c>
      <c r="J619" s="190">
        <f ca="1">IFERROR(__xludf.DUMMYFUNCTION("IMPORTRANGE(""https://docs.google.com/spreadsheets/d/11923uPwbBZFjjGgGUA6NLw09EwE0CqkOc4q9oUmW1yo/edit?usp=sharing"",""แม่ฮ่องสอน!J514"")"),0)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IFERROR(__xludf.DUMMYFUNCTION("IMPORTRANGE(""https://docs.google.com/spreadsheets/d/11923uPwbBZFjjGgGUA6NLw09EwE0CqkOc4q9oUmW1yo/edit?usp=sharing"",""แม่ฮ่องสอน!I515"")"),0)</f>
        <v>0</v>
      </c>
      <c r="J620" s="204">
        <f ca="1">IFERROR(__xludf.DUMMYFUNCTION("IMPORTRANGE(""https://docs.google.com/spreadsheets/d/11923uPwbBZFjjGgGUA6NLw09EwE0CqkOc4q9oUmW1yo/edit?usp=sharing"",""แม่ฮ่องสอน!J515"")"),0)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IFERROR(__xludf.DUMMYFUNCTION("IMPORTRANGE(""https://docs.google.com/spreadsheets/d/11923uPwbBZFjjGgGUA6NLw09EwE0CqkOc4q9oUmW1yo/edit?usp=sharing"",""แม่ฮ่องสอน!I516"")"),0)</f>
        <v>0</v>
      </c>
      <c r="J621" s="204">
        <f ca="1">IFERROR(__xludf.DUMMYFUNCTION("IMPORTRANGE(""https://docs.google.com/spreadsheets/d/11923uPwbBZFjjGgGUA6NLw09EwE0CqkOc4q9oUmW1yo/edit?usp=sharing"",""แม่ฮ่องสอน!J516"")"),0)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IFERROR(__xludf.DUMMYFUNCTION("IMPORTRANGE(""https://docs.google.com/spreadsheets/d/11923uPwbBZFjjGgGUA6NLw09EwE0CqkOc4q9oUmW1yo/edit?usp=sharing"",""แม่ฮ่องสอน!I517"")"),0)</f>
        <v>0</v>
      </c>
      <c r="J622" s="190">
        <f ca="1">IFERROR(__xludf.DUMMYFUNCTION("IMPORTRANGE(""https://docs.google.com/spreadsheets/d/11923uPwbBZFjjGgGUA6NLw09EwE0CqkOc4q9oUmW1yo/edit?usp=sharing"",""แม่ฮ่องสอน!J517"")"),0)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IFERROR(__xludf.DUMMYFUNCTION("IMPORTRANGE(""https://docs.google.com/spreadsheets/d/11923uPwbBZFjjGgGUA6NLw09EwE0CqkOc4q9oUmW1yo/edit?usp=sharing"",""แม่ฮ่องสอน!I518"")"),0)</f>
        <v>0</v>
      </c>
      <c r="J623" s="190">
        <f ca="1">IFERROR(__xludf.DUMMYFUNCTION("IMPORTRANGE(""https://docs.google.com/spreadsheets/d/11923uPwbBZFjjGgGUA6NLw09EwE0CqkOc4q9oUmW1yo/edit?usp=sharing"",""แม่ฮ่องสอน!J518"")"),0)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IFERROR(__xludf.DUMMYFUNCTION("IMPORTRANGE(""https://docs.google.com/spreadsheets/d/11923uPwbBZFjjGgGUA6NLw09EwE0CqkOc4q9oUmW1yo/edit?usp=sharing"",""แม่ฮ่องสอน!I519"")"),0)</f>
        <v>0</v>
      </c>
      <c r="J624" s="189">
        <f ca="1">IFERROR(__xludf.DUMMYFUNCTION("IMPORTRANGE(""https://docs.google.com/spreadsheets/d/11923uPwbBZFjjGgGUA6NLw09EwE0CqkOc4q9oUmW1yo/edit?usp=sharing"",""แม่ฮ่องสอน!J519"")"),0)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IFERROR(__xludf.DUMMYFUNCTION("IMPORTRANGE(""https://docs.google.com/spreadsheets/d/11923uPwbBZFjjGgGUA6NLw09EwE0CqkOc4q9oUmW1yo/edit?usp=sharing"",""แม่ฮ่องสอน!I520"")"),0)</f>
        <v>0</v>
      </c>
      <c r="J625" s="190">
        <f ca="1">IFERROR(__xludf.DUMMYFUNCTION("IMPORTRANGE(""https://docs.google.com/spreadsheets/d/11923uPwbBZFjjGgGUA6NLw09EwE0CqkOc4q9oUmW1yo/edit?usp=sharing"",""แม่ฮ่องสอน!J520"")"),0)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IFERROR(__xludf.DUMMYFUNCTION("IMPORTRANGE(""https://docs.google.com/spreadsheets/d/11923uPwbBZFjjGgGUA6NLw09EwE0CqkOc4q9oUmW1yo/edit?usp=sharing"",""แม่ฮ่องสอน!I521"")"),0)</f>
        <v>0</v>
      </c>
      <c r="J626" s="190">
        <f ca="1">IFERROR(__xludf.DUMMYFUNCTION("IMPORTRANGE(""https://docs.google.com/spreadsheets/d/11923uPwbBZFjjGgGUA6NLw09EwE0CqkOc4q9oUmW1yo/edit?usp=sharing"",""แม่ฮ่องสอน!J521"")"),0)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42">
        <f ca="1">IFERROR(__xludf.DUMMYFUNCTION("IMPORTRANGE(""https://docs.google.com/spreadsheets/d/11923uPwbBZFjjGgGUA6NLw09EwE0CqkOc4q9oUmW1yo/edit?usp=sharing"",""แม่ฮ่องสอน!J523"")"),680233.62)</f>
        <v>680233.62</v>
      </c>
      <c r="K628" s="343">
        <f t="shared" ref="K628:K635" ca="1" si="129">IF(I628&gt;0,J628*100/I628,0)</f>
        <v>81.068245518051555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IFERROR(__xludf.DUMMYFUNCTION("IMPORTRANGE(""https://docs.google.com/spreadsheets/d/11923uPwbBZFjjGgGUA6NLw09EwE0CqkOc4q9oUmW1yo/edit?usp=sharing"",""แม่ฮ่องสอน!I524"")"),84)</f>
        <v>84</v>
      </c>
      <c r="J629" s="342">
        <f ca="1">IFERROR(__xludf.DUMMYFUNCTION("IMPORTRANGE(""https://docs.google.com/spreadsheets/d/11923uPwbBZFjjGgGUA6NLw09EwE0CqkOc4q9oUmW1yo/edit?usp=sharing"",""แม่ฮ่องสอน!J524"")"),65)</f>
        <v>65</v>
      </c>
      <c r="K629" s="343">
        <f t="shared" ca="1" si="129"/>
        <v>77.38095238095238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42">
        <f ca="1">IFERROR(__xludf.DUMMYFUNCTION("IMPORTRANGE(""https://docs.google.com/spreadsheets/d/11923uPwbBZFjjGgGUA6NLw09EwE0CqkOc4q9oUmW1yo/edit?usp=sharing"",""แม่ฮ่องสอน!J525"")"),118973.82)</f>
        <v>118973.82</v>
      </c>
      <c r="K630" s="343">
        <f t="shared" ca="1" si="129"/>
        <v>34.853786950214321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IFERROR(__xludf.DUMMYFUNCTION("IMPORTRANGE(""https://docs.google.com/spreadsheets/d/11923uPwbBZFjjGgGUA6NLw09EwE0CqkOc4q9oUmW1yo/edit?usp=sharing"",""แม่ฮ่องสอน!I526"")"),27)</f>
        <v>27</v>
      </c>
      <c r="J631" s="342">
        <f ca="1">IFERROR(__xludf.DUMMYFUNCTION("IMPORTRANGE(""https://docs.google.com/spreadsheets/d/11923uPwbBZFjjGgGUA6NLw09EwE0CqkOc4q9oUmW1yo/edit?usp=sharing"",""แม่ฮ่องสอน!J526"")"),21)</f>
        <v>21</v>
      </c>
      <c r="K631" s="343">
        <f t="shared" ca="1" si="129"/>
        <v>77.777777777777771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IFERROR(__xludf.DUMMYFUNCTION("IMPORTRANGE(""https://docs.google.com/spreadsheets/d/11923uPwbBZFjjGgGUA6NLw09EwE0CqkOc4q9oUmW1yo/edit?usp=sharing"",""แม่ฮ่องสอน!I527"")"),0)</f>
        <v>0</v>
      </c>
      <c r="J632" s="342">
        <f ca="1">IFERROR(__xludf.DUMMYFUNCTION("IMPORTRANGE(""https://docs.google.com/spreadsheets/d/11923uPwbBZFjjGgGUA6NLw09EwE0CqkOc4q9oUmW1yo/edit?usp=sharing"",""แม่ฮ่องสอน!J527"")"),0)</f>
        <v>0</v>
      </c>
      <c r="K632" s="343">
        <f t="shared" ca="1" si="129"/>
        <v>0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IFERROR(__xludf.DUMMYFUNCTION("IMPORTRANGE(""https://docs.google.com/spreadsheets/d/11923uPwbBZFjjGgGUA6NLw09EwE0CqkOc4q9oUmW1yo/edit?usp=sharing"",""แม่ฮ่องสอน!I528"")"),0)</f>
        <v>0</v>
      </c>
      <c r="J633" s="342">
        <f ca="1">IFERROR(__xludf.DUMMYFUNCTION("IMPORTRANGE(""https://docs.google.com/spreadsheets/d/11923uPwbBZFjjGgGUA6NLw09EwE0CqkOc4q9oUmW1yo/edit?usp=sharing"",""แม่ฮ่องสอน!J528"")"),0)</f>
        <v>0</v>
      </c>
      <c r="K633" s="343">
        <f t="shared" ca="1" si="129"/>
        <v>0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IFERROR(__xludf.DUMMYFUNCTION("IMPORTRANGE(""https://docs.google.com/spreadsheets/d/11923uPwbBZFjjGgGUA6NLw09EwE0CqkOc4q9oUmW1yo/edit?usp=sharing"",""แม่ฮ่องสอน!I529"")"),900000)</f>
        <v>900000</v>
      </c>
      <c r="J634" s="342">
        <f ca="1">IFERROR(__xludf.DUMMYFUNCTION("IMPORTRANGE(""https://docs.google.com/spreadsheets/d/11923uPwbBZFjjGgGUA6NLw09EwE0CqkOc4q9oUmW1yo/edit?usp=sharing"",""แม่ฮ่องสอน!J529"")"),505000)</f>
        <v>505000</v>
      </c>
      <c r="K634" s="343">
        <f t="shared" ca="1" si="129"/>
        <v>56.111111111111114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IFERROR(__xludf.DUMMYFUNCTION("IMPORTRANGE(""https://docs.google.com/spreadsheets/d/11923uPwbBZFjjGgGUA6NLw09EwE0CqkOc4q9oUmW1yo/edit?usp=sharing"",""แม่ฮ่องสอน!I530"")"),30)</f>
        <v>30</v>
      </c>
      <c r="J635" s="506">
        <f ca="1">IFERROR(__xludf.DUMMYFUNCTION("IMPORTRANGE(""https://docs.google.com/spreadsheets/d/11923uPwbBZFjjGgGUA6NLw09EwE0CqkOc4q9oUmW1yo/edit?usp=sharing"",""แม่ฮ่องสอน!J530"")"),14)</f>
        <v>14</v>
      </c>
      <c r="K635" s="488">
        <f t="shared" ca="1" si="129"/>
        <v>46.666666666666664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IFERROR(__xludf.DUMMYFUNCTION("IMPORTRANGE(""https://docs.google.com/spreadsheets/d/11923uPwbBZFjjGgGUA6NLw09EwE0CqkOc4q9oUmW1yo/edit?usp=sharing"",""แม่ฮ่องสอน!J541"")"),0)</f>
        <v>0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IFERROR(__xludf.DUMMYFUNCTION("IMPORTRANGE(""https://docs.google.com/spreadsheets/d/11923uPwbBZFjjGgGUA6NLw09EwE0CqkOc4q9oUmW1yo/edit?usp=sharing"",""แม่ฮ่องสอน!J542"")"),0)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IFERROR(__xludf.DUMMYFUNCTION("IMPORTRANGE(""https://docs.google.com/spreadsheets/d/11923uPwbBZFjjGgGUA6NLw09EwE0CqkOc4q9oUmW1yo/edit?usp=sharing"",""แม่ฮ่องสอน!I543"")"),0)</f>
        <v>0</v>
      </c>
      <c r="J648" s="537">
        <f ca="1">IFERROR(__xludf.DUMMYFUNCTION("IMPORTRANGE(""https://docs.google.com/spreadsheets/d/11923uPwbBZFjjGgGUA6NLw09EwE0CqkOc4q9oUmW1yo/edit?usp=sharing"",""แม่ฮ่องสอน!J543"")"),0)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IFERROR(__xludf.DUMMYFUNCTION("IMPORTRANGE(""https://docs.google.com/spreadsheets/d/11923uPwbBZFjjGgGUA6NLw09EwE0CqkOc4q9oUmW1yo/edit?usp=sharing"",""แม่ฮ่องสอน!L543"")"),0)</f>
        <v>0</v>
      </c>
      <c r="M648" s="522"/>
      <c r="N648" s="539">
        <f ca="1">IFERROR(__xludf.DUMMYFUNCTION("IMPORTRANGE(""https://docs.google.com/spreadsheets/d/11923uPwbBZFjjGgGUA6NLw09EwE0CqkOc4q9oUmW1yo/edit?usp=sharing"",""แม่ฮ่องสอน!M543"")"),0)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IFERROR(__xludf.DUMMYFUNCTION("IMPORTRANGE(""https://docs.google.com/spreadsheets/d/11923uPwbBZFjjGgGUA6NLw09EwE0CqkOc4q9oUmW1yo/edit?usp=sharing"",""แม่ฮ่องสอน!I544"")"),0)</f>
        <v>0</v>
      </c>
      <c r="J649" s="537">
        <f ca="1">IFERROR(__xludf.DUMMYFUNCTION("IMPORTRANGE(""https://docs.google.com/spreadsheets/d/11923uPwbBZFjjGgGUA6NLw09EwE0CqkOc4q9oUmW1yo/edit?usp=sharing"",""แม่ฮ่องสอน!J544"")"),0)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IFERROR(__xludf.DUMMYFUNCTION("IMPORTRANGE(""https://docs.google.com/spreadsheets/d/11923uPwbBZFjjGgGUA6NLw09EwE0CqkOc4q9oUmW1yo/edit?usp=sharing"",""แม่ฮ่องสอน!L544"")"),0)</f>
        <v>0</v>
      </c>
      <c r="M649" s="522"/>
      <c r="N649" s="539">
        <f ca="1">IFERROR(__xludf.DUMMYFUNCTION("IMPORTRANGE(""https://docs.google.com/spreadsheets/d/11923uPwbBZFjjGgGUA6NLw09EwE0CqkOc4q9oUmW1yo/edit?usp=sharing"",""แม่ฮ่องสอน!M544"")"),0)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IFERROR(__xludf.DUMMYFUNCTION("IMPORTRANGE(""https://docs.google.com/spreadsheets/d/11923uPwbBZFjjGgGUA6NLw09EwE0CqkOc4q9oUmW1yo/edit?usp=sharing"",""แม่ฮ่องสอน!I545"")"),0)</f>
        <v>0</v>
      </c>
      <c r="J650" s="537">
        <f ca="1">IFERROR(__xludf.DUMMYFUNCTION("IMPORTRANGE(""https://docs.google.com/spreadsheets/d/11923uPwbBZFjjGgGUA6NLw09EwE0CqkOc4q9oUmW1yo/edit?usp=sharing"",""แม่ฮ่องสอน!J545"")"),0)</f>
        <v>0</v>
      </c>
      <c r="K650" s="538">
        <f t="shared" ca="1" si="131"/>
        <v>0</v>
      </c>
      <c r="L650" s="523">
        <f ca="1">IFERROR(__xludf.DUMMYFUNCTION("IMPORTRANGE(""https://docs.google.com/spreadsheets/d/11923uPwbBZFjjGgGUA6NLw09EwE0CqkOc4q9oUmW1yo/edit?usp=sharing"",""แม่ฮ่องสอน!L545"")"),0)</f>
        <v>0</v>
      </c>
      <c r="M650" s="522"/>
      <c r="N650" s="539">
        <f ca="1">IFERROR(__xludf.DUMMYFUNCTION("IMPORTRANGE(""https://docs.google.com/spreadsheets/d/11923uPwbBZFjjGgGUA6NLw09EwE0CqkOc4q9oUmW1yo/edit?usp=sharing"",""แม่ฮ่องสอน!M545"")"),0)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IFERROR(__xludf.DUMMYFUNCTION("IMPORTRANGE(""https://docs.google.com/spreadsheets/d/11923uPwbBZFjjGgGUA6NLw09EwE0CqkOc4q9oUmW1yo/edit?usp=sharing"",""แม่ฮ่องสอน!I546"")"),0)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IFERROR(__xludf.DUMMYFUNCTION("IMPORTRANGE(""https://docs.google.com/spreadsheets/d/11923uPwbBZFjjGgGUA6NLw09EwE0CqkOc4q9oUmW1yo/edit?usp=sharing"",""แม่ฮ่องสอน!L546"")"),0)</f>
        <v>0</v>
      </c>
      <c r="M651" s="522"/>
      <c r="N651" s="539">
        <f ca="1">IFERROR(__xludf.DUMMYFUNCTION("IMPORTRANGE(""https://docs.google.com/spreadsheets/d/11923uPwbBZFjjGgGUA6NLw09EwE0CqkOc4q9oUmW1yo/edit?usp=sharing"",""แม่ฮ่องสอน!M546"")"),0)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IFERROR(__xludf.DUMMYFUNCTION("IMPORTRANGE(""https://docs.google.com/spreadsheets/d/11923uPwbBZFjjGgGUA6NLw09EwE0CqkOc4q9oUmW1yo/edit?usp=sharing"",""แม่ฮ่องสอน!J547"")"),0)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IFERROR(__xludf.DUMMYFUNCTION("IMPORTRANGE(""https://docs.google.com/spreadsheets/d/11923uPwbBZFjjGgGUA6NLw09EwE0CqkOc4q9oUmW1yo/edit?usp=sharing"",""แม่ฮ่องสอน!J548"")"),0)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IFERROR(__xludf.DUMMYFUNCTION("IMPORTRANGE(""https://docs.google.com/spreadsheets/d/11923uPwbBZFjjGgGUA6NLw09EwE0CqkOc4q9oUmW1yo/edit?usp=sharing"",""แม่ฮ่องสอน!J550"")"),0)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IFERROR(__xludf.DUMMYFUNCTION("IMPORTRANGE(""https://docs.google.com/spreadsheets/d/11923uPwbBZFjjGgGUA6NLw09EwE0CqkOc4q9oUmW1yo/edit?usp=sharing"",""แม่ฮ่องสอน!J551"")"),0)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IFERROR(__xludf.DUMMYFUNCTION("IMPORTRANGE(""https://docs.google.com/spreadsheets/d/11923uPwbBZFjjGgGUA6NLw09EwE0CqkOc4q9oUmW1yo/edit?usp=sharing"",""แม่ฮ่องสอน!J552"")"),0)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IFERROR(__xludf.DUMMYFUNCTION("IMPORTRANGE(""https://docs.google.com/spreadsheets/d/11923uPwbBZFjjGgGUA6NLw09EwE0CqkOc4q9oUmW1yo/edit?usp=sharing"",""แม่ฮ่องสอน!J553"")"),0)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IFERROR(__xludf.DUMMYFUNCTION("IMPORTRANGE(""https://docs.google.com/spreadsheets/d/11923uPwbBZFjjGgGUA6NLw09EwE0CqkOc4q9oUmW1yo/edit?usp=sharing"",""แม่ฮ่องสอน!J554"")"),0)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IFERROR(__xludf.DUMMYFUNCTION("IMPORTRANGE(""https://docs.google.com/spreadsheets/d/11923uPwbBZFjjGgGUA6NLw09EwE0CqkOc4q9oUmW1yo/edit?usp=sharing"",""แม่ฮ่องสอน!J555"")"),0)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IFERROR(__xludf.DUMMYFUNCTION("IMPORTRANGE(""https://docs.google.com/spreadsheets/d/11923uPwbBZFjjGgGUA6NLw09EwE0CqkOc4q9oUmW1yo/edit?usp=sharing"",""แม่ฮ่องสอน!J556"")"),0)</f>
        <v>0</v>
      </c>
      <c r="K661" s="538"/>
      <c r="L661" s="523">
        <f ca="1">IFERROR(__xludf.DUMMYFUNCTION("IMPORTRANGE(""https://docs.google.com/spreadsheets/d/11923uPwbBZFjjGgGUA6NLw09EwE0CqkOc4q9oUmW1yo/edit?usp=sharing"",""แม่ฮ่องสอน!L556"")"),0)</f>
        <v>0</v>
      </c>
      <c r="M661" s="522"/>
      <c r="N661" s="539">
        <f ca="1">IFERROR(__xludf.DUMMYFUNCTION("IMPORTRANGE(""https://docs.google.com/spreadsheets/d/11923uPwbBZFjjGgGUA6NLw09EwE0CqkOc4q9oUmW1yo/edit?usp=sharing"",""แม่ฮ่องสอน!M556"")"),0)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IFERROR(__xludf.DUMMYFUNCTION("IMPORTRANGE(""https://docs.google.com/spreadsheets/d/11923uPwbBZFjjGgGUA6NLw09EwE0CqkOc4q9oUmW1yo/edit?usp=sharing"",""แม่ฮ่องสอน!J557"")"),0)</f>
        <v>0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IFERROR(__xludf.DUMMYFUNCTION("IMPORTRANGE(""https://docs.google.com/spreadsheets/d/11923uPwbBZFjjGgGUA6NLw09EwE0CqkOc4q9oUmW1yo/edit?usp=sharing"",""แม่ฮ่องสอน!I558"")"),0)</f>
        <v>0</v>
      </c>
      <c r="J663" s="537">
        <f ca="1">IFERROR(__xludf.DUMMYFUNCTION("IMPORTRANGE(""https://docs.google.com/spreadsheets/d/11923uPwbBZFjjGgGUA6NLw09EwE0CqkOc4q9oUmW1yo/edit?usp=sharing"",""แม่ฮ่องสอน!J558"")"),0)</f>
        <v>0</v>
      </c>
      <c r="K663" s="538">
        <f ca="1">IF(I663&gt;0,J663*100/I663,0)</f>
        <v>0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IFERROR(__xludf.DUMMYFUNCTION("IMPORTRANGE(""https://docs.google.com/spreadsheets/d/11923uPwbBZFjjGgGUA6NLw09EwE0CqkOc4q9oUmW1yo/edit?usp=sharing"",""แม่ฮ่องสอน!I560"")"),0)</f>
        <v>0</v>
      </c>
      <c r="J665" s="537">
        <f ca="1">IFERROR(__xludf.DUMMYFUNCTION("IMPORTRANGE(""https://docs.google.com/spreadsheets/d/11923uPwbBZFjjGgGUA6NLw09EwE0CqkOc4q9oUmW1yo/edit?usp=sharing"",""แม่ฮ่องสอน!J560"")"),0)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IFERROR(__xludf.DUMMYFUNCTION("IMPORTRANGE(""https://docs.google.com/spreadsheets/d/11923uPwbBZFjjGgGUA6NLw09EwE0CqkOc4q9oUmW1yo/edit?usp=sharing"",""แม่ฮ่องสอน!L560"")"),0)</f>
        <v>0</v>
      </c>
      <c r="M665" s="522"/>
      <c r="N665" s="539">
        <f ca="1">IFERROR(__xludf.DUMMYFUNCTION("IMPORTRANGE(""https://docs.google.com/spreadsheets/d/11923uPwbBZFjjGgGUA6NLw09EwE0CqkOc4q9oUmW1yo/edit?usp=sharing"",""แม่ฮ่องสอน!M560"")"),0)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IFERROR(__xludf.DUMMYFUNCTION("IMPORTRANGE(""https://docs.google.com/spreadsheets/d/11923uPwbBZFjjGgGUA6NLw09EwE0CqkOc4q9oUmW1yo/edit?usp=sharing"",""แม่ฮ่องสอน!J561"")"),0)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IFERROR(__xludf.DUMMYFUNCTION("IMPORTRANGE(""https://docs.google.com/spreadsheets/d/11923uPwbBZFjjGgGUA6NLw09EwE0CqkOc4q9oUmW1yo/edit?usp=sharing"",""แม่ฮ่องสอน!J562"")"),0)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IFERROR(__xludf.DUMMYFUNCTION("IMPORTRANGE(""https://docs.google.com/spreadsheets/d/11923uPwbBZFjjGgGUA6NLw09EwE0CqkOc4q9oUmW1yo/edit?usp=sharing"",""แม่ฮ่องสอน!I563"")"),0)</f>
        <v>0</v>
      </c>
      <c r="J668" s="537">
        <f ca="1">IFERROR(__xludf.DUMMYFUNCTION("IMPORTRANGE(""https://docs.google.com/spreadsheets/d/11923uPwbBZFjjGgGUA6NLw09EwE0CqkOc4q9oUmW1yo/edit?usp=sharing"",""แม่ฮ่องสอน!J563"")"),0)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IFERROR(__xludf.DUMMYFUNCTION("IMPORTRANGE(""https://docs.google.com/spreadsheets/d/11923uPwbBZFjjGgGUA6NLw09EwE0CqkOc4q9oUmW1yo/edit?usp=sharing"",""แม่ฮ่องสอน!L563"")"),0)</f>
        <v>0</v>
      </c>
      <c r="M668" s="522"/>
      <c r="N668" s="539">
        <f ca="1">IFERROR(__xludf.DUMMYFUNCTION("IMPORTRANGE(""https://docs.google.com/spreadsheets/d/11923uPwbBZFjjGgGUA6NLw09EwE0CqkOc4q9oUmW1yo/edit?usp=sharing"",""แม่ฮ่องสอน!M563"")"),0)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IFERROR(__xludf.DUMMYFUNCTION("IMPORTRANGE(""https://docs.google.com/spreadsheets/d/11923uPwbBZFjjGgGUA6NLw09EwE0CqkOc4q9oUmW1yo/edit?usp=sharing"",""แม่ฮ่องสอน!J564"")"),0)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IFERROR(__xludf.DUMMYFUNCTION("IMPORTRANGE(""https://docs.google.com/spreadsheets/d/11923uPwbBZFjjGgGUA6NLw09EwE0CqkOc4q9oUmW1yo/edit?usp=sharing"",""แม่ฮ่องสอน!J565"")"),0)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IFERROR(__xludf.DUMMYFUNCTION("IMPORTRANGE(""https://docs.google.com/spreadsheets/d/11923uPwbBZFjjGgGUA6NLw09EwE0CqkOc4q9oUmW1yo/edit?usp=sharing"",""แม่ฮ่องสอน!I566"")"),0)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IFERROR(__xludf.DUMMYFUNCTION("IMPORTRANGE(""https://docs.google.com/spreadsheets/d/11923uPwbBZFjjGgGUA6NLw09EwE0CqkOc4q9oUmW1yo/edit?usp=sharing"",""แม่ฮ่องสอน!L566"")"),0)</f>
        <v>0</v>
      </c>
      <c r="M671" s="522"/>
      <c r="N671" s="539">
        <f ca="1">IFERROR(__xludf.DUMMYFUNCTION("IMPORTRANGE(""https://docs.google.com/spreadsheets/d/11923uPwbBZFjjGgGUA6NLw09EwE0CqkOc4q9oUmW1yo/edit?usp=sharing"",""แม่ฮ่องสอน!M566"")"),0)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IFERROR(__xludf.DUMMYFUNCTION("IMPORTRANGE(""https://docs.google.com/spreadsheets/d/11923uPwbBZFjjGgGUA6NLw09EwE0CqkOc4q9oUmW1yo/edit?usp=sharing"",""แม่ฮ่องสอน!J567"")"),0)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IFERROR(__xludf.DUMMYFUNCTION("IMPORTRANGE(""https://docs.google.com/spreadsheets/d/11923uPwbBZFjjGgGUA6NLw09EwE0CqkOc4q9oUmW1yo/edit?usp=sharing"",""แม่ฮ่องสอน!J568"")"),0)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IFERROR(__xludf.DUMMYFUNCTION("IMPORTRANGE(""https://docs.google.com/spreadsheets/d/11923uPwbBZFjjGgGUA6NLw09EwE0CqkOc4q9oUmW1yo/edit?usp=sharing"",""แม่ฮ่องสอน!J569"")"),0)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IFERROR(__xludf.DUMMYFUNCTION("IMPORTRANGE(""https://docs.google.com/spreadsheets/d/11923uPwbBZFjjGgGUA6NLw09EwE0CqkOc4q9oUmW1yo/edit?usp=sharing"",""แม่ฮ่องสอน!J570"")"),0)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IFERROR(__xludf.DUMMYFUNCTION("IMPORTRANGE(""https://docs.google.com/spreadsheets/d/11923uPwbBZFjjGgGUA6NLw09EwE0CqkOc4q9oUmW1yo/edit?usp=sharing"",""แม่ฮ่องสอน!J571"")"),0)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IFERROR(__xludf.DUMMYFUNCTION("IMPORTRANGE(""https://docs.google.com/spreadsheets/d/11923uPwbBZFjjGgGUA6NLw09EwE0CqkOc4q9oUmW1yo/edit?usp=sharing"",""แม่ฮ่องสอน!J572"")"),0)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284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5350855</v>
      </c>
      <c r="M8" s="25">
        <f t="shared" ca="1" si="0"/>
        <v>2180550</v>
      </c>
      <c r="N8" s="25">
        <f t="shared" ca="1" si="0"/>
        <v>2548554.3899999997</v>
      </c>
      <c r="O8" s="24">
        <f t="shared" ref="O8:O16" ca="1" si="1">IF(L8&gt;0,N8*100/L8,0)</f>
        <v>47.628918929778507</v>
      </c>
      <c r="P8" s="24">
        <f t="shared" ref="P8:P16" ca="1" si="2">IF(M8&gt;0,N8*100/M8,0)</f>
        <v>116.87667744376418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5350855</v>
      </c>
      <c r="M10" s="32">
        <f t="shared" ca="1" si="4"/>
        <v>2180550</v>
      </c>
      <c r="N10" s="32">
        <f t="shared" ca="1" si="4"/>
        <v>2548554.3899999997</v>
      </c>
      <c r="O10" s="31">
        <f t="shared" ca="1" si="1"/>
        <v>47.628918929778507</v>
      </c>
      <c r="P10" s="31">
        <f t="shared" ca="1" si="2"/>
        <v>116.87667744376418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5140860</v>
      </c>
      <c r="M12" s="41">
        <f t="shared" ca="1" si="6"/>
        <v>1970555</v>
      </c>
      <c r="N12" s="41">
        <f t="shared" ca="1" si="6"/>
        <v>2338559.3899999997</v>
      </c>
      <c r="O12" s="41">
        <f t="shared" ca="1" si="1"/>
        <v>45.489653287582229</v>
      </c>
      <c r="P12" s="41">
        <f t="shared" ca="1" si="2"/>
        <v>118.67516461098522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1833600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3307260</v>
      </c>
      <c r="M14" s="41">
        <f t="shared" si="8"/>
        <v>0</v>
      </c>
      <c r="N14" s="41">
        <f t="shared" ca="1" si="8"/>
        <v>940670.58999999985</v>
      </c>
      <c r="O14" s="41">
        <f t="shared" ca="1" si="1"/>
        <v>28.44259568343583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209995</v>
      </c>
      <c r="M16" s="41">
        <f t="shared" ca="1" si="10"/>
        <v>209995</v>
      </c>
      <c r="N16" s="41">
        <f t="shared" ca="1" si="10"/>
        <v>209995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2717420</v>
      </c>
      <c r="M18" s="25">
        <f t="shared" ca="1" si="11"/>
        <v>2180550</v>
      </c>
      <c r="N18" s="25">
        <f t="shared" ca="1" si="11"/>
        <v>1607883.7999999998</v>
      </c>
      <c r="O18" s="24">
        <f t="shared" ref="O18:O20" ca="1" si="12">IF(L18&gt;0,N18*100/L18,0)</f>
        <v>59.169499010090441</v>
      </c>
      <c r="P18" s="24">
        <f t="shared" ref="P18:P26" ca="1" si="13">IF(M18&gt;0,N18*100/M18,0)</f>
        <v>73.737534108367143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2717420</v>
      </c>
      <c r="M20" s="32">
        <f t="shared" ca="1" si="15"/>
        <v>2180550</v>
      </c>
      <c r="N20" s="32">
        <f t="shared" ca="1" si="15"/>
        <v>1607883.7999999998</v>
      </c>
      <c r="O20" s="31">
        <f t="shared" ca="1" si="12"/>
        <v>59.169499010090441</v>
      </c>
      <c r="P20" s="31">
        <f t="shared" ca="1" si="13"/>
        <v>73.737534108367143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2507425</v>
      </c>
      <c r="M22" s="44">
        <f t="shared" ca="1" si="18"/>
        <v>1970555</v>
      </c>
      <c r="N22" s="41">
        <f t="shared" ca="1" si="18"/>
        <v>1397888.7999999998</v>
      </c>
      <c r="O22" s="41">
        <f t="shared" ca="1" si="17"/>
        <v>55.74997457551072</v>
      </c>
      <c r="P22" s="41">
        <f t="shared" ca="1" si="13"/>
        <v>70.938837028146878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1833600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673825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209995</v>
      </c>
      <c r="M26" s="52">
        <f t="shared" ca="1" si="22"/>
        <v>209995</v>
      </c>
      <c r="N26" s="52">
        <f t="shared" ca="1" si="22"/>
        <v>209995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2633435</v>
      </c>
      <c r="M28" s="25">
        <f t="shared" si="23"/>
        <v>0</v>
      </c>
      <c r="N28" s="25">
        <f t="shared" ca="1" si="23"/>
        <v>940670.58999999985</v>
      </c>
      <c r="O28" s="24">
        <f t="shared" ref="O28:O30" ca="1" si="24">IF(L28&gt;0,N28*100/L28,0)</f>
        <v>35.720288900238657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2633435</v>
      </c>
      <c r="M30" s="32">
        <f t="shared" si="27"/>
        <v>0</v>
      </c>
      <c r="N30" s="32">
        <f t="shared" ca="1" si="27"/>
        <v>940670.58999999985</v>
      </c>
      <c r="O30" s="31">
        <f t="shared" ca="1" si="24"/>
        <v>35.720288900238657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2633435</v>
      </c>
      <c r="M32" s="41">
        <f t="shared" si="30"/>
        <v>0</v>
      </c>
      <c r="N32" s="41">
        <f t="shared" ca="1" si="30"/>
        <v>940670.58999999985</v>
      </c>
      <c r="O32" s="41">
        <f t="shared" ca="1" si="29"/>
        <v>35.720288900238657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2633435</v>
      </c>
      <c r="M34" s="41">
        <f t="shared" si="32"/>
        <v>0</v>
      </c>
      <c r="N34" s="41">
        <f t="shared" ca="1" si="32"/>
        <v>940670.58999999985</v>
      </c>
      <c r="O34" s="41">
        <f t="shared" ca="1" si="29"/>
        <v>35.720288900238657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2717420</v>
      </c>
      <c r="M37" s="57">
        <f t="shared" ca="1" si="33"/>
        <v>2180550</v>
      </c>
      <c r="N37" s="57">
        <f t="shared" ca="1" si="33"/>
        <v>1607883.7999999998</v>
      </c>
      <c r="O37" s="58">
        <f t="shared" ca="1" si="29"/>
        <v>59.169499010090441</v>
      </c>
      <c r="P37" s="58">
        <f t="shared" ca="1" si="25"/>
        <v>73.737534108367143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644400</v>
      </c>
      <c r="M41" s="81">
        <f t="shared" ca="1" si="34"/>
        <v>483300</v>
      </c>
      <c r="N41" s="81">
        <f t="shared" ca="1" si="34"/>
        <v>363841.73</v>
      </c>
      <c r="O41" s="80">
        <f t="shared" ref="O41:O43" ca="1" si="35">IF(L41&gt;0,N41*100/L41,0)</f>
        <v>56.462093420235881</v>
      </c>
      <c r="P41" s="80">
        <f t="shared" ref="P41:P43" ca="1" si="36">IF(M41&gt;0,N41*100/M41,0)</f>
        <v>75.282791226981175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644400</v>
      </c>
      <c r="M43" s="81">
        <f t="shared" ca="1" si="38"/>
        <v>483300</v>
      </c>
      <c r="N43" s="81">
        <f t="shared" ca="1" si="38"/>
        <v>363841.73</v>
      </c>
      <c r="O43" s="80">
        <f t="shared" ca="1" si="35"/>
        <v>56.462093420235881</v>
      </c>
      <c r="P43" s="80">
        <f t="shared" ca="1" si="36"/>
        <v>75.282791226981175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644400</v>
      </c>
      <c r="M45" s="52">
        <f ca="1">IFERROR(__xludf.DUMMYFUNCTION("IMPORTRANGE(""https://docs.google.com/spreadsheets/d/1Yj_ptqi66GCucihVvJfMjLAmec39IyEx_6qawtMGysU/edit?usp=sharing"",""สบก!Q32"")"),483300)</f>
        <v>483300</v>
      </c>
      <c r="N45" s="52">
        <f ca="1">IFERROR(__xludf.DUMMYFUNCTION("IMPORTRANGE(""https://docs.google.com/spreadsheets/d/1Yj_ptqi66GCucihVvJfMjLAmec39IyEx_6qawtMGysU/edit?usp=sharing"",""สบก!R32"")"),363841.73)</f>
        <v>363841.73</v>
      </c>
      <c r="O45" s="41">
        <f ca="1">IF(L45&gt;0,N45*100/L45,0)</f>
        <v>56.462093420235881</v>
      </c>
      <c r="P45" s="41">
        <f ca="1">IF(M45&gt;0,N45*100/M45,0)</f>
        <v>75.282791226981175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IFERROR(__xludf.DUMMYFUNCTION("IMPORTRANGE(""https://docs.google.com/spreadsheets/d/1Yj_ptqi66GCucihVvJfMjLAmec39IyEx_6qawtMGysU/edit?usp=sharing"",""สบก!M32"")"),644400)</f>
        <v>644400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IFERROR(__xludf.DUMMYFUNCTION("IMPORTRANGE(""https://docs.google.com/spreadsheets/d/1Yj_ptqi66GCucihVvJfMjLAmec39IyEx_6qawtMGysU/edit?usp=sharing"",""สบก!N32"")"),0)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IFERROR(__xludf.DUMMYFUNCTION("IMPORTRANGE(""https://docs.google.com/spreadsheets/d/1Yj_ptqi66GCucihVvJfMjLAmec39IyEx_6qawtMGysU/edit?usp=sharing"",""สบก!O32"")"),0)</f>
        <v>0</v>
      </c>
      <c r="M49" s="52"/>
      <c r="N49" s="52">
        <f ca="1">IFERROR(__xludf.DUMMYFUNCTION("IMPORTRANGE(""https://docs.google.com/spreadsheets/d/1Yj_ptqi66GCucihVvJfMjLAmec39IyEx_6qawtMGysU/edit?usp=sharing"",""สบก!S32"")"),0)</f>
        <v>0</v>
      </c>
      <c r="O49" s="52">
        <f ca="1">IF(L49&gt;0,N49*100/L49,0)</f>
        <v>0</v>
      </c>
      <c r="P49" s="52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566000</v>
      </c>
      <c r="M53" s="123">
        <f t="shared" ca="1" si="39"/>
        <v>438720</v>
      </c>
      <c r="N53" s="123">
        <f t="shared" ca="1" si="39"/>
        <v>301674</v>
      </c>
      <c r="O53" s="122">
        <f t="shared" ref="O53:O55" ca="1" si="40">IF(L53&gt;0,N53*100/L53,0)</f>
        <v>53.299293286219083</v>
      </c>
      <c r="P53" s="122">
        <f t="shared" ref="P53:P55" ca="1" si="41">IF(M53&gt;0,N53*100/M53,0)</f>
        <v>68.762308533916851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566000</v>
      </c>
      <c r="M55" s="123">
        <f t="shared" ca="1" si="43"/>
        <v>438720</v>
      </c>
      <c r="N55" s="123">
        <f t="shared" ca="1" si="43"/>
        <v>301674</v>
      </c>
      <c r="O55" s="122">
        <f t="shared" ca="1" si="40"/>
        <v>53.299293286219083</v>
      </c>
      <c r="P55" s="122">
        <f t="shared" ca="1" si="41"/>
        <v>68.762308533916851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566000</v>
      </c>
      <c r="M57" s="52">
        <f ca="1">IFERROR(__xludf.DUMMYFUNCTION("IMPORTRANGE(""https://docs.google.com/spreadsheets/d/1Yj_ptqi66GCucihVvJfMjLAmec39IyEx_6qawtMGysU/edit?usp=sharing"",""สบก!Z32"")"),438720)</f>
        <v>438720</v>
      </c>
      <c r="N57" s="52">
        <f ca="1">IFERROR(__xludf.DUMMYFUNCTION("IMPORTRANGE(""https://docs.google.com/spreadsheets/d/1Yj_ptqi66GCucihVvJfMjLAmec39IyEx_6qawtMGysU/edit?usp=sharing"",""สบก!AA32"")"),301674)</f>
        <v>301674</v>
      </c>
      <c r="O57" s="41">
        <f ca="1">IF(L57&gt;0,N57*100/L57,0)</f>
        <v>53.299293286219083</v>
      </c>
      <c r="P57" s="41">
        <f ca="1">IF(M57&gt;0,N57*100/M57,0)</f>
        <v>68.762308533916851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IFERROR(__xludf.DUMMYFUNCTION("IMPORTRANGE(""https://docs.google.com/spreadsheets/d/1Yj_ptqi66GCucihVvJfMjLAmec39IyEx_6qawtMGysU/edit?usp=sharing"",""สบก!V32"")"),566000)</f>
        <v>566000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IFERROR(__xludf.DUMMYFUNCTION("IMPORTRANGE(""https://docs.google.com/spreadsheets/d/1Yj_ptqi66GCucihVvJfMjLAmec39IyEx_6qawtMGysU/edit?usp=sharing"",""สบก!W32"")"),0)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IFERROR(__xludf.DUMMYFUNCTION("IMPORTRANGE(""https://docs.google.com/spreadsheets/d/1Yj_ptqi66GCucihVvJfMjLAmec39IyEx_6qawtMGysU/edit?usp=sharing"",""สบก!X32"")"),0)</f>
        <v>0</v>
      </c>
      <c r="M61" s="52"/>
      <c r="N61" s="52">
        <f ca="1">IFERROR(__xludf.DUMMYFUNCTION("IMPORTRANGE(""https://docs.google.com/spreadsheets/d/1Yj_ptqi66GCucihVvJfMjLAmec39IyEx_6qawtMGysU/edit?usp=sharing"",""สบก!AB32"")"),0)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IFERROR(__xludf.DUMMYFUNCTION("IMPORTRANGE(""https://docs.google.com/spreadsheets/d/11923uPwbBZFjjGgGUA6NLw09EwE0CqkOc4q9oUmW1yo/edit?usp=sharing"",""ลำปาง!I9"")"),0)</f>
        <v>0</v>
      </c>
      <c r="J64" s="144">
        <f ca="1">IFERROR(__xludf.DUMMYFUNCTION("IMPORTRANGE(""https://docs.google.com/spreadsheets/d/11923uPwbBZFjjGgGUA6NLw09EwE0CqkOc4q9oUmW1yo/edit?usp=sharing"",""ลำปาง!J9"")"),0)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IFERROR(__xludf.DUMMYFUNCTION("IMPORTRANGE(""https://docs.google.com/spreadsheets/d/11923uPwbBZFjjGgGUA6NLw09EwE0CqkOc4q9oUmW1yo/edit?usp=sharing"",""ลำปาง!I10"")"),0)</f>
        <v>0</v>
      </c>
      <c r="J65" s="144">
        <f ca="1">IFERROR(__xludf.DUMMYFUNCTION("IMPORTRANGE(""https://docs.google.com/spreadsheets/d/11923uPwbBZFjjGgGUA6NLw09EwE0CqkOc4q9oUmW1yo/edit?usp=sharing"",""ลำปาง!J10"")"),0)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0</v>
      </c>
      <c r="M68" s="90">
        <f t="shared" ca="1" si="49"/>
        <v>0</v>
      </c>
      <c r="N68" s="90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59"/>
      <c r="B69" s="160"/>
      <c r="C69" s="160" t="s">
        <v>16</v>
      </c>
      <c r="D69" s="570" t="s">
        <v>20</v>
      </c>
      <c r="E69" s="565"/>
      <c r="F69" s="565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IFERROR(__xludf.DUMMYFUNCTION("IMPORTRANGE(""https://docs.google.com/spreadsheets/d/1Yj_ptqi66GCucihVvJfMjLAmec39IyEx_6qawtMGysU/edit?usp=sharing"",""สบก!AI32"")"),0)</f>
        <v>0</v>
      </c>
      <c r="N70" s="170">
        <f ca="1">IFERROR(__xludf.DUMMYFUNCTION("IMPORTRANGE(""https://docs.google.com/spreadsheets/d/1Yj_ptqi66GCucihVvJfMjLAmec39IyEx_6qawtMGysU/edit?usp=sharing"",""สบก!AJ32"")"),0)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IFERROR(__xludf.DUMMYFUNCTION("IMPORTRANGE(""https://docs.google.com/spreadsheets/d/1Yj_ptqi66GCucihVvJfMjLAmec39IyEx_6qawtMGysU/edit?usp=sharing"",""สบก!AE32"")"),0)</f>
        <v>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IFERROR(__xludf.DUMMYFUNCTION("IMPORTRANGE(""https://docs.google.com/spreadsheets/d/1Yj_ptqi66GCucihVvJfMjLAmec39IyEx_6qawtMGysU/edit?usp=sharing"",""สบก!AF32"")"),0)</f>
        <v>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IFERROR(__xludf.DUMMYFUNCTION("IMPORTRANGE(""https://docs.google.com/spreadsheets/d/1Yj_ptqi66GCucihVvJfMjLAmec39IyEx_6qawtMGysU/edit?usp=sharing"",""สบก!AG32"")"),0)</f>
        <v>0</v>
      </c>
      <c r="M74" s="52"/>
      <c r="N74" s="52">
        <f ca="1">IFERROR(__xludf.DUMMYFUNCTION("IMPORTRANGE(""https://docs.google.com/spreadsheets/d/1Yj_ptqi66GCucihVvJfMjLAmec39IyEx_6qawtMGysU/edit?usp=sharing"",""สบก!AK32"")"),0)</f>
        <v>0</v>
      </c>
      <c r="O74" s="52">
        <f ca="1">IF(L74&gt;0,N74*100/L74,0)</f>
        <v>0</v>
      </c>
      <c r="P74" s="52"/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IFERROR(__xludf.DUMMYFUNCTION("IMPORTRANGE(""https://docs.google.com/spreadsheets/d/11923uPwbBZFjjGgGUA6NLw09EwE0CqkOc4q9oUmW1yo/edit?usp=sharing"",""ลำปาง!J16"")"),0)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IFERROR(__xludf.DUMMYFUNCTION("IMPORTRANGE(""https://docs.google.com/spreadsheets/d/11923uPwbBZFjjGgGUA6NLw09EwE0CqkOc4q9oUmW1yo/edit?usp=sharing"",""ลำปาง!J17"")"),0)</f>
        <v>0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IFERROR(__xludf.DUMMYFUNCTION("IMPORTRANGE(""https://docs.google.com/spreadsheets/d/11923uPwbBZFjjGgGUA6NLw09EwE0CqkOc4q9oUmW1yo/edit?usp=sharing"",""ลำปาง!J18"")"),0)</f>
        <v>0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IFERROR(__xludf.DUMMYFUNCTION("IMPORTRANGE(""https://docs.google.com/spreadsheets/d/11923uPwbBZFjjGgGUA6NLw09EwE0CqkOc4q9oUmW1yo/edit?usp=sharing"",""ลำปาง!J19"")"),0)</f>
        <v>0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IFERROR(__xludf.DUMMYFUNCTION("IMPORTRANGE(""https://docs.google.com/spreadsheets/d/11923uPwbBZFjjGgGUA6NLw09EwE0CqkOc4q9oUmW1yo/edit?usp=sharing"",""ลำปาง!I20"")"),0)</f>
        <v>0</v>
      </c>
      <c r="J80" s="202">
        <f ca="1">IFERROR(__xludf.DUMMYFUNCTION("IMPORTRANGE(""https://docs.google.com/spreadsheets/d/11923uPwbBZFjjGgGUA6NLw09EwE0CqkOc4q9oUmW1yo/edit?usp=sharing"",""ลำปาง!J20"")"),0)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IFERROR(__xludf.DUMMYFUNCTION("IMPORTRANGE(""https://docs.google.com/spreadsheets/d/11923uPwbBZFjjGgGUA6NLw09EwE0CqkOc4q9oUmW1yo/edit?usp=sharing"",""ลำปาง!I21"")"),0)</f>
        <v>0</v>
      </c>
      <c r="J81" s="202">
        <f ca="1">IFERROR(__xludf.DUMMYFUNCTION("IMPORTRANGE(""https://docs.google.com/spreadsheets/d/11923uPwbBZFjjGgGUA6NLw09EwE0CqkOc4q9oUmW1yo/edit?usp=sharing"",""ลำปาง!J21"")"),0)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IFERROR(__xludf.DUMMYFUNCTION("IMPORTRANGE(""https://docs.google.com/spreadsheets/d/11923uPwbBZFjjGgGUA6NLw09EwE0CqkOc4q9oUmW1yo/edit?usp=sharing"",""ลำปาง!I22"")"),0)</f>
        <v>0</v>
      </c>
      <c r="J82" s="205">
        <f ca="1">IFERROR(__xludf.DUMMYFUNCTION("IMPORTRANGE(""https://docs.google.com/spreadsheets/d/11923uPwbBZFjjGgGUA6NLw09EwE0CqkOc4q9oUmW1yo/edit?usp=sharing"",""ลำปาง!J22"")"),0)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IFERROR(__xludf.DUMMYFUNCTION("IMPORTRANGE(""https://docs.google.com/spreadsheets/d/11923uPwbBZFjjGgGUA6NLw09EwE0CqkOc4q9oUmW1yo/edit?usp=sharing"",""ลำปาง!I23"")"),0)</f>
        <v>0</v>
      </c>
      <c r="J83" s="205">
        <f ca="1">IFERROR(__xludf.DUMMYFUNCTION("IMPORTRANGE(""https://docs.google.com/spreadsheets/d/11923uPwbBZFjjGgGUA6NLw09EwE0CqkOc4q9oUmW1yo/edit?usp=sharing"",""ลำปาง!J23"")"),0)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IFERROR(__xludf.DUMMYFUNCTION("IMPORTRANGE(""https://docs.google.com/spreadsheets/d/11923uPwbBZFjjGgGUA6NLw09EwE0CqkOc4q9oUmW1yo/edit?usp=sharing"",""ลำปาง!I24"")"),0)</f>
        <v>0</v>
      </c>
      <c r="J84" s="190">
        <f ca="1">IFERROR(__xludf.DUMMYFUNCTION("IMPORTRANGE(""https://docs.google.com/spreadsheets/d/11923uPwbBZFjjGgGUA6NLw09EwE0CqkOc4q9oUmW1yo/edit?usp=sharing"",""ลำปาง!J24"")"),0)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IFERROR(__xludf.DUMMYFUNCTION("IMPORTRANGE(""https://docs.google.com/spreadsheets/d/11923uPwbBZFjjGgGUA6NLw09EwE0CqkOc4q9oUmW1yo/edit?usp=sharing"",""ลำปาง!I25"")"),0)</f>
        <v>0</v>
      </c>
      <c r="J85" s="190">
        <f ca="1">IFERROR(__xludf.DUMMYFUNCTION("IMPORTRANGE(""https://docs.google.com/spreadsheets/d/11923uPwbBZFjjGgGUA6NLw09EwE0CqkOc4q9oUmW1yo/edit?usp=sharing"",""ลำปาง!J25"")"),0)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IFERROR(__xludf.DUMMYFUNCTION("IMPORTRANGE(""https://docs.google.com/spreadsheets/d/11923uPwbBZFjjGgGUA6NLw09EwE0CqkOc4q9oUmW1yo/edit?usp=sharing"",""ลำปาง!I26"")"),0)</f>
        <v>0</v>
      </c>
      <c r="J86" s="205">
        <f ca="1">IFERROR(__xludf.DUMMYFUNCTION("IMPORTRANGE(""https://docs.google.com/spreadsheets/d/11923uPwbBZFjjGgGUA6NLw09EwE0CqkOc4q9oUmW1yo/edit?usp=sharing"",""ลำปาง!J26"")"),0)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IFERROR(__xludf.DUMMYFUNCTION("IMPORTRANGE(""https://docs.google.com/spreadsheets/d/11923uPwbBZFjjGgGUA6NLw09EwE0CqkOc4q9oUmW1yo/edit?usp=sharing"",""ลำปาง!I27"")"),0)</f>
        <v>0</v>
      </c>
      <c r="J87" s="205">
        <f ca="1">IFERROR(__xludf.DUMMYFUNCTION("IMPORTRANGE(""https://docs.google.com/spreadsheets/d/11923uPwbBZFjjGgGUA6NLw09EwE0CqkOc4q9oUmW1yo/edit?usp=sharing"",""ลำปาง!J27"")"),0)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IFERROR(__xludf.DUMMYFUNCTION("IMPORTRANGE(""https://docs.google.com/spreadsheets/d/11923uPwbBZFjjGgGUA6NLw09EwE0CqkOc4q9oUmW1yo/edit?usp=sharing"",""ลำปาง!I28"")"),0)</f>
        <v>0</v>
      </c>
      <c r="J88" s="205">
        <f ca="1">IFERROR(__xludf.DUMMYFUNCTION("IMPORTRANGE(""https://docs.google.com/spreadsheets/d/11923uPwbBZFjjGgGUA6NLw09EwE0CqkOc4q9oUmW1yo/edit?usp=sharing"",""ลำปาง!J28"")"),0)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IFERROR(__xludf.DUMMYFUNCTION("IMPORTRANGE(""https://docs.google.com/spreadsheets/d/11923uPwbBZFjjGgGUA6NLw09EwE0CqkOc4q9oUmW1yo/edit?usp=sharing"",""ลำปาง!J29"")"),0)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IFERROR(__xludf.DUMMYFUNCTION("IMPORTRANGE(""https://docs.google.com/spreadsheets/d/11923uPwbBZFjjGgGUA6NLw09EwE0CqkOc4q9oUmW1yo/edit?usp=sharing"",""ลำปาง!J30"")"),0)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IFERROR(__xludf.DUMMYFUNCTION("IMPORTRANGE(""https://docs.google.com/spreadsheets/d/11923uPwbBZFjjGgGUA6NLw09EwE0CqkOc4q9oUmW1yo/edit?usp=sharing"",""ลำปาง!I32"")"),4)</f>
        <v>4</v>
      </c>
      <c r="J92" s="144">
        <f ca="1">IFERROR(__xludf.DUMMYFUNCTION("IMPORTRANGE(""https://docs.google.com/spreadsheets/d/11923uPwbBZFjjGgGUA6NLw09EwE0CqkOc4q9oUmW1yo/edit?usp=sharing"",""ลำปาง!J32"")"),4)</f>
        <v>4</v>
      </c>
      <c r="K92" s="145">
        <f t="shared" ref="K92:K93" ca="1" si="51">IF(I92&gt;0,J92*100/I92,0)</f>
        <v>100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IFERROR(__xludf.DUMMYFUNCTION("IMPORTRANGE(""https://docs.google.com/spreadsheets/d/11923uPwbBZFjjGgGUA6NLw09EwE0CqkOc4q9oUmW1yo/edit?usp=sharing"",""ลำปาง!I33"")"),1)</f>
        <v>1</v>
      </c>
      <c r="J93" s="144">
        <f ca="1">IFERROR(__xludf.DUMMYFUNCTION("IMPORTRANGE(""https://docs.google.com/spreadsheets/d/11923uPwbBZFjjGgGUA6NLw09EwE0CqkOc4q9oUmW1yo/edit?usp=sharing"",""ลำปาง!J33"")"),1)</f>
        <v>1</v>
      </c>
      <c r="K93" s="145">
        <f t="shared" ca="1" si="51"/>
        <v>100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212095</v>
      </c>
      <c r="M94" s="154">
        <f t="shared" ca="1" si="52"/>
        <v>192050</v>
      </c>
      <c r="N94" s="154">
        <f t="shared" ca="1" si="52"/>
        <v>114625</v>
      </c>
      <c r="O94" s="153">
        <f t="shared" ref="O94:O96" ca="1" si="53">IF(L94&gt;0,N94*100/L94,0)</f>
        <v>54.044178316320519</v>
      </c>
      <c r="P94" s="153">
        <f t="shared" ref="P94:P96" ca="1" si="54">IF(M94&gt;0,N94*100/M94,0)</f>
        <v>59.684977870346266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212095</v>
      </c>
      <c r="M96" s="90">
        <f t="shared" ca="1" si="56"/>
        <v>192050</v>
      </c>
      <c r="N96" s="90">
        <f t="shared" ca="1" si="56"/>
        <v>114625</v>
      </c>
      <c r="O96" s="158">
        <f t="shared" ca="1" si="53"/>
        <v>54.044178316320519</v>
      </c>
      <c r="P96" s="158">
        <f t="shared" ca="1" si="54"/>
        <v>59.684977870346266</v>
      </c>
    </row>
    <row r="97" spans="1:16" ht="21.75" customHeight="1">
      <c r="A97" s="159"/>
      <c r="B97" s="160"/>
      <c r="C97" s="160" t="s">
        <v>16</v>
      </c>
      <c r="D97" s="570" t="s">
        <v>20</v>
      </c>
      <c r="E97" s="565"/>
      <c r="F97" s="565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IFERROR(__xludf.DUMMYFUNCTION("IMPORTRANGE(""https://docs.google.com/spreadsheets/d/1Yj_ptqi66GCucihVvJfMjLAmec39IyEx_6qawtMGysU/edit?usp=sharing"",""สบก!AR32"")"),102055)</f>
        <v>102055</v>
      </c>
      <c r="N98" s="170">
        <f ca="1">IFERROR(__xludf.DUMMYFUNCTION("IMPORTRANGE(""https://docs.google.com/spreadsheets/d/1Yj_ptqi66GCucihVvJfMjLAmec39IyEx_6qawtMGysU/edit?usp=sharing"",""สบก!AS32"")"),24630)</f>
        <v>24630</v>
      </c>
      <c r="O98" s="170">
        <f ca="1">IF(L98&gt;0,N98*100/L98,0)</f>
        <v>20.171990171990171</v>
      </c>
      <c r="P98" s="170">
        <f ca="1">IF(M98&gt;0,N98*100/M98,0)</f>
        <v>24.13404536769389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IFERROR(__xludf.DUMMYFUNCTION("IMPORTRANGE(""https://docs.google.com/spreadsheets/d/1Yj_ptqi66GCucihVvJfMjLAmec39IyEx_6qawtMGysU/edit?usp=sharing"",""สบก!AN32"")"),0)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IFERROR(__xludf.DUMMYFUNCTION("IMPORTRANGE(""https://docs.google.com/spreadsheets/d/1Yj_ptqi66GCucihVvJfMjLAmec39IyEx_6qawtMGysU/edit?usp=sharing"",""สบก!AO32"")"),122100)</f>
        <v>122100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IFERROR(__xludf.DUMMYFUNCTION("IMPORTRANGE(""https://docs.google.com/spreadsheets/d/1Yj_ptqi66GCucihVvJfMjLAmec39IyEx_6qawtMGysU/edit?usp=sharing"",""สบก!AP32"")"),89995)</f>
        <v>89995</v>
      </c>
      <c r="M102" s="52">
        <f ca="1">L102</f>
        <v>89995</v>
      </c>
      <c r="N102" s="52">
        <f ca="1">IFERROR(__xludf.DUMMYFUNCTION("IMPORTRANGE(""https://docs.google.com/spreadsheets/d/1Yj_ptqi66GCucihVvJfMjLAmec39IyEx_6qawtMGysU/edit?usp=sharing"",""สบก!AT32"")"),89995)</f>
        <v>89995</v>
      </c>
      <c r="O102" s="52">
        <f ca="1">IF(L102&gt;0,N102*100/L102,0)</f>
        <v>100</v>
      </c>
      <c r="P102" s="52">
        <f ca="1">IF(M102&gt;0,N102*100/M102,0)</f>
        <v>100</v>
      </c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IFERROR(__xludf.DUMMYFUNCTION("IMPORTRANGE(""https://docs.google.com/spreadsheets/d/11923uPwbBZFjjGgGUA6NLw09EwE0CqkOc4q9oUmW1yo/edit?usp=sharing"",""ลำปาง!J39"")"),0)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IFERROR(__xludf.DUMMYFUNCTION("IMPORTRANGE(""https://docs.google.com/spreadsheets/d/11923uPwbBZFjjGgGUA6NLw09EwE0CqkOc4q9oUmW1yo/edit?usp=sharing"",""ลำปาง!J40"")"),1)</f>
        <v>1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IFERROR(__xludf.DUMMYFUNCTION("IMPORTRANGE(""https://docs.google.com/spreadsheets/d/11923uPwbBZFjjGgGUA6NLw09EwE0CqkOc4q9oUmW1yo/edit?usp=sharing"",""ลำปาง!J41"")"),1)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IFERROR(__xludf.DUMMYFUNCTION("IMPORTRANGE(""https://docs.google.com/spreadsheets/d/11923uPwbBZFjjGgGUA6NLw09EwE0CqkOc4q9oUmW1yo/edit?usp=sharing"",""ลำปาง!J42"")"),1)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IFERROR(__xludf.DUMMYFUNCTION("IMPORTRANGE(""https://docs.google.com/spreadsheets/d/11923uPwbBZFjjGgGUA6NLw09EwE0CqkOc4q9oUmW1yo/edit?usp=sharing"",""ลำปาง!I43"")"),1)</f>
        <v>1</v>
      </c>
      <c r="J108" s="205">
        <f ca="1">IFERROR(__xludf.DUMMYFUNCTION("IMPORTRANGE(""https://docs.google.com/spreadsheets/d/11923uPwbBZFjjGgGUA6NLw09EwE0CqkOc4q9oUmW1yo/edit?usp=sharing"",""ลำปาง!J43"")"),1)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IFERROR(__xludf.DUMMYFUNCTION("IMPORTRANGE(""https://docs.google.com/spreadsheets/d/11923uPwbBZFjjGgGUA6NLw09EwE0CqkOc4q9oUmW1yo/edit?usp=sharing"",""ลำปาง!I44"")"),4)</f>
        <v>4</v>
      </c>
      <c r="J109" s="205">
        <f ca="1">IFERROR(__xludf.DUMMYFUNCTION("IMPORTRANGE(""https://docs.google.com/spreadsheets/d/11923uPwbBZFjjGgGUA6NLw09EwE0CqkOc4q9oUmW1yo/edit?usp=sharing"",""ลำปาง!J44"")"),4)</f>
        <v>4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IFERROR(__xludf.DUMMYFUNCTION("IMPORTRANGE(""https://docs.google.com/spreadsheets/d/11923uPwbBZFjjGgGUA6NLw09EwE0CqkOc4q9oUmW1yo/edit?usp=sharing"",""ลำปาง!I45"")"),4)</f>
        <v>4</v>
      </c>
      <c r="J110" s="205">
        <f ca="1">IFERROR(__xludf.DUMMYFUNCTION("IMPORTRANGE(""https://docs.google.com/spreadsheets/d/11923uPwbBZFjjGgGUA6NLw09EwE0CqkOc4q9oUmW1yo/edit?usp=sharing"",""ลำปาง!J45"")"),4)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IFERROR(__xludf.DUMMYFUNCTION("IMPORTRANGE(""https://docs.google.com/spreadsheets/d/11923uPwbBZFjjGgGUA6NLw09EwE0CqkOc4q9oUmW1yo/edit?usp=sharing"",""ลำปาง!I46"")"),4)</f>
        <v>4</v>
      </c>
      <c r="J111" s="205">
        <f ca="1">IFERROR(__xludf.DUMMYFUNCTION("IMPORTRANGE(""https://docs.google.com/spreadsheets/d/11923uPwbBZFjjGgGUA6NLw09EwE0CqkOc4q9oUmW1yo/edit?usp=sharing"",""ลำปาง!J46"")"),4)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IFERROR(__xludf.DUMMYFUNCTION("IMPORTRANGE(""https://docs.google.com/spreadsheets/d/11923uPwbBZFjjGgGUA6NLw09EwE0CqkOc4q9oUmW1yo/edit?usp=sharing"",""ลำปาง!I47"")"),4)</f>
        <v>4</v>
      </c>
      <c r="J112" s="205">
        <f ca="1">IFERROR(__xludf.DUMMYFUNCTION("IMPORTRANGE(""https://docs.google.com/spreadsheets/d/11923uPwbBZFjjGgGUA6NLw09EwE0CqkOc4q9oUmW1yo/edit?usp=sharing"",""ลำปาง!J47"")"),4)</f>
        <v>4</v>
      </c>
      <c r="K112" s="225">
        <f t="shared" ca="1" si="57"/>
        <v>100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IFERROR(__xludf.DUMMYFUNCTION("IMPORTRANGE(""https://docs.google.com/spreadsheets/d/11923uPwbBZFjjGgGUA6NLw09EwE0CqkOc4q9oUmW1yo/edit?usp=sharing"",""ลำปาง!I48"")"),1)</f>
        <v>1</v>
      </c>
      <c r="J113" s="205">
        <f ca="1">IFERROR(__xludf.DUMMYFUNCTION("IMPORTRANGE(""https://docs.google.com/spreadsheets/d/11923uPwbBZFjjGgGUA6NLw09EwE0CqkOc4q9oUmW1yo/edit?usp=sharing"",""ลำปาง!J48"")"),1)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IFERROR(__xludf.DUMMYFUNCTION("IMPORTRANGE(""https://docs.google.com/spreadsheets/d/11923uPwbBZFjjGgGUA6NLw09EwE0CqkOc4q9oUmW1yo/edit?usp=sharing"",""ลำปาง!J49"")"),0)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IFERROR(__xludf.DUMMYFUNCTION("IMPORTRANGE(""https://docs.google.com/spreadsheets/d/11923uPwbBZFjjGgGUA6NLw09EwE0CqkOc4q9oUmW1yo/edit?usp=sharing"",""ลำปาง!J50"")"),0)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IFERROR(__xludf.DUMMYFUNCTION("IMPORTRANGE(""https://docs.google.com/spreadsheets/d/11923uPwbBZFjjGgGUA6NLw09EwE0CqkOc4q9oUmW1yo/edit?usp=sharing"",""ลำปาง!I52"")"),0)</f>
        <v>0</v>
      </c>
      <c r="J117" s="144">
        <f ca="1">IFERROR(__xludf.DUMMYFUNCTION("IMPORTRANGE(""https://docs.google.com/spreadsheets/d/11923uPwbBZFjjGgGUA6NLw09EwE0CqkOc4q9oUmW1yo/edit?usp=sharing"",""ลำปาง!J52"")"),0)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0</v>
      </c>
      <c r="M120" s="90">
        <f t="shared" ca="1" si="62"/>
        <v>0</v>
      </c>
      <c r="N120" s="90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59"/>
      <c r="B121" s="160"/>
      <c r="C121" s="160" t="s">
        <v>16</v>
      </c>
      <c r="D121" s="570" t="s">
        <v>20</v>
      </c>
      <c r="E121" s="565"/>
      <c r="F121" s="565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IFERROR(__xludf.DUMMYFUNCTION("IMPORTRANGE(""https://docs.google.com/spreadsheets/d/1Yj_ptqi66GCucihVvJfMjLAmec39IyEx_6qawtMGysU/edit?usp=sharing"",""สบก!BA32"")"),0)</f>
        <v>0</v>
      </c>
      <c r="N122" s="170">
        <f ca="1">IFERROR(__xludf.DUMMYFUNCTION("IMPORTRANGE(""https://docs.google.com/spreadsheets/d/1Yj_ptqi66GCucihVvJfMjLAmec39IyEx_6qawtMGysU/edit?usp=sharing"",""สบก!BB32"")"),0)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IFERROR(__xludf.DUMMYFUNCTION("IMPORTRANGE(""https://docs.google.com/spreadsheets/d/1Yj_ptqi66GCucihVvJfMjLAmec39IyEx_6qawtMGysU/edit?usp=sharing"",""สบก!AW32"")"),0)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IFERROR(__xludf.DUMMYFUNCTION("IMPORTRANGE(""https://docs.google.com/spreadsheets/d/1Yj_ptqi66GCucihVvJfMjLAmec39IyEx_6qawtMGysU/edit?usp=sharing"",""สบก!AX32"")"),0)</f>
        <v>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IFERROR(__xludf.DUMMYFUNCTION("IMPORTRANGE(""https://docs.google.com/spreadsheets/d/1Yj_ptqi66GCucihVvJfMjLAmec39IyEx_6qawtMGysU/edit?usp=sharing"",""สบก!AY32"")"),0)</f>
        <v>0</v>
      </c>
      <c r="M126" s="52"/>
      <c r="N126" s="52">
        <f ca="1">IFERROR(__xludf.DUMMYFUNCTION("IMPORTRANGE(""https://docs.google.com/spreadsheets/d/1Yj_ptqi66GCucihVvJfMjLAmec39IyEx_6qawtMGysU/edit?usp=sharing"",""สบก!BC32"")"),0)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285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IFERROR(__xludf.DUMMYFUNCTION("IMPORTRANGE(""https://docs.google.com/spreadsheets/d/11923uPwbBZFjjGgGUA6NLw09EwE0CqkOc4q9oUmW1yo/edit?usp=sharing"",""ลำปาง!J58"")"),0)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IFERROR(__xludf.DUMMYFUNCTION("IMPORTRANGE(""https://docs.google.com/spreadsheets/d/11923uPwbBZFjjGgGUA6NLw09EwE0CqkOc4q9oUmW1yo/edit?usp=sharing"",""ลำปาง!J59"")"),0)</f>
        <v>0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IFERROR(__xludf.DUMMYFUNCTION("IMPORTRANGE(""https://docs.google.com/spreadsheets/d/11923uPwbBZFjjGgGUA6NLw09EwE0CqkOc4q9oUmW1yo/edit?usp=sharing"",""ลำปาง!J60"")"),0)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IFERROR(__xludf.DUMMYFUNCTION("IMPORTRANGE(""https://docs.google.com/spreadsheets/d/11923uPwbBZFjjGgGUA6NLw09EwE0CqkOc4q9oUmW1yo/edit?usp=sharing"",""ลำปาง!J61"")"),0)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IFERROR(__xludf.DUMMYFUNCTION("IMPORTRANGE(""https://docs.google.com/spreadsheets/d/11923uPwbBZFjjGgGUA6NLw09EwE0CqkOc4q9oUmW1yo/edit?usp=sharing"",""ลำปาง!I62"")"),0)</f>
        <v>0</v>
      </c>
      <c r="J132" s="205">
        <f ca="1">IFERROR(__xludf.DUMMYFUNCTION("IMPORTRANGE(""https://docs.google.com/spreadsheets/d/11923uPwbBZFjjGgGUA6NLw09EwE0CqkOc4q9oUmW1yo/edit?usp=sharing"",""ลำปาง!J62"")"),0)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IFERROR(__xludf.DUMMYFUNCTION("IMPORTRANGE(""https://docs.google.com/spreadsheets/d/11923uPwbBZFjjGgGUA6NLw09EwE0CqkOc4q9oUmW1yo/edit?usp=sharing"",""ลำปาง!I63"")"),0)</f>
        <v>0</v>
      </c>
      <c r="J133" s="205">
        <f ca="1">IFERROR(__xludf.DUMMYFUNCTION("IMPORTRANGE(""https://docs.google.com/spreadsheets/d/11923uPwbBZFjjGgGUA6NLw09EwE0CqkOc4q9oUmW1yo/edit?usp=sharing"",""ลำปาง!J63"")"),0)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IFERROR(__xludf.DUMMYFUNCTION("IMPORTRANGE(""https://docs.google.com/spreadsheets/d/11923uPwbBZFjjGgGUA6NLw09EwE0CqkOc4q9oUmW1yo/edit?usp=sharing"",""ลำปาง!J64"")"),0)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IFERROR(__xludf.DUMMYFUNCTION("IMPORTRANGE(""https://docs.google.com/spreadsheets/d/11923uPwbBZFjjGgGUA6NLw09EwE0CqkOc4q9oUmW1yo/edit?usp=sharing"",""ลำปาง!J65"")"),0)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IFERROR(__xludf.DUMMYFUNCTION("IMPORTRANGE(""https://docs.google.com/spreadsheets/d/11923uPwbBZFjjGgGUA6NLw09EwE0CqkOc4q9oUmW1yo/edit?usp=sharing"",""ลำปาง!I68"")"),0)</f>
        <v>0</v>
      </c>
      <c r="J138" s="268">
        <f ca="1">IFERROR(__xludf.DUMMYFUNCTION("IMPORTRANGE(""https://docs.google.com/spreadsheets/d/11923uPwbBZFjjGgGUA6NLw09EwE0CqkOc4q9oUmW1yo/edit?usp=sharing"",""ลำปาง!J68"")"),0)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69000</v>
      </c>
      <c r="M140" s="154">
        <f t="shared" ca="1" si="64"/>
        <v>55625</v>
      </c>
      <c r="N140" s="154">
        <f t="shared" ca="1" si="64"/>
        <v>53983</v>
      </c>
      <c r="O140" s="153">
        <f t="shared" ref="O140:O142" ca="1" si="65">IF(L140&gt;0,N140*100/L140,0)</f>
        <v>78.236231884057972</v>
      </c>
      <c r="P140" s="153">
        <f t="shared" ref="P140:P142" ca="1" si="66">IF(M140&gt;0,N140*100/M140,0)</f>
        <v>97.048089887640444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69000</v>
      </c>
      <c r="M142" s="90">
        <f t="shared" ca="1" si="68"/>
        <v>55625</v>
      </c>
      <c r="N142" s="90">
        <f t="shared" ca="1" si="68"/>
        <v>53983</v>
      </c>
      <c r="O142" s="158">
        <f t="shared" ca="1" si="65"/>
        <v>78.236231884057972</v>
      </c>
      <c r="P142" s="158">
        <f t="shared" ca="1" si="66"/>
        <v>97.048089887640444</v>
      </c>
    </row>
    <row r="143" spans="1:16" ht="21.75" customHeight="1">
      <c r="A143" s="159"/>
      <c r="B143" s="160"/>
      <c r="C143" s="160" t="s">
        <v>16</v>
      </c>
      <c r="D143" s="570" t="s">
        <v>20</v>
      </c>
      <c r="E143" s="565"/>
      <c r="F143" s="565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69000</v>
      </c>
      <c r="M144" s="169">
        <f ca="1">IFERROR(__xludf.DUMMYFUNCTION("IMPORTRANGE(""https://docs.google.com/spreadsheets/d/1Yj_ptqi66GCucihVvJfMjLAmec39IyEx_6qawtMGysU/edit?usp=sharing"",""สบก!BJ32"")"),55625)</f>
        <v>55625</v>
      </c>
      <c r="N144" s="170">
        <f ca="1">IFERROR(__xludf.DUMMYFUNCTION("IMPORTRANGE(""https://docs.google.com/spreadsheets/d/1Yj_ptqi66GCucihVvJfMjLAmec39IyEx_6qawtMGysU/edit?usp=sharing"",""สบก!BK32"")"),53983)</f>
        <v>53983</v>
      </c>
      <c r="O144" s="170">
        <f ca="1">IF(L144&gt;0,N144*100/L144,0)</f>
        <v>78.236231884057972</v>
      </c>
      <c r="P144" s="170">
        <f ca="1">IF(M144&gt;0,N144*100/M144,0)</f>
        <v>97.048089887640444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IFERROR(__xludf.DUMMYFUNCTION("IMPORTRANGE(""https://docs.google.com/spreadsheets/d/1Yj_ptqi66GCucihVvJfMjLAmec39IyEx_6qawtMGysU/edit?usp=sharing"",""สบก!BF32"")"),0)</f>
        <v>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IFERROR(__xludf.DUMMYFUNCTION("IMPORTRANGE(""https://docs.google.com/spreadsheets/d/1Yj_ptqi66GCucihVvJfMjLAmec39IyEx_6qawtMGysU/edit?usp=sharing"",""สบก!BG32"")"),69000)</f>
        <v>69000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IFERROR(__xludf.DUMMYFUNCTION("IMPORTRANGE(""https://docs.google.com/spreadsheets/d/1Yj_ptqi66GCucihVvJfMjLAmec39IyEx_6qawtMGysU/edit?usp=sharing"",""สบก!BH32"")"),0)</f>
        <v>0</v>
      </c>
      <c r="M148" s="52"/>
      <c r="N148" s="52">
        <f ca="1">IFERROR(__xludf.DUMMYFUNCTION("IMPORTRANGE(""https://docs.google.com/spreadsheets/d/1Yj_ptqi66GCucihVvJfMjLAmec39IyEx_6qawtMGysU/edit?usp=sharing"",""สบก!BL32"")"),0)</f>
        <v>0</v>
      </c>
      <c r="O148" s="52">
        <f ca="1">IF(L148&gt;0,N148*100/L148,0)</f>
        <v>0</v>
      </c>
      <c r="P148" s="52"/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IFERROR(__xludf.DUMMYFUNCTION("IMPORTRANGE(""https://docs.google.com/spreadsheets/d/11923uPwbBZFjjGgGUA6NLw09EwE0CqkOc4q9oUmW1yo/edit?usp=sharing"",""ลำปาง!I74"")"),4)</f>
        <v>4</v>
      </c>
      <c r="J149" s="276">
        <f ca="1">IFERROR(__xludf.DUMMYFUNCTION("IMPORTRANGE(""https://docs.google.com/spreadsheets/d/11923uPwbBZFjjGgGUA6NLw09EwE0CqkOc4q9oUmW1yo/edit?usp=sharing"",""ลำปาง!J74"")"),2)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IFERROR(__xludf.DUMMYFUNCTION("IMPORTRANGE(""https://docs.google.com/spreadsheets/d/11923uPwbBZFjjGgGUA6NLw09EwE0CqkOc4q9oUmW1yo/edit?usp=sharing"",""ลำปาง!J79"")"),0)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IFERROR(__xludf.DUMMYFUNCTION("IMPORTRANGE(""https://docs.google.com/spreadsheets/d/11923uPwbBZFjjGgGUA6NLw09EwE0CqkOc4q9oUmW1yo/edit?usp=sharing"",""ลำปาง!J80"")"),1)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IFERROR(__xludf.DUMMYFUNCTION("IMPORTRANGE(""https://docs.google.com/spreadsheets/d/11923uPwbBZFjjGgGUA6NLw09EwE0CqkOc4q9oUmW1yo/edit?usp=sharing"",""ลำปาง!J81"")"),0)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IFERROR(__xludf.DUMMYFUNCTION("IMPORTRANGE(""https://docs.google.com/spreadsheets/d/11923uPwbBZFjjGgGUA6NLw09EwE0CqkOc4q9oUmW1yo/edit?usp=sharing"",""ลำปาง!J82"")"),1)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IFERROR(__xludf.DUMMYFUNCTION("IMPORTRANGE(""https://docs.google.com/spreadsheets/d/11923uPwbBZFjjGgGUA6NLw09EwE0CqkOc4q9oUmW1yo/edit?usp=sharing"",""ลำปาง!I83"")"),4)</f>
        <v>4</v>
      </c>
      <c r="J158" s="190">
        <f ca="1">IFERROR(__xludf.DUMMYFUNCTION("IMPORTRANGE(""https://docs.google.com/spreadsheets/d/11923uPwbBZFjjGgGUA6NLw09EwE0CqkOc4q9oUmW1yo/edit?usp=sharing"",""ลำปาง!J83"")"),2)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IFERROR(__xludf.DUMMYFUNCTION("IMPORTRANGE(""https://docs.google.com/spreadsheets/d/11923uPwbBZFjjGgGUA6NLw09EwE0CqkOc4q9oUmW1yo/edit?usp=sharing"",""ลำปาง!J84"")"),34)</f>
        <v>34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IFERROR(__xludf.DUMMYFUNCTION("IMPORTRANGE(""https://docs.google.com/spreadsheets/d/11923uPwbBZFjjGgGUA6NLw09EwE0CqkOc4q9oUmW1yo/edit?usp=sharing"",""ลำปาง!J85"")"),34)</f>
        <v>34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IFERROR(__xludf.DUMMYFUNCTION("IMPORTRANGE(""https://docs.google.com/spreadsheets/d/11923uPwbBZFjjGgGUA6NLw09EwE0CqkOc4q9oUmW1yo/edit?usp=sharing"",""ลำปาง!J86"")"),0)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IFERROR(__xludf.DUMMYFUNCTION("IMPORTRANGE(""https://docs.google.com/spreadsheets/d/11923uPwbBZFjjGgGUA6NLw09EwE0CqkOc4q9oUmW1yo/edit?usp=sharing"",""ลำปาง!J87"")"),0)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IFERROR(__xludf.DUMMYFUNCTION("IMPORTRANGE(""https://docs.google.com/spreadsheets/d/11923uPwbBZFjjGgGUA6NLw09EwE0CqkOc4q9oUmW1yo/edit?usp=sharing"",""ลำปาง!J88"")"),0)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IFERROR(__xludf.DUMMYFUNCTION("IMPORTRANGE(""https://docs.google.com/spreadsheets/d/11923uPwbBZFjjGgGUA6NLw09EwE0CqkOc4q9oUmW1yo/edit?usp=sharing"",""ลำปาง!I89"")"),3)</f>
        <v>3</v>
      </c>
      <c r="J164" s="285">
        <f ca="1">IFERROR(__xludf.DUMMYFUNCTION("IMPORTRANGE(""https://docs.google.com/spreadsheets/d/11923uPwbBZFjjGgGUA6NLw09EwE0CqkOc4q9oUmW1yo/edit?usp=sharing"",""ลำปาง!J89"")"),3)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IFERROR(__xludf.DUMMYFUNCTION("IMPORTRANGE(""https://docs.google.com/spreadsheets/d/11923uPwbBZFjjGgGUA6NLw09EwE0CqkOc4q9oUmW1yo/edit?usp=sharing"",""ลำปาง!J94"")"),0)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IFERROR(__xludf.DUMMYFUNCTION("IMPORTRANGE(""https://docs.google.com/spreadsheets/d/11923uPwbBZFjjGgGUA6NLw09EwE0CqkOc4q9oUmW1yo/edit?usp=sharing"",""ลำปาง!J95"")"),1)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IFERROR(__xludf.DUMMYFUNCTION("IMPORTRANGE(""https://docs.google.com/spreadsheets/d/11923uPwbBZFjjGgGUA6NLw09EwE0CqkOc4q9oUmW1yo/edit?usp=sharing"",""ลำปาง!J96"")"),1)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IFERROR(__xludf.DUMMYFUNCTION("IMPORTRANGE(""https://docs.google.com/spreadsheets/d/11923uPwbBZFjjGgGUA6NLw09EwE0CqkOc4q9oUmW1yo/edit?usp=sharing"",""ลำปาง!J97"")"),1)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IFERROR(__xludf.DUMMYFUNCTION("IMPORTRANGE(""https://docs.google.com/spreadsheets/d/11923uPwbBZFjjGgGUA6NLw09EwE0CqkOc4q9oUmW1yo/edit?usp=sharing"",""ลำปาง!I98"")"),3)</f>
        <v>3</v>
      </c>
      <c r="J173" s="190">
        <f ca="1">IFERROR(__xludf.DUMMYFUNCTION("IMPORTRANGE(""https://docs.google.com/spreadsheets/d/11923uPwbBZFjjGgGUA6NLw09EwE0CqkOc4q9oUmW1yo/edit?usp=sharing"",""ลำปาง!J98"")"),3)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IFERROR(__xludf.DUMMYFUNCTION("IMPORTRANGE(""https://docs.google.com/spreadsheets/d/11923uPwbBZFjjGgGUA6NLw09EwE0CqkOc4q9oUmW1yo/edit?usp=sharing"",""ลำปาง!J99"")"),0)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IFERROR(__xludf.DUMMYFUNCTION("IMPORTRANGE(""https://docs.google.com/spreadsheets/d/11923uPwbBZFjjGgGUA6NLw09EwE0CqkOc4q9oUmW1yo/edit?usp=sharing"",""ลำปาง!J100"")"),0)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IFERROR(__xludf.DUMMYFUNCTION("IMPORTRANGE(""https://docs.google.com/spreadsheets/d/11923uPwbBZFjjGgGUA6NLw09EwE0CqkOc4q9oUmW1yo/edit?usp=sharing"",""ลำปาง!I101"")"),0)</f>
        <v>0</v>
      </c>
      <c r="J176" s="285">
        <f ca="1">IFERROR(__xludf.DUMMYFUNCTION("IMPORTRANGE(""https://docs.google.com/spreadsheets/d/11923uPwbBZFjjGgGUA6NLw09EwE0CqkOc4q9oUmW1yo/edit?usp=sharing"",""ลำปาง!J101"")"),0)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IFERROR(__xludf.DUMMYFUNCTION("IMPORTRANGE(""https://docs.google.com/spreadsheets/d/11923uPwbBZFjjGgGUA6NLw09EwE0CqkOc4q9oUmW1yo/edit?usp=sharing"",""ลำปาง!J106"")"),0)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IFERROR(__xludf.DUMMYFUNCTION("IMPORTRANGE(""https://docs.google.com/spreadsheets/d/11923uPwbBZFjjGgGUA6NLw09EwE0CqkOc4q9oUmW1yo/edit?usp=sharing"",""ลำปาง!J107"")"),0)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IFERROR(__xludf.DUMMYFUNCTION("IMPORTRANGE(""https://docs.google.com/spreadsheets/d/11923uPwbBZFjjGgGUA6NLw09EwE0CqkOc4q9oUmW1yo/edit?usp=sharing"",""ลำปาง!J108"")"),0)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IFERROR(__xludf.DUMMYFUNCTION("IMPORTRANGE(""https://docs.google.com/spreadsheets/d/11923uPwbBZFjjGgGUA6NLw09EwE0CqkOc4q9oUmW1yo/edit?usp=sharing"",""ลำปาง!J109"")"),0)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IFERROR(__xludf.DUMMYFUNCTION("IMPORTRANGE(""https://docs.google.com/spreadsheets/d/11923uPwbBZFjjGgGUA6NLw09EwE0CqkOc4q9oUmW1yo/edit?usp=sharing"",""ลำปาง!I110"")"),0)</f>
        <v>0</v>
      </c>
      <c r="J185" s="205">
        <f ca="1">IFERROR(__xludf.DUMMYFUNCTION("IMPORTRANGE(""https://docs.google.com/spreadsheets/d/11923uPwbBZFjjGgGUA6NLw09EwE0CqkOc4q9oUmW1yo/edit?usp=sharing"",""ลำปาง!J110"")"),0)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IFERROR(__xludf.DUMMYFUNCTION("IMPORTRANGE(""https://docs.google.com/spreadsheets/d/11923uPwbBZFjjGgGUA6NLw09EwE0CqkOc4q9oUmW1yo/edit?usp=sharing"",""ลำปาง!I111"")"),0)</f>
        <v>0</v>
      </c>
      <c r="J186" s="205">
        <f ca="1">IFERROR(__xludf.DUMMYFUNCTION("IMPORTRANGE(""https://docs.google.com/spreadsheets/d/11923uPwbBZFjjGgGUA6NLw09EwE0CqkOc4q9oUmW1yo/edit?usp=sharing"",""ลำปาง!J111"")"),0)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IFERROR(__xludf.DUMMYFUNCTION("IMPORTRANGE(""https://docs.google.com/spreadsheets/d/11923uPwbBZFjjGgGUA6NLw09EwE0CqkOc4q9oUmW1yo/edit?usp=sharing"",""ลำปาง!J112"")"),0)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IFERROR(__xludf.DUMMYFUNCTION("IMPORTRANGE(""https://docs.google.com/spreadsheets/d/11923uPwbBZFjjGgGUA6NLw09EwE0CqkOc4q9oUmW1yo/edit?usp=sharing"",""ลำปาง!J113"")"),0)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IFERROR(__xludf.DUMMYFUNCTION("IMPORTRANGE(""https://docs.google.com/spreadsheets/d/11923uPwbBZFjjGgGUA6NLw09EwE0CqkOc4q9oUmW1yo/edit?usp=sharing"",""ลำปาง!I114"")"),50000)</f>
        <v>50000</v>
      </c>
      <c r="J189" s="285">
        <f ca="1">IFERROR(__xludf.DUMMYFUNCTION("IMPORTRANGE(""https://docs.google.com/spreadsheets/d/11923uPwbBZFjjGgGUA6NLw09EwE0CqkOc4q9oUmW1yo/edit?usp=sharing"",""ลำปาง!J114"")"),0)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IFERROR(__xludf.DUMMYFUNCTION("IMPORTRANGE(""https://docs.google.com/spreadsheets/d/11923uPwbBZFjjGgGUA6NLw09EwE0CqkOc4q9oUmW1yo/edit?usp=sharing"",""ลำปาง!J119"")"),0)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IFERROR(__xludf.DUMMYFUNCTION("IMPORTRANGE(""https://docs.google.com/spreadsheets/d/11923uPwbBZFjjGgGUA6NLw09EwE0CqkOc4q9oUmW1yo/edit?usp=sharing"",""ลำปาง!J120"")"),1)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IFERROR(__xludf.DUMMYFUNCTION("IMPORTRANGE(""https://docs.google.com/spreadsheets/d/11923uPwbBZFjjGgGUA6NLw09EwE0CqkOc4q9oUmW1yo/edit?usp=sharing"",""ลำปาง!J121"")"),0)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IFERROR(__xludf.DUMMYFUNCTION("IMPORTRANGE(""https://docs.google.com/spreadsheets/d/11923uPwbBZFjjGgGUA6NLw09EwE0CqkOc4q9oUmW1yo/edit?usp=sharing"",""ลำปาง!J122"")"),0)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IFERROR(__xludf.DUMMYFUNCTION("IMPORTRANGE(""https://docs.google.com/spreadsheets/d/11923uPwbBZFjjGgGUA6NLw09EwE0CqkOc4q9oUmW1yo/edit?usp=sharing"",""ลำปาง!I124"")"),50000)</f>
        <v>50000</v>
      </c>
      <c r="J199" s="190">
        <f ca="1">IFERROR(__xludf.DUMMYFUNCTION("IMPORTRANGE(""https://docs.google.com/spreadsheets/d/11923uPwbBZFjjGgGUA6NLw09EwE0CqkOc4q9oUmW1yo/edit?usp=sharing"",""ลำปาง!J124"")"),0)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IFERROR(__xludf.DUMMYFUNCTION("IMPORTRANGE(""https://docs.google.com/spreadsheets/d/11923uPwbBZFjjGgGUA6NLw09EwE0CqkOc4q9oUmW1yo/edit?usp=sharing"",""ลำปาง!I125"")"),50000)</f>
        <v>50000</v>
      </c>
      <c r="J200" s="190">
        <f ca="1">IFERROR(__xludf.DUMMYFUNCTION("IMPORTRANGE(""https://docs.google.com/spreadsheets/d/11923uPwbBZFjjGgGUA6NLw09EwE0CqkOc4q9oUmW1yo/edit?usp=sharing"",""ลำปาง!J125"")"),0)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IFERROR(__xludf.DUMMYFUNCTION("IMPORTRANGE(""https://docs.google.com/spreadsheets/d/11923uPwbBZFjjGgGUA6NLw09EwE0CqkOc4q9oUmW1yo/edit?usp=sharing"",""ลำปาง!I126"")"),0)</f>
        <v>0</v>
      </c>
      <c r="J201" s="190">
        <f ca="1">IFERROR(__xludf.DUMMYFUNCTION("IMPORTRANGE(""https://docs.google.com/spreadsheets/d/11923uPwbBZFjjGgGUA6NLw09EwE0CqkOc4q9oUmW1yo/edit?usp=sharing"",""ลำปาง!J126"")"),0)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IFERROR(__xludf.DUMMYFUNCTION("IMPORTRANGE(""https://docs.google.com/spreadsheets/d/11923uPwbBZFjjGgGUA6NLw09EwE0CqkOc4q9oUmW1yo/edit?usp=sharing"",""ลำปาง!J127"")"),0)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IFERROR(__xludf.DUMMYFUNCTION("IMPORTRANGE(""https://docs.google.com/spreadsheets/d/11923uPwbBZFjjGgGUA6NLw09EwE0CqkOc4q9oUmW1yo/edit?usp=sharing"",""ลำปาง!J128"")"),0)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IFERROR(__xludf.DUMMYFUNCTION("IMPORTRANGE(""https://docs.google.com/spreadsheets/d/11923uPwbBZFjjGgGUA6NLw09EwE0CqkOc4q9oUmW1yo/edit?usp=sharing"",""ลำปาง!I129"")"),0)</f>
        <v>0</v>
      </c>
      <c r="J204" s="285">
        <f ca="1">IFERROR(__xludf.DUMMYFUNCTION("IMPORTRANGE(""https://docs.google.com/spreadsheets/d/11923uPwbBZFjjGgGUA6NLw09EwE0CqkOc4q9oUmW1yo/edit?usp=sharing"",""ลำปาง!J129"")"),0)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IFERROR(__xludf.DUMMYFUNCTION("IMPORTRANGE(""https://docs.google.com/spreadsheets/d/11923uPwbBZFjjGgGUA6NLw09EwE0CqkOc4q9oUmW1yo/edit?usp=sharing"",""ลำปาง!J134"")"),0)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IFERROR(__xludf.DUMMYFUNCTION("IMPORTRANGE(""https://docs.google.com/spreadsheets/d/11923uPwbBZFjjGgGUA6NLw09EwE0CqkOc4q9oUmW1yo/edit?usp=sharing"",""ลำปาง!J135"")"),0)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IFERROR(__xludf.DUMMYFUNCTION("IMPORTRANGE(""https://docs.google.com/spreadsheets/d/11923uPwbBZFjjGgGUA6NLw09EwE0CqkOc4q9oUmW1yo/edit?usp=sharing"",""ลำปาง!J136"")"),0)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IFERROR(__xludf.DUMMYFUNCTION("IMPORTRANGE(""https://docs.google.com/spreadsheets/d/11923uPwbBZFjjGgGUA6NLw09EwE0CqkOc4q9oUmW1yo/edit?usp=sharing"",""ลำปาง!J137"")"),0)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IFERROR(__xludf.DUMMYFUNCTION("IMPORTRANGE(""https://docs.google.com/spreadsheets/d/11923uPwbBZFjjGgGUA6NLw09EwE0CqkOc4q9oUmW1yo/edit?usp=sharing"",""ลำปาง!I138"")"),0)</f>
        <v>0</v>
      </c>
      <c r="J213" s="205">
        <f ca="1">IFERROR(__xludf.DUMMYFUNCTION("IMPORTRANGE(""https://docs.google.com/spreadsheets/d/11923uPwbBZFjjGgGUA6NLw09EwE0CqkOc4q9oUmW1yo/edit?usp=sharing"",""ลำปาง!J138"")"),0)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IFERROR(__xludf.DUMMYFUNCTION("IMPORTRANGE(""https://docs.google.com/spreadsheets/d/11923uPwbBZFjjGgGUA6NLw09EwE0CqkOc4q9oUmW1yo/edit?usp=sharing"",""ลำปาง!I140"")"),0)</f>
        <v>0</v>
      </c>
      <c r="J215" s="205">
        <f ca="1">IFERROR(__xludf.DUMMYFUNCTION("IMPORTRANGE(""https://docs.google.com/spreadsheets/d/11923uPwbBZFjjGgGUA6NLw09EwE0CqkOc4q9oUmW1yo/edit?usp=sharing"",""ลำปาง!J140"")"),0)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IFERROR(__xludf.DUMMYFUNCTION("IMPORTRANGE(""https://docs.google.com/spreadsheets/d/11923uPwbBZFjjGgGUA6NLw09EwE0CqkOc4q9oUmW1yo/edit?usp=sharing"",""ลำปาง!I141"")"),0)</f>
        <v>0</v>
      </c>
      <c r="J216" s="205">
        <f ca="1">IFERROR(__xludf.DUMMYFUNCTION("IMPORTRANGE(""https://docs.google.com/spreadsheets/d/11923uPwbBZFjjGgGUA6NLw09EwE0CqkOc4q9oUmW1yo/edit?usp=sharing"",""ลำปาง!J141"")"),0)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IFERROR(__xludf.DUMMYFUNCTION("IMPORTRANGE(""https://docs.google.com/spreadsheets/d/11923uPwbBZFjjGgGUA6NLw09EwE0CqkOc4q9oUmW1yo/edit?usp=sharing"",""ลำปาง!J142"")"),0)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IFERROR(__xludf.DUMMYFUNCTION("IMPORTRANGE(""https://docs.google.com/spreadsheets/d/11923uPwbBZFjjGgGUA6NLw09EwE0CqkOc4q9oUmW1yo/edit?usp=sharing"",""ลำปาง!J143"")"),0)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IFERROR(__xludf.DUMMYFUNCTION("IMPORTRANGE(""https://docs.google.com/spreadsheets/d/11923uPwbBZFjjGgGUA6NLw09EwE0CqkOc4q9oUmW1yo/edit?usp=sharing"",""ลำปาง!I144"")"),15)</f>
        <v>15</v>
      </c>
      <c r="J219" s="268">
        <f ca="1">IFERROR(__xludf.DUMMYFUNCTION("IMPORTRANGE(""https://docs.google.com/spreadsheets/d/11923uPwbBZFjjGgGUA6NLw09EwE0CqkOc4q9oUmW1yo/edit?usp=sharing"",""ลำปาง!J144"")"),15)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21125</v>
      </c>
      <c r="M222" s="90">
        <f t="shared" ca="1" si="76"/>
        <v>21125</v>
      </c>
      <c r="N222" s="90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59"/>
      <c r="B223" s="160"/>
      <c r="C223" s="160" t="s">
        <v>16</v>
      </c>
      <c r="D223" s="570" t="s">
        <v>20</v>
      </c>
      <c r="E223" s="565"/>
      <c r="F223" s="565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IFERROR(__xludf.DUMMYFUNCTION("IMPORTRANGE(""https://docs.google.com/spreadsheets/d/1Yj_ptqi66GCucihVvJfMjLAmec39IyEx_6qawtMGysU/edit?usp=sharing"",""สบก!BS32"")"),21125)</f>
        <v>21125</v>
      </c>
      <c r="N224" s="170">
        <f ca="1">IFERROR(__xludf.DUMMYFUNCTION("IMPORTRANGE(""https://docs.google.com/spreadsheets/d/1Yj_ptqi66GCucihVvJfMjLAmec39IyEx_6qawtMGysU/edit?usp=sharing"",""สบก!BT32"")"),21125)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IFERROR(__xludf.DUMMYFUNCTION("IMPORTRANGE(""https://docs.google.com/spreadsheets/d/1Yj_ptqi66GCucihVvJfMjLAmec39IyEx_6qawtMGysU/edit?usp=sharing"",""สบก!BO32"")"),0)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IFERROR(__xludf.DUMMYFUNCTION("IMPORTRANGE(""https://docs.google.com/spreadsheets/d/1Yj_ptqi66GCucihVvJfMjLAmec39IyEx_6qawtMGysU/edit?usp=sharing"",""สบก!BP32"")"),21125)</f>
        <v>21125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IFERROR(__xludf.DUMMYFUNCTION("IMPORTRANGE(""https://docs.google.com/spreadsheets/d/1Yj_ptqi66GCucihVvJfMjLAmec39IyEx_6qawtMGysU/edit?usp=sharing"",""สบก!BQ32"")"),0)</f>
        <v>0</v>
      </c>
      <c r="M228" s="52"/>
      <c r="N228" s="52">
        <f ca="1">IFERROR(__xludf.DUMMYFUNCTION("IMPORTRANGE(""https://docs.google.com/spreadsheets/d/1Yj_ptqi66GCucihVvJfMjLAmec39IyEx_6qawtMGysU/edit?usp=sharing"",""สบก!BU32"")"),0)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IFERROR(__xludf.DUMMYFUNCTION("IMPORTRANGE(""https://docs.google.com/spreadsheets/d/11923uPwbBZFjjGgGUA6NLw09EwE0CqkOc4q9oUmW1yo/edit?usp=sharing"",""ลำปาง!I149"")"),15)</f>
        <v>15</v>
      </c>
      <c r="J229" s="268">
        <f ca="1">IFERROR(__xludf.DUMMYFUNCTION("IMPORTRANGE(""https://docs.google.com/spreadsheets/d/11923uPwbBZFjjGgGUA6NLw09EwE0CqkOc4q9oUmW1yo/edit?usp=sharing"",""ลำปาง!J149"")"),15)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IFERROR(__xludf.DUMMYFUNCTION("IMPORTRANGE(""https://docs.google.com/spreadsheets/d/11923uPwbBZFjjGgGUA6NLw09EwE0CqkOc4q9oUmW1yo/edit?usp=sharing"",""ลำปาง!J151"")"),0)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IFERROR(__xludf.DUMMYFUNCTION("IMPORTRANGE(""https://docs.google.com/spreadsheets/d/11923uPwbBZFjjGgGUA6NLw09EwE0CqkOc4q9oUmW1yo/edit?usp=sharing"",""ลำปาง!J152"")"),1)</f>
        <v>1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IFERROR(__xludf.DUMMYFUNCTION("IMPORTRANGE(""https://docs.google.com/spreadsheets/d/11923uPwbBZFjjGgGUA6NLw09EwE0CqkOc4q9oUmW1yo/edit?usp=sharing"",""ลำปาง!J153"")"),1)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IFERROR(__xludf.DUMMYFUNCTION("IMPORTRANGE(""https://docs.google.com/spreadsheets/d/11923uPwbBZFjjGgGUA6NLw09EwE0CqkOc4q9oUmW1yo/edit?usp=sharing"",""ลำปาง!J154"")"),1)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IFERROR(__xludf.DUMMYFUNCTION("IMPORTRANGE(""https://docs.google.com/spreadsheets/d/11923uPwbBZFjjGgGUA6NLw09EwE0CqkOc4q9oUmW1yo/edit?usp=sharing"",""ลำปาง!I155"")"),15)</f>
        <v>15</v>
      </c>
      <c r="J235" s="190">
        <f ca="1">IFERROR(__xludf.DUMMYFUNCTION("IMPORTRANGE(""https://docs.google.com/spreadsheets/d/11923uPwbBZFjjGgGUA6NLw09EwE0CqkOc4q9oUmW1yo/edit?usp=sharing"",""ลำปาง!J155"")"),15)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IFERROR(__xludf.DUMMYFUNCTION("IMPORTRANGE(""https://docs.google.com/spreadsheets/d/11923uPwbBZFjjGgGUA6NLw09EwE0CqkOc4q9oUmW1yo/edit?usp=sharing"",""ลำปาง!J156"")"),1)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IFERROR(__xludf.DUMMYFUNCTION("IMPORTRANGE(""https://docs.google.com/spreadsheets/d/11923uPwbBZFjjGgGUA6NLw09EwE0CqkOc4q9oUmW1yo/edit?usp=sharing"",""ลำปาง!J157"")"),0)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IFERROR(__xludf.DUMMYFUNCTION("IMPORTRANGE(""https://docs.google.com/spreadsheets/d/11923uPwbBZFjjGgGUA6NLw09EwE0CqkOc4q9oUmW1yo/edit?usp=sharing"",""ลำปาง!I158"")"),0)</f>
        <v>0</v>
      </c>
      <c r="J238" s="268">
        <f ca="1">IFERROR(__xludf.DUMMYFUNCTION("IMPORTRANGE(""https://docs.google.com/spreadsheets/d/11923uPwbBZFjjGgGUA6NLw09EwE0CqkOc4q9oUmW1yo/edit?usp=sharing"",""ลำปาง!J158"")"),0)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IFERROR(__xludf.DUMMYFUNCTION("IMPORTRANGE(""https://docs.google.com/spreadsheets/d/11923uPwbBZFjjGgGUA6NLw09EwE0CqkOc4q9oUmW1yo/edit?usp=sharing"",""ลำปาง!J159"")"),"")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IFERROR(__xludf.DUMMYFUNCTION("IMPORTRANGE(""https://docs.google.com/spreadsheets/d/11923uPwbBZFjjGgGUA6NLw09EwE0CqkOc4q9oUmW1yo/edit?usp=sharing"",""ลำปาง!J161"")"),0)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IFERROR(__xludf.DUMMYFUNCTION("IMPORTRANGE(""https://docs.google.com/spreadsheets/d/11923uPwbBZFjjGgGUA6NLw09EwE0CqkOc4q9oUmW1yo/edit?usp=sharing"",""ลำปาง!J162"")"),0)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IFERROR(__xludf.DUMMYFUNCTION("IMPORTRANGE(""https://docs.google.com/spreadsheets/d/11923uPwbBZFjjGgGUA6NLw09EwE0CqkOc4q9oUmW1yo/edit?usp=sharing"",""ลำปาง!J163"")"),0)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IFERROR(__xludf.DUMMYFUNCTION("IMPORTRANGE(""https://docs.google.com/spreadsheets/d/11923uPwbBZFjjGgGUA6NLw09EwE0CqkOc4q9oUmW1yo/edit?usp=sharing"",""ลำปาง!I164"")"),0)</f>
        <v>0</v>
      </c>
      <c r="J244" s="189">
        <f ca="1">IFERROR(__xludf.DUMMYFUNCTION("IMPORTRANGE(""https://docs.google.com/spreadsheets/d/11923uPwbBZFjjGgGUA6NLw09EwE0CqkOc4q9oUmW1yo/edit?usp=sharing"",""ลำปาง!J164"")"),0)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IFERROR(__xludf.DUMMYFUNCTION("IMPORTRANGE(""https://docs.google.com/spreadsheets/d/11923uPwbBZFjjGgGUA6NLw09EwE0CqkOc4q9oUmW1yo/edit?usp=sharing"",""ลำปาง!J165"")"),0)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IFERROR(__xludf.DUMMYFUNCTION("IMPORTRANGE(""https://docs.google.com/spreadsheets/d/11923uPwbBZFjjGgGUA6NLw09EwE0CqkOc4q9oUmW1yo/edit?usp=sharing"",""ลำปาง!J166"")"),0)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IFERROR(__xludf.DUMMYFUNCTION("IMPORTRANGE(""https://docs.google.com/spreadsheets/d/11923uPwbBZFjjGgGUA6NLw09EwE0CqkOc4q9oUmW1yo/edit?usp=sharing"",""ลำปาง!I169"")"),0)</f>
        <v>0</v>
      </c>
      <c r="J249" s="317">
        <f ca="1">IFERROR(__xludf.DUMMYFUNCTION("IMPORTRANGE(""https://docs.google.com/spreadsheets/d/11923uPwbBZFjjGgGUA6NLw09EwE0CqkOc4q9oUmW1yo/edit?usp=sharing"",""ลำปาง!J169"")"),0)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0</v>
      </c>
      <c r="M252" s="90">
        <f t="shared" ca="1" si="81"/>
        <v>0</v>
      </c>
      <c r="N252" s="90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59"/>
      <c r="B253" s="160"/>
      <c r="C253" s="160" t="s">
        <v>16</v>
      </c>
      <c r="D253" s="570" t="s">
        <v>20</v>
      </c>
      <c r="E253" s="565"/>
      <c r="F253" s="565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IFERROR(__xludf.DUMMYFUNCTION("IMPORTRANGE(""https://docs.google.com/spreadsheets/d/1Yj_ptqi66GCucihVvJfMjLAmec39IyEx_6qawtMGysU/edit?usp=sharing"",""สบก!CB32"")"),0)</f>
        <v>0</v>
      </c>
      <c r="N254" s="170">
        <f ca="1">IFERROR(__xludf.DUMMYFUNCTION("IMPORTRANGE(""https://docs.google.com/spreadsheets/d/1Yj_ptqi66GCucihVvJfMjLAmec39IyEx_6qawtMGysU/edit?usp=sharing"",""สบก!CC32"")"),0)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IFERROR(__xludf.DUMMYFUNCTION("IMPORTRANGE(""https://docs.google.com/spreadsheets/d/1Yj_ptqi66GCucihVvJfMjLAmec39IyEx_6qawtMGysU/edit?usp=sharing"",""สบก!BX32"")"),0)</f>
        <v>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IFERROR(__xludf.DUMMYFUNCTION("IMPORTRANGE(""https://docs.google.com/spreadsheets/d/1Yj_ptqi66GCucihVvJfMjLAmec39IyEx_6qawtMGysU/edit?usp=sharing"",""สบก!BY32"")"),0)</f>
        <v>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IFERROR(__xludf.DUMMYFUNCTION("IMPORTRANGE(""https://docs.google.com/spreadsheets/d/1Yj_ptqi66GCucihVvJfMjLAmec39IyEx_6qawtMGysU/edit?usp=sharing"",""สบก!BZ32"")"),0)</f>
        <v>0</v>
      </c>
      <c r="M258" s="52"/>
      <c r="N258" s="52">
        <f ca="1">IFERROR(__xludf.DUMMYFUNCTION("IMPORTRANGE(""https://docs.google.com/spreadsheets/d/1Yj_ptqi66GCucihVvJfMjLAmec39IyEx_6qawtMGysU/edit?usp=sharing"",""สบก!CD32"")"),0)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IFERROR(__xludf.DUMMYFUNCTION("IMPORTRANGE(""https://docs.google.com/spreadsheets/d/11923uPwbBZFjjGgGUA6NLw09EwE0CqkOc4q9oUmW1yo/edit?usp=sharing"",""ลำปาง!J175"")"),0)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IFERROR(__xludf.DUMMYFUNCTION("IMPORTRANGE(""https://docs.google.com/spreadsheets/d/11923uPwbBZFjjGgGUA6NLw09EwE0CqkOc4q9oUmW1yo/edit?usp=sharing"",""ลำปาง!J176"")"),0)</f>
        <v>0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IFERROR(__xludf.DUMMYFUNCTION("IMPORTRANGE(""https://docs.google.com/spreadsheets/d/11923uPwbBZFjjGgGUA6NLw09EwE0CqkOc4q9oUmW1yo/edit?usp=sharing"",""ลำปาง!J177"")"),0)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IFERROR(__xludf.DUMMYFUNCTION("IMPORTRANGE(""https://docs.google.com/spreadsheets/d/11923uPwbBZFjjGgGUA6NLw09EwE0CqkOc4q9oUmW1yo/edit?usp=sharing"",""ลำปาง!J178"")"),0)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IFERROR(__xludf.DUMMYFUNCTION("IMPORTRANGE(""https://docs.google.com/spreadsheets/d/11923uPwbBZFjjGgGUA6NLw09EwE0CqkOc4q9oUmW1yo/edit?usp=sharing"",""ลำปาง!I179"")"),0)</f>
        <v>0</v>
      </c>
      <c r="J264" s="190">
        <f ca="1">IFERROR(__xludf.DUMMYFUNCTION("IMPORTRANGE(""https://docs.google.com/spreadsheets/d/11923uPwbBZFjjGgGUA6NLw09EwE0CqkOc4q9oUmW1yo/edit?usp=sharing"",""ลำปาง!J179"")"),0)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IFERROR(__xludf.DUMMYFUNCTION("IMPORTRANGE(""https://docs.google.com/spreadsheets/d/11923uPwbBZFjjGgGUA6NLw09EwE0CqkOc4q9oUmW1yo/edit?usp=sharing"",""ลำปาง!I180"")"),0)</f>
        <v>0</v>
      </c>
      <c r="J265" s="190">
        <f ca="1">IFERROR(__xludf.DUMMYFUNCTION("IMPORTRANGE(""https://docs.google.com/spreadsheets/d/11923uPwbBZFjjGgGUA6NLw09EwE0CqkOc4q9oUmW1yo/edit?usp=sharing"",""ลำปาง!J180"")"),0)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IFERROR(__xludf.DUMMYFUNCTION("IMPORTRANGE(""https://docs.google.com/spreadsheets/d/11923uPwbBZFjjGgGUA6NLw09EwE0CqkOc4q9oUmW1yo/edit?usp=sharing"",""ลำปาง!I181"")"),0)</f>
        <v>0</v>
      </c>
      <c r="J266" s="190">
        <f ca="1">IFERROR(__xludf.DUMMYFUNCTION("IMPORTRANGE(""https://docs.google.com/spreadsheets/d/11923uPwbBZFjjGgGUA6NLw09EwE0CqkOc4q9oUmW1yo/edit?usp=sharing"",""ลำปาง!J181"")"),0)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IFERROR(__xludf.DUMMYFUNCTION("IMPORTRANGE(""https://docs.google.com/spreadsheets/d/11923uPwbBZFjjGgGUA6NLw09EwE0CqkOc4q9oUmW1yo/edit?usp=sharing"",""ลำปาง!I182"")"),0)</f>
        <v>0</v>
      </c>
      <c r="J267" s="190">
        <f ca="1">IFERROR(__xludf.DUMMYFUNCTION("IMPORTRANGE(""https://docs.google.com/spreadsheets/d/11923uPwbBZFjjGgGUA6NLw09EwE0CqkOc4q9oUmW1yo/edit?usp=sharing"",""ลำปาง!J182"")"),0)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IFERROR(__xludf.DUMMYFUNCTION("IMPORTRANGE(""https://docs.google.com/spreadsheets/d/11923uPwbBZFjjGgGUA6NLw09EwE0CqkOc4q9oUmW1yo/edit?usp=sharing"",""ลำปาง!J183"")"),0)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IFERROR(__xludf.DUMMYFUNCTION("IMPORTRANGE(""https://docs.google.com/spreadsheets/d/11923uPwbBZFjjGgGUA6NLw09EwE0CqkOc4q9oUmW1yo/edit?usp=sharing"",""ลำปาง!J184"")"),0)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IFERROR(__xludf.DUMMYFUNCTION("IMPORTRANGE(""https://docs.google.com/spreadsheets/d/11923uPwbBZFjjGgGUA6NLw09EwE0CqkOc4q9oUmW1yo/edit?usp=sharing"",""ลำปาง!I185"")"),15)</f>
        <v>15</v>
      </c>
      <c r="J270" s="317">
        <f ca="1">IFERROR(__xludf.DUMMYFUNCTION("IMPORTRANGE(""https://docs.google.com/spreadsheets/d/11923uPwbBZFjjGgGUA6NLw09EwE0CqkOc4q9oUmW1yo/edit?usp=sharing"",""ลำปาง!J185"")"),15)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187200</v>
      </c>
      <c r="M271" s="154">
        <f t="shared" ca="1" si="83"/>
        <v>154200</v>
      </c>
      <c r="N271" s="154">
        <f t="shared" ca="1" si="83"/>
        <v>91172</v>
      </c>
      <c r="O271" s="153">
        <f t="shared" ref="O271:O273" ca="1" si="84">IF(L271&gt;0,N271*100/L271,0)</f>
        <v>48.702991452991455</v>
      </c>
      <c r="P271" s="153">
        <f t="shared" ref="P271:P273" ca="1" si="85">IF(M271&gt;0,N271*100/M271,0)</f>
        <v>59.125810635538265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187200</v>
      </c>
      <c r="M273" s="90">
        <f t="shared" ca="1" si="87"/>
        <v>154200</v>
      </c>
      <c r="N273" s="90">
        <f t="shared" ca="1" si="87"/>
        <v>91172</v>
      </c>
      <c r="O273" s="158">
        <f t="shared" ca="1" si="84"/>
        <v>48.702991452991455</v>
      </c>
      <c r="P273" s="158">
        <f t="shared" ca="1" si="85"/>
        <v>59.125810635538265</v>
      </c>
    </row>
    <row r="274" spans="1:16" ht="21.75" customHeight="1">
      <c r="A274" s="159"/>
      <c r="B274" s="160"/>
      <c r="C274" s="160" t="s">
        <v>16</v>
      </c>
      <c r="D274" s="570" t="s">
        <v>20</v>
      </c>
      <c r="E274" s="565"/>
      <c r="F274" s="565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187200</v>
      </c>
      <c r="M275" s="169">
        <f ca="1">IFERROR(__xludf.DUMMYFUNCTION("IMPORTRANGE(""https://docs.google.com/spreadsheets/d/1Yj_ptqi66GCucihVvJfMjLAmec39IyEx_6qawtMGysU/edit?usp=sharing"",""สบก!CK32"")"),154200)</f>
        <v>154200</v>
      </c>
      <c r="N275" s="170">
        <f ca="1">IFERROR(__xludf.DUMMYFUNCTION("IMPORTRANGE(""https://docs.google.com/spreadsheets/d/1Yj_ptqi66GCucihVvJfMjLAmec39IyEx_6qawtMGysU/edit?usp=sharing"",""สบก!CL32"")"),91172)</f>
        <v>91172</v>
      </c>
      <c r="O275" s="170">
        <f ca="1">IF(L275&gt;0,N275*100/L275,0)</f>
        <v>48.702991452991455</v>
      </c>
      <c r="P275" s="170">
        <f ca="1">IF(M275&gt;0,N275*100/M275,0)</f>
        <v>59.125810635538265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IFERROR(__xludf.DUMMYFUNCTION("IMPORTRANGE(""https://docs.google.com/spreadsheets/d/1Yj_ptqi66GCucihVvJfMjLAmec39IyEx_6qawtMGysU/edit?usp=sharing"",""สบก!CG32"")"),132000)</f>
        <v>132000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IFERROR(__xludf.DUMMYFUNCTION("IMPORTRANGE(""https://docs.google.com/spreadsheets/d/1Yj_ptqi66GCucihVvJfMjLAmec39IyEx_6qawtMGysU/edit?usp=sharing"",""สบก!CH32"")"),55200)</f>
        <v>55200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IFERROR(__xludf.DUMMYFUNCTION("IMPORTRANGE(""https://docs.google.com/spreadsheets/d/1Yj_ptqi66GCucihVvJfMjLAmec39IyEx_6qawtMGysU/edit?usp=sharing"",""สบก!CI32"")"),0)</f>
        <v>0</v>
      </c>
      <c r="M279" s="52"/>
      <c r="N279" s="52">
        <f ca="1">IFERROR(__xludf.DUMMYFUNCTION("IMPORTRANGE(""https://docs.google.com/spreadsheets/d/1Yj_ptqi66GCucihVvJfMjLAmec39IyEx_6qawtMGysU/edit?usp=sharing"",""สบก!CM32"")"),0)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IFERROR(__xludf.DUMMYFUNCTION("IMPORTRANGE(""https://docs.google.com/spreadsheets/d/11923uPwbBZFjjGgGUA6NLw09EwE0CqkOc4q9oUmW1yo/edit?usp=sharing"",""ลำปาง!J191"")"),0)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IFERROR(__xludf.DUMMYFUNCTION("IMPORTRANGE(""https://docs.google.com/spreadsheets/d/11923uPwbBZFjjGgGUA6NLw09EwE0CqkOc4q9oUmW1yo/edit?usp=sharing"",""ลำปาง!J192"")"),1)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IFERROR(__xludf.DUMMYFUNCTION("IMPORTRANGE(""https://docs.google.com/spreadsheets/d/11923uPwbBZFjjGgGUA6NLw09EwE0CqkOc4q9oUmW1yo/edit?usp=sharing"",""ลำปาง!J193"")"),1)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IFERROR(__xludf.DUMMYFUNCTION("IMPORTRANGE(""https://docs.google.com/spreadsheets/d/11923uPwbBZFjjGgGUA6NLw09EwE0CqkOc4q9oUmW1yo/edit?usp=sharing"",""ลำปาง!J194"")"),1)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IFERROR(__xludf.DUMMYFUNCTION("IMPORTRANGE(""https://docs.google.com/spreadsheets/d/11923uPwbBZFjjGgGUA6NLw09EwE0CqkOc4q9oUmW1yo/edit?usp=sharing"",""ลำปาง!I195"")"),15)</f>
        <v>15</v>
      </c>
      <c r="J285" s="190">
        <f ca="1">IFERROR(__xludf.DUMMYFUNCTION("IMPORTRANGE(""https://docs.google.com/spreadsheets/d/11923uPwbBZFjjGgGUA6NLw09EwE0CqkOc4q9oUmW1yo/edit?usp=sharing"",""ลำปาง!J195"")"),15)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IFERROR(__xludf.DUMMYFUNCTION("IMPORTRANGE(""https://docs.google.com/spreadsheets/d/11923uPwbBZFjjGgGUA6NLw09EwE0CqkOc4q9oUmW1yo/edit?usp=sharing"",""ลำปาง!J196"")"),0)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IFERROR(__xludf.DUMMYFUNCTION("IMPORTRANGE(""https://docs.google.com/spreadsheets/d/11923uPwbBZFjjGgGUA6NLw09EwE0CqkOc4q9oUmW1yo/edit?usp=sharing"",""ลำปาง!J197"")"),0)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IFERROR(__xludf.DUMMYFUNCTION("IMPORTRANGE(""https://docs.google.com/spreadsheets/d/11923uPwbBZFjjGgGUA6NLw09EwE0CqkOc4q9oUmW1yo/edit?usp=sharing"",""ลำปาง!I199"")"),0)</f>
        <v>0</v>
      </c>
      <c r="J289" s="317">
        <f ca="1">IFERROR(__xludf.DUMMYFUNCTION("IMPORTRANGE(""https://docs.google.com/spreadsheets/d/11923uPwbBZFjjGgGUA6NLw09EwE0CqkOc4q9oUmW1yo/edit?usp=sharing"",""ลำปาง!J199"")"),0)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0</v>
      </c>
      <c r="M292" s="90">
        <f t="shared" ca="1" si="92"/>
        <v>0</v>
      </c>
      <c r="N292" s="90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59"/>
      <c r="B293" s="160"/>
      <c r="C293" s="160" t="s">
        <v>16</v>
      </c>
      <c r="D293" s="570" t="s">
        <v>20</v>
      </c>
      <c r="E293" s="565"/>
      <c r="F293" s="565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IFERROR(__xludf.DUMMYFUNCTION("IMPORTRANGE(""https://docs.google.com/spreadsheets/d/1Yj_ptqi66GCucihVvJfMjLAmec39IyEx_6qawtMGysU/edit?usp=sharing"",""สบก!CT32"")"),0)</f>
        <v>0</v>
      </c>
      <c r="N294" s="170">
        <f ca="1">IFERROR(__xludf.DUMMYFUNCTION("IMPORTRANGE(""https://docs.google.com/spreadsheets/d/1Yj_ptqi66GCucihVvJfMjLAmec39IyEx_6qawtMGysU/edit?usp=sharing"",""สบก!CU32"")"),0)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IFERROR(__xludf.DUMMYFUNCTION("IMPORTRANGE(""https://docs.google.com/spreadsheets/d/1Yj_ptqi66GCucihVvJfMjLAmec39IyEx_6qawtMGysU/edit?usp=sharing"",""สบก!CP32"")"),0)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IFERROR(__xludf.DUMMYFUNCTION("IMPORTRANGE(""https://docs.google.com/spreadsheets/d/1Yj_ptqi66GCucihVvJfMjLAmec39IyEx_6qawtMGysU/edit?usp=sharing"",""สบก!CQ32"")"),0)</f>
        <v>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IFERROR(__xludf.DUMMYFUNCTION("IMPORTRANGE(""https://docs.google.com/spreadsheets/d/1Yj_ptqi66GCucihVvJfMjLAmec39IyEx_6qawtMGysU/edit?usp=sharing"",""สบก!CR32"")"),0)</f>
        <v>0</v>
      </c>
      <c r="M298" s="52"/>
      <c r="N298" s="52">
        <f ca="1">IFERROR(__xludf.DUMMYFUNCTION("IMPORTRANGE(""https://docs.google.com/spreadsheets/d/1Yj_ptqi66GCucihVvJfMjLAmec39IyEx_6qawtMGysU/edit?usp=sharing"",""สบก!CV32"")"),0)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IFERROR(__xludf.DUMMYFUNCTION("IMPORTRANGE(""https://docs.google.com/spreadsheets/d/11923uPwbBZFjjGgGUA6NLw09EwE0CqkOc4q9oUmW1yo/edit?usp=sharing"",""ลำปาง!J205"")"),0)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IFERROR(__xludf.DUMMYFUNCTION("IMPORTRANGE(""https://docs.google.com/spreadsheets/d/11923uPwbBZFjjGgGUA6NLw09EwE0CqkOc4q9oUmW1yo/edit?usp=sharing"",""ลำปาง!J206"")"),0)</f>
        <v>0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IFERROR(__xludf.DUMMYFUNCTION("IMPORTRANGE(""https://docs.google.com/spreadsheets/d/11923uPwbBZFjjGgGUA6NLw09EwE0CqkOc4q9oUmW1yo/edit?usp=sharing"",""ลำปาง!J207"")"),0)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IFERROR(__xludf.DUMMYFUNCTION("IMPORTRANGE(""https://docs.google.com/spreadsheets/d/11923uPwbBZFjjGgGUA6NLw09EwE0CqkOc4q9oUmW1yo/edit?usp=sharing"",""ลำปาง!J208"")"),0)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IFERROR(__xludf.DUMMYFUNCTION("IMPORTRANGE(""https://docs.google.com/spreadsheets/d/11923uPwbBZFjjGgGUA6NLw09EwE0CqkOc4q9oUmW1yo/edit?usp=sharing"",""ลำปาง!I209"")"),0)</f>
        <v>0</v>
      </c>
      <c r="J304" s="205">
        <f ca="1">IFERROR(__xludf.DUMMYFUNCTION("IMPORTRANGE(""https://docs.google.com/spreadsheets/d/11923uPwbBZFjjGgGUA6NLw09EwE0CqkOc4q9oUmW1yo/edit?usp=sharing"",""ลำปาง!J209"")"),0)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IFERROR(__xludf.DUMMYFUNCTION("IMPORTRANGE(""https://docs.google.com/spreadsheets/d/11923uPwbBZFjjGgGUA6NLw09EwE0CqkOc4q9oUmW1yo/edit?usp=sharing"",""ลำปาง!I211"")"),0)</f>
        <v>0</v>
      </c>
      <c r="J306" s="205">
        <f ca="1">IFERROR(__xludf.DUMMYFUNCTION("IMPORTRANGE(""https://docs.google.com/spreadsheets/d/11923uPwbBZFjjGgGUA6NLw09EwE0CqkOc4q9oUmW1yo/edit?usp=sharing"",""ลำปาง!J211"")"),0)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IFERROR(__xludf.DUMMYFUNCTION("IMPORTRANGE(""https://docs.google.com/spreadsheets/d/11923uPwbBZFjjGgGUA6NLw09EwE0CqkOc4q9oUmW1yo/edit?usp=sharing"",""ลำปาง!J212"")"),0)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IFERROR(__xludf.DUMMYFUNCTION("IMPORTRANGE(""https://docs.google.com/spreadsheets/d/11923uPwbBZFjjGgGUA6NLw09EwE0CqkOc4q9oUmW1yo/edit?usp=sharing"",""ลำปาง!J213"")"),0)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IFERROR(__xludf.DUMMYFUNCTION("IMPORTRANGE(""https://docs.google.com/spreadsheets/d/11923uPwbBZFjjGgGUA6NLw09EwE0CqkOc4q9oUmW1yo/edit?usp=sharing"",""ลำปาง!I214"")"),0)</f>
        <v>0</v>
      </c>
      <c r="J309" s="334">
        <f ca="1">IFERROR(__xludf.DUMMYFUNCTION("IMPORTRANGE(""https://docs.google.com/spreadsheets/d/11923uPwbBZFjjGgGUA6NLw09EwE0CqkOc4q9oUmW1yo/edit?usp=sharing"",""ลำปาง!J214"")"),0)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0</v>
      </c>
      <c r="M312" s="90">
        <f t="shared" ca="1" si="97"/>
        <v>0</v>
      </c>
      <c r="N312" s="90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59"/>
      <c r="B313" s="160"/>
      <c r="C313" s="160" t="s">
        <v>16</v>
      </c>
      <c r="D313" s="570" t="s">
        <v>20</v>
      </c>
      <c r="E313" s="565"/>
      <c r="F313" s="565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IFERROR(__xludf.DUMMYFUNCTION("IMPORTRANGE(""https://docs.google.com/spreadsheets/d/1Yj_ptqi66GCucihVvJfMjLAmec39IyEx_6qawtMGysU/edit?usp=sharing"",""สบก!DC32"")"),0)</f>
        <v>0</v>
      </c>
      <c r="N314" s="170">
        <f ca="1">IFERROR(__xludf.DUMMYFUNCTION("IMPORTRANGE(""https://docs.google.com/spreadsheets/d/1Yj_ptqi66GCucihVvJfMjLAmec39IyEx_6qawtMGysU/edit?usp=sharing"",""สบก!DD32"")"),0)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IFERROR(__xludf.DUMMYFUNCTION("IMPORTRANGE(""https://docs.google.com/spreadsheets/d/1Yj_ptqi66GCucihVvJfMjLAmec39IyEx_6qawtMGysU/edit?usp=sharing"",""สบก!CY32"")"),0)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IFERROR(__xludf.DUMMYFUNCTION("IMPORTRANGE(""https://docs.google.com/spreadsheets/d/1Yj_ptqi66GCucihVvJfMjLAmec39IyEx_6qawtMGysU/edit?usp=sharing"",""สบก!CZ32"")"),0)</f>
        <v>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IFERROR(__xludf.DUMMYFUNCTION("IMPORTRANGE(""https://docs.google.com/spreadsheets/d/1Yj_ptqi66GCucihVvJfMjLAmec39IyEx_6qawtMGysU/edit?usp=sharing"",""สบก!DA32"")"),0)</f>
        <v>0</v>
      </c>
      <c r="M318" s="52"/>
      <c r="N318" s="52">
        <f ca="1">IFERROR(__xludf.DUMMYFUNCTION("IMPORTRANGE(""https://docs.google.com/spreadsheets/d/1Yj_ptqi66GCucihVvJfMjLAmec39IyEx_6qawtMGysU/edit?usp=sharing"",""สบก!DE32"")"),0)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IFERROR(__xludf.DUMMYFUNCTION("IMPORTRANGE(""https://docs.google.com/spreadsheets/d/11923uPwbBZFjjGgGUA6NLw09EwE0CqkOc4q9oUmW1yo/edit?usp=sharing"",""ลำปาง!J220"")"),0)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IFERROR(__xludf.DUMMYFUNCTION("IMPORTRANGE(""https://docs.google.com/spreadsheets/d/11923uPwbBZFjjGgGUA6NLw09EwE0CqkOc4q9oUmW1yo/edit?usp=sharing"",""ลำปาง!J221"")"),0)</f>
        <v>0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IFERROR(__xludf.DUMMYFUNCTION("IMPORTRANGE(""https://docs.google.com/spreadsheets/d/11923uPwbBZFjjGgGUA6NLw09EwE0CqkOc4q9oUmW1yo/edit?usp=sharing"",""ลำปาง!J222"")"),0)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IFERROR(__xludf.DUMMYFUNCTION("IMPORTRANGE(""https://docs.google.com/spreadsheets/d/11923uPwbBZFjjGgGUA6NLw09EwE0CqkOc4q9oUmW1yo/edit?usp=sharing"",""ลำปาง!J223"")"),0)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IFERROR(__xludf.DUMMYFUNCTION("IMPORTRANGE(""https://docs.google.com/spreadsheets/d/11923uPwbBZFjjGgGUA6NLw09EwE0CqkOc4q9oUmW1yo/edit?usp=sharing"",""ลำปาง!I224"")"),0)</f>
        <v>0</v>
      </c>
      <c r="J324" s="205">
        <f ca="1">IFERROR(__xludf.DUMMYFUNCTION("IMPORTRANGE(""https://docs.google.com/spreadsheets/d/11923uPwbBZFjjGgGUA6NLw09EwE0CqkOc4q9oUmW1yo/edit?usp=sharing"",""ลำปาง!J224"")"),0)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IFERROR(__xludf.DUMMYFUNCTION("IMPORTRANGE(""https://docs.google.com/spreadsheets/d/11923uPwbBZFjjGgGUA6NLw09EwE0CqkOc4q9oUmW1yo/edit?usp=sharing"",""ลำปาง!J225"")"),0)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IFERROR(__xludf.DUMMYFUNCTION("IMPORTRANGE(""https://docs.google.com/spreadsheets/d/11923uPwbBZFjjGgGUA6NLw09EwE0CqkOc4q9oUmW1yo/edit?usp=sharing"",""ลำปาง!J226"")"),0)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IFERROR(__xludf.DUMMYFUNCTION("IMPORTRANGE(""https://docs.google.com/spreadsheets/d/11923uPwbBZFjjGgGUA6NLw09EwE0CqkOc4q9oUmW1yo/edit?usp=sharing"",""ลำปาง!I228"")"),400)</f>
        <v>400</v>
      </c>
      <c r="J328" s="340">
        <f ca="1">IFERROR(__xludf.DUMMYFUNCTION("IMPORTRANGE(""https://docs.google.com/spreadsheets/d/11923uPwbBZFjjGgGUA6NLw09EwE0CqkOc4q9oUmW1yo/edit?usp=sharing"",""ลำปาง!J228"")"),211)</f>
        <v>211</v>
      </c>
      <c r="K328" s="318">
        <f ca="1">IF(I328&gt;0,J328*100/I328,0)</f>
        <v>52.75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1017600</v>
      </c>
      <c r="M329" s="154">
        <f t="shared" ca="1" si="98"/>
        <v>835530</v>
      </c>
      <c r="N329" s="154">
        <f t="shared" ca="1" si="98"/>
        <v>661463.06999999995</v>
      </c>
      <c r="O329" s="153">
        <f t="shared" ref="O329:O331" ca="1" si="99">IF(L329&gt;0,N329*100/L329,0)</f>
        <v>65.002267099056596</v>
      </c>
      <c r="P329" s="153">
        <f t="shared" ref="P329:P331" ca="1" si="100">IF(M329&gt;0,N329*100/M329,0)</f>
        <v>79.16688449247782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1017600</v>
      </c>
      <c r="M331" s="90">
        <f t="shared" ca="1" si="102"/>
        <v>835530</v>
      </c>
      <c r="N331" s="90">
        <f t="shared" ca="1" si="102"/>
        <v>661463.06999999995</v>
      </c>
      <c r="O331" s="158">
        <f t="shared" ca="1" si="99"/>
        <v>65.002267099056596</v>
      </c>
      <c r="P331" s="158">
        <f t="shared" ca="1" si="100"/>
        <v>79.16688449247782</v>
      </c>
    </row>
    <row r="332" spans="1:16" ht="21.75" customHeight="1">
      <c r="A332" s="159"/>
      <c r="B332" s="160"/>
      <c r="C332" s="160" t="s">
        <v>16</v>
      </c>
      <c r="D332" s="570" t="s">
        <v>20</v>
      </c>
      <c r="E332" s="565"/>
      <c r="F332" s="565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897600</v>
      </c>
      <c r="M333" s="169">
        <f ca="1">IFERROR(__xludf.DUMMYFUNCTION("IMPORTRANGE(""https://docs.google.com/spreadsheets/d/1Yj_ptqi66GCucihVvJfMjLAmec39IyEx_6qawtMGysU/edit?usp=sharing"",""สบก!DL32"")"),715530)</f>
        <v>715530</v>
      </c>
      <c r="N333" s="170">
        <f ca="1">IFERROR(__xludf.DUMMYFUNCTION("IMPORTRANGE(""https://docs.google.com/spreadsheets/d/1Yj_ptqi66GCucihVvJfMjLAmec39IyEx_6qawtMGysU/edit?usp=sharing"",""สบก!DM32"")"),541463.07)</f>
        <v>541463.06999999995</v>
      </c>
      <c r="O333" s="170">
        <f ca="1">IF(L333&gt;0,N333*100/L333,0)</f>
        <v>60.323425802139027</v>
      </c>
      <c r="P333" s="170">
        <f ca="1">IF(M333&gt;0,N333*100/M333,0)</f>
        <v>75.673007421072484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IFERROR(__xludf.DUMMYFUNCTION("IMPORTRANGE(""https://docs.google.com/spreadsheets/d/1Yj_ptqi66GCucihVvJfMjLAmec39IyEx_6qawtMGysU/edit?usp=sharing"",""สบก!DH32"")"),491200)</f>
        <v>491200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IFERROR(__xludf.DUMMYFUNCTION("IMPORTRANGE(""https://docs.google.com/spreadsheets/d/1Yj_ptqi66GCucihVvJfMjLAmec39IyEx_6qawtMGysU/edit?usp=sharing"",""สบก!DI32"")"),406400)</f>
        <v>406400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IFERROR(__xludf.DUMMYFUNCTION("IMPORTRANGE(""https://docs.google.com/spreadsheets/d/1Yj_ptqi66GCucihVvJfMjLAmec39IyEx_6qawtMGysU/edit?usp=sharing"",""สบก!DJ32"")"),120000)</f>
        <v>120000</v>
      </c>
      <c r="M337" s="52">
        <f ca="1">L337</f>
        <v>120000</v>
      </c>
      <c r="N337" s="52">
        <f ca="1">IFERROR(__xludf.DUMMYFUNCTION("IMPORTRANGE(""https://docs.google.com/spreadsheets/d/1Yj_ptqi66GCucihVvJfMjLAmec39IyEx_6qawtMGysU/edit?usp=sharing"",""สบก!DN32"")"),120000)</f>
        <v>120000</v>
      </c>
      <c r="O337" s="52">
        <f ca="1">IF(L337&gt;0,N337*100/L337,0)</f>
        <v>100</v>
      </c>
      <c r="P337" s="52">
        <f ca="1">IF(M337&gt;0,N337*100/M337,0)</f>
        <v>100</v>
      </c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IFERROR(__xludf.DUMMYFUNCTION("IMPORTRANGE(""https://docs.google.com/spreadsheets/d/11923uPwbBZFjjGgGUA6NLw09EwE0CqkOc4q9oUmW1yo/edit?usp=sharing"",""ลำปาง!I234"")"),0)</f>
        <v>0</v>
      </c>
      <c r="J339" s="189">
        <f ca="1">IFERROR(__xludf.DUMMYFUNCTION("IMPORTRANGE(""https://docs.google.com/spreadsheets/d/11923uPwbBZFjjGgGUA6NLw09EwE0CqkOc4q9oUmW1yo/edit?usp=sharing"",""ลำปาง!J234"")"),219)</f>
        <v>219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IFERROR(__xludf.DUMMYFUNCTION("IMPORTRANGE(""https://docs.google.com/spreadsheets/d/11923uPwbBZFjjGgGUA6NLw09EwE0CqkOc4q9oUmW1yo/edit?usp=sharing"",""ลำปาง!I235"")"),1700)</f>
        <v>1700</v>
      </c>
      <c r="J340" s="189">
        <f ca="1">IFERROR(__xludf.DUMMYFUNCTION("IMPORTRANGE(""https://docs.google.com/spreadsheets/d/11923uPwbBZFjjGgGUA6NLw09EwE0CqkOc4q9oUmW1yo/edit?usp=sharing"",""ลำปาง!J235"")"),1212.41)</f>
        <v>1212.4100000000001</v>
      </c>
      <c r="K340" s="343">
        <f t="shared" ca="1" si="103"/>
        <v>71.318235294117656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IFERROR(__xludf.DUMMYFUNCTION("IMPORTRANGE(""https://docs.google.com/spreadsheets/d/11923uPwbBZFjjGgGUA6NLw09EwE0CqkOc4q9oUmW1yo/edit?usp=sharing"",""ลำปาง!I236"")"),400)</f>
        <v>400</v>
      </c>
      <c r="J341" s="189">
        <f ca="1">IFERROR(__xludf.DUMMYFUNCTION("IMPORTRANGE(""https://docs.google.com/spreadsheets/d/11923uPwbBZFjjGgGUA6NLw09EwE0CqkOc4q9oUmW1yo/edit?usp=sharing"",""ลำปาง!J236"")"),337)</f>
        <v>337</v>
      </c>
      <c r="K341" s="343">
        <f t="shared" ca="1" si="103"/>
        <v>84.25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IFERROR(__xludf.DUMMYFUNCTION("IMPORTRANGE(""https://docs.google.com/spreadsheets/d/11923uPwbBZFjjGgGUA6NLw09EwE0CqkOc4q9oUmW1yo/edit?usp=sharing"",""ลำปาง!I237"")"),0)</f>
        <v>0</v>
      </c>
      <c r="J342" s="189">
        <f ca="1">IFERROR(__xludf.DUMMYFUNCTION("IMPORTRANGE(""https://docs.google.com/spreadsheets/d/11923uPwbBZFjjGgGUA6NLw09EwE0CqkOc4q9oUmW1yo/edit?usp=sharing"",""ลำปาง!J237"")"),2051.38)</f>
        <v>2051.38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IFERROR(__xludf.DUMMYFUNCTION("IMPORTRANGE(""https://docs.google.com/spreadsheets/d/11923uPwbBZFjjGgGUA6NLw09EwE0CqkOc4q9oUmW1yo/edit?usp=sharing"",""ลำปาง!I238"")"),400)</f>
        <v>400</v>
      </c>
      <c r="J343" s="189">
        <f ca="1">IFERROR(__xludf.DUMMYFUNCTION("IMPORTRANGE(""https://docs.google.com/spreadsheets/d/11923uPwbBZFjjGgGUA6NLw09EwE0CqkOc4q9oUmW1yo/edit?usp=sharing"",""ลำปาง!J238"")"),2)</f>
        <v>2</v>
      </c>
      <c r="K343" s="343">
        <f t="shared" ca="1" si="103"/>
        <v>0.5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IFERROR(__xludf.DUMMYFUNCTION("IMPORTRANGE(""https://docs.google.com/spreadsheets/d/11923uPwbBZFjjGgGUA6NLw09EwE0CqkOc4q9oUmW1yo/edit?usp=sharing"",""ลำปาง!I239"")"),0)</f>
        <v>0</v>
      </c>
      <c r="J344" s="189">
        <f ca="1">IFERROR(__xludf.DUMMYFUNCTION("IMPORTRANGE(""https://docs.google.com/spreadsheets/d/11923uPwbBZFjjGgGUA6NLw09EwE0CqkOc4q9oUmW1yo/edit?usp=sharing"",""ลำปาง!J239"")"),5.52)</f>
        <v>5.52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IFERROR(__xludf.DUMMYFUNCTION("IMPORTRANGE(""https://docs.google.com/spreadsheets/d/11923uPwbBZFjjGgGUA6NLw09EwE0CqkOc4q9oUmW1yo/edit?usp=sharing"",""ลำปาง!I240"")"),400)</f>
        <v>400</v>
      </c>
      <c r="J345" s="189">
        <f ca="1">IFERROR(__xludf.DUMMYFUNCTION("IMPORTRANGE(""https://docs.google.com/spreadsheets/d/11923uPwbBZFjjGgGUA6NLw09EwE0CqkOc4q9oUmW1yo/edit?usp=sharing"",""ลำปาง!J240"")"),211)</f>
        <v>211</v>
      </c>
      <c r="K345" s="343">
        <f t="shared" ca="1" si="103"/>
        <v>52.75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IFERROR(__xludf.DUMMYFUNCTION("IMPORTRANGE(""https://docs.google.com/spreadsheets/d/11923uPwbBZFjjGgGUA6NLw09EwE0CqkOc4q9oUmW1yo/edit?usp=sharing"",""ลำปาง!I241"")"),0)</f>
        <v>0</v>
      </c>
      <c r="J346" s="189">
        <f ca="1">IFERROR(__xludf.DUMMYFUNCTION("IMPORTRANGE(""https://docs.google.com/spreadsheets/d/11923uPwbBZFjjGgGUA6NLw09EwE0CqkOc4q9oUmW1yo/edit?usp=sharing"",""ลำปาง!J241"")"),1213.6)</f>
        <v>1213.5999999999999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IFERROR(__xludf.DUMMYFUNCTION("IMPORTRANGE(""https://docs.google.com/spreadsheets/d/11923uPwbBZFjjGgGUA6NLw09EwE0CqkOc4q9oUmW1yo/edit?usp=sharing"",""ลำปาง!L242"")"),2633435)</f>
        <v>2633435</v>
      </c>
      <c r="M347" s="359"/>
      <c r="N347" s="359">
        <f ca="1">IFERROR(__xludf.DUMMYFUNCTION("IMPORTRANGE(""https://docs.google.com/spreadsheets/d/11923uPwbBZFjjGgGUA6NLw09EwE0CqkOc4q9oUmW1yo/edit?usp=sharing"",""ลำปาง!M242"")"),940670.59)</f>
        <v>940670.59</v>
      </c>
      <c r="O347" s="359">
        <f ca="1">+IF(L347&gt;0,N347*100/L347,0)</f>
        <v>35.720288900238664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IFERROR(__xludf.DUMMYFUNCTION("IMPORTRANGE(""https://docs.google.com/spreadsheets/d/11923uPwbBZFjjGgGUA6NLw09EwE0CqkOc4q9oUmW1yo/edit?usp=sharing"",""ลำปาง!I244"")"),50)</f>
        <v>50</v>
      </c>
      <c r="J349" s="372">
        <f ca="1">IFERROR(__xludf.DUMMYFUNCTION("IMPORTRANGE(""https://docs.google.com/spreadsheets/d/11923uPwbBZFjjGgGUA6NLw09EwE0CqkOc4q9oUmW1yo/edit?usp=sharing"",""ลำปาง!J244"")"),50)</f>
        <v>50</v>
      </c>
      <c r="K349" s="373">
        <f t="shared" ref="K349:K350" ca="1" si="104">IF(I349&gt;0,J349*100/I349,0)</f>
        <v>100</v>
      </c>
      <c r="L349" s="374">
        <f ca="1">IFERROR(__xludf.DUMMYFUNCTION("IMPORTRANGE(""https://docs.google.com/spreadsheets/d/11923uPwbBZFjjGgGUA6NLw09EwE0CqkOc4q9oUmW1yo/edit?usp=sharing"",""ลำปาง!L244"")"),230720)</f>
        <v>230720</v>
      </c>
      <c r="M349" s="374"/>
      <c r="N349" s="374">
        <f ca="1">IFERROR(__xludf.DUMMYFUNCTION("IMPORTRANGE(""https://docs.google.com/spreadsheets/d/11923uPwbBZFjjGgGUA6NLw09EwE0CqkOc4q9oUmW1yo/edit?usp=sharing"",""ลำปาง!M244"")"),132276.72)</f>
        <v>132276.72</v>
      </c>
      <c r="O349" s="374">
        <f ca="1">+IF(L349&gt;0,N349*100/L349,0)</f>
        <v>57.332142857142856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IFERROR(__xludf.DUMMYFUNCTION("IMPORTRANGE(""https://docs.google.com/spreadsheets/d/11923uPwbBZFjjGgGUA6NLw09EwE0CqkOc4q9oUmW1yo/edit?usp=sharing"",""ลำปาง!I245"")"),10)</f>
        <v>10</v>
      </c>
      <c r="J350" s="372">
        <f ca="1">IFERROR(__xludf.DUMMYFUNCTION("IMPORTRANGE(""https://docs.google.com/spreadsheets/d/11923uPwbBZFjjGgGUA6NLw09EwE0CqkOc4q9oUmW1yo/edit?usp=sharing"",""ลำปาง!J245"")"),10)</f>
        <v>10</v>
      </c>
      <c r="K350" s="373">
        <f t="shared" ca="1" si="104"/>
        <v>100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IFERROR(__xludf.DUMMYFUNCTION("IMPORTRANGE(""https://docs.google.com/spreadsheets/d/11923uPwbBZFjjGgGUA6NLw09EwE0CqkOc4q9oUmW1yo/edit?usp=sharing"",""ลำปาง!L246"")"),0)</f>
        <v>0</v>
      </c>
      <c r="M351" s="166"/>
      <c r="N351" s="166">
        <f ca="1">IFERROR(__xludf.DUMMYFUNCTION("IMPORTRANGE(""https://docs.google.com/spreadsheets/d/11923uPwbBZFjjGgGUA6NLw09EwE0CqkOc4q9oUmW1yo/edit?usp=sharing"",""ลำปาง!M246"")"),0)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IFERROR(__xludf.DUMMYFUNCTION("IMPORTRANGE(""https://docs.google.com/spreadsheets/d/11923uPwbBZFjjGgGUA6NLw09EwE0CqkOc4q9oUmW1yo/edit?usp=sharing"",""ลำปาง!L247"")"),230720)</f>
        <v>230720</v>
      </c>
      <c r="M352" s="167"/>
      <c r="N352" s="166">
        <f ca="1">IFERROR(__xludf.DUMMYFUNCTION("IMPORTRANGE(""https://docs.google.com/spreadsheets/d/11923uPwbBZFjjGgGUA6NLw09EwE0CqkOc4q9oUmW1yo/edit?usp=sharing"",""ลำปาง!M247"")"),132276.72)</f>
        <v>132276.72</v>
      </c>
      <c r="O352" s="167">
        <f t="shared" ca="1" si="105"/>
        <v>57.332142857142856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IFERROR(__xludf.DUMMYFUNCTION("IMPORTRANGE(""https://docs.google.com/spreadsheets/d/11923uPwbBZFjjGgGUA6NLw09EwE0CqkOc4q9oUmW1yo/edit?usp=sharing"",""ลำปาง!L248"")"),0)</f>
        <v>0</v>
      </c>
      <c r="M353" s="170"/>
      <c r="N353" s="170">
        <f ca="1">IFERROR(__xludf.DUMMYFUNCTION("IMPORTRANGE(""https://docs.google.com/spreadsheets/d/11923uPwbBZFjjGgGUA6NLw09EwE0CqkOc4q9oUmW1yo/edit?usp=sharing"",""ลำปาง!M248"")"),0)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IFERROR(__xludf.DUMMYFUNCTION("IMPORTRANGE(""https://docs.google.com/spreadsheets/d/11923uPwbBZFjjGgGUA6NLw09EwE0CqkOc4q9oUmW1yo/edit?usp=sharing"",""ลำปาง!L249"")"),230720)</f>
        <v>230720</v>
      </c>
      <c r="M354" s="170"/>
      <c r="N354" s="169">
        <f ca="1">IFERROR(__xludf.DUMMYFUNCTION("IMPORTRANGE(""https://docs.google.com/spreadsheets/d/11923uPwbBZFjjGgGUA6NLw09EwE0CqkOc4q9oUmW1yo/edit?usp=sharing"",""ลำปาง!M249"")"),132276.72)</f>
        <v>132276.72</v>
      </c>
      <c r="O354" s="170">
        <f t="shared" ca="1" si="105"/>
        <v>57.332142857142856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IFERROR(__xludf.DUMMYFUNCTION("IMPORTRANGE(""https://docs.google.com/spreadsheets/d/11923uPwbBZFjjGgGUA6NLw09EwE0CqkOc4q9oUmW1yo/edit?usp=sharing"",""ลำปาง!M250"")"),16200)</f>
        <v>16200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IFERROR(__xludf.DUMMYFUNCTION("IMPORTRANGE(""https://docs.google.com/spreadsheets/d/11923uPwbBZFjjGgGUA6NLw09EwE0CqkOc4q9oUmW1yo/edit?usp=sharing"",""ลำปาง!M251"")"),40000)</f>
        <v>40000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IFERROR(__xludf.DUMMYFUNCTION("IMPORTRANGE(""https://docs.google.com/spreadsheets/d/11923uPwbBZFjjGgGUA6NLw09EwE0CqkOc4q9oUmW1yo/edit?usp=sharing"",""ลำปาง!M252"")"),63066.72)</f>
        <v>63066.720000000001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IFERROR(__xludf.DUMMYFUNCTION("IMPORTRANGE(""https://docs.google.com/spreadsheets/d/11923uPwbBZFjjGgGUA6NLw09EwE0CqkOc4q9oUmW1yo/edit?usp=sharing"",""ลำปาง!M253"")"),13010)</f>
        <v>13010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IFERROR(__xludf.DUMMYFUNCTION("IMPORTRANGE(""https://docs.google.com/spreadsheets/d/11923uPwbBZFjjGgGUA6NLw09EwE0CqkOc4q9oUmW1yo/edit?usp=sharing"",""ลำปาง!J255"")"),0)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IFERROR(__xludf.DUMMYFUNCTION("IMPORTRANGE(""https://docs.google.com/spreadsheets/d/11923uPwbBZFjjGgGUA6NLw09EwE0CqkOc4q9oUmW1yo/edit?usp=sharing"",""ลำปาง!J256"")"),1)</f>
        <v>1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IFERROR(__xludf.DUMMYFUNCTION("IMPORTRANGE(""https://docs.google.com/spreadsheets/d/11923uPwbBZFjjGgGUA6NLw09EwE0CqkOc4q9oUmW1yo/edit?usp=sharing"",""ลำปาง!J257"")"),1)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IFERROR(__xludf.DUMMYFUNCTION("IMPORTRANGE(""https://docs.google.com/spreadsheets/d/11923uPwbBZFjjGgGUA6NLw09EwE0CqkOc4q9oUmW1yo/edit?usp=sharing"",""ลำปาง!J258"")"),1)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IFERROR(__xludf.DUMMYFUNCTION("IMPORTRANGE(""https://docs.google.com/spreadsheets/d/11923uPwbBZFjjGgGUA6NLw09EwE0CqkOc4q9oUmW1yo/edit?usp=sharing"",""ลำปาง!J166"")"),0)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IFERROR(__xludf.DUMMYFUNCTION("IMPORTRANGE(""https://docs.google.com/spreadsheets/d/11923uPwbBZFjjGgGUA6NLw09EwE0CqkOc4q9oUmW1yo/edit?usp=sharing"",""ลำปาง!J166"")"),0)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IFERROR(__xludf.DUMMYFUNCTION("IMPORTRANGE(""https://docs.google.com/spreadsheets/d/11923uPwbBZFjjGgGUA6NLw09EwE0CqkOc4q9oUmW1yo/edit?usp=sharing"",""ลำปาง!J166"")"),0)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IFERROR(__xludf.DUMMYFUNCTION("IMPORTRANGE(""https://docs.google.com/spreadsheets/d/11923uPwbBZFjjGgGUA6NLw09EwE0CqkOc4q9oUmW1yo/edit?usp=sharing"",""ลำปาง!J166"")"),0)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IFERROR(__xludf.DUMMYFUNCTION("IMPORTRANGE(""https://docs.google.com/spreadsheets/d/11923uPwbBZFjjGgGUA6NLw09EwE0CqkOc4q9oUmW1yo/edit?usp=sharing"",""ลำปาง!I263"")"),10)</f>
        <v>10</v>
      </c>
      <c r="J368" s="189">
        <f ca="1">IFERROR(__xludf.DUMMYFUNCTION("IMPORTRANGE(""https://docs.google.com/spreadsheets/d/11923uPwbBZFjjGgGUA6NLw09EwE0CqkOc4q9oUmW1yo/edit?usp=sharing"",""ลำปาง!J263"")"),10)</f>
        <v>10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IFERROR(__xludf.DUMMYFUNCTION("IMPORTRANGE(""https://docs.google.com/spreadsheets/d/11923uPwbBZFjjGgGUA6NLw09EwE0CqkOc4q9oUmW1yo/edit?usp=sharing"",""ลำปาง!I164"")"),0)</f>
        <v>0</v>
      </c>
      <c r="J369" s="205">
        <f ca="1">IFERROR(__xludf.DUMMYFUNCTION("IMPORTRANGE(""https://docs.google.com/spreadsheets/d/11923uPwbBZFjjGgGUA6NLw09EwE0CqkOc4q9oUmW1yo/edit?usp=sharing"",""ลำปาง!J164"")"),0)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IFERROR(__xludf.DUMMYFUNCTION("IMPORTRANGE(""https://docs.google.com/spreadsheets/d/11923uPwbBZFjjGgGUA6NLw09EwE0CqkOc4q9oUmW1yo/edit?usp=sharing"",""ลำปาง!I265"")"),10)</f>
        <v>10</v>
      </c>
      <c r="J370" s="205">
        <f ca="1">IFERROR(__xludf.DUMMYFUNCTION("IMPORTRANGE(""https://docs.google.com/spreadsheets/d/11923uPwbBZFjjGgGUA6NLw09EwE0CqkOc4q9oUmW1yo/edit?usp=sharing"",""ลำปาง!J265"")"),0)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IFERROR(__xludf.DUMMYFUNCTION("IMPORTRANGE(""https://docs.google.com/spreadsheets/d/11923uPwbBZFjjGgGUA6NLw09EwE0CqkOc4q9oUmW1yo/edit?usp=sharing"",""ลำปาง!I164"")"),0)</f>
        <v>0</v>
      </c>
      <c r="J371" s="190">
        <f ca="1">IFERROR(__xludf.DUMMYFUNCTION("IMPORTRANGE(""https://docs.google.com/spreadsheets/d/11923uPwbBZFjjGgGUA6NLw09EwE0CqkOc4q9oUmW1yo/edit?usp=sharing"",""ลำปาง!J164"")"),0)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IFERROR(__xludf.DUMMYFUNCTION("IMPORTRANGE(""https://docs.google.com/spreadsheets/d/11923uPwbBZFjjGgGUA6NLw09EwE0CqkOc4q9oUmW1yo/edit?usp=sharing"",""ลำปาง!I267"")"),10)</f>
        <v>10</v>
      </c>
      <c r="J372" s="190">
        <f ca="1">IFERROR(__xludf.DUMMYFUNCTION("IMPORTRANGE(""https://docs.google.com/spreadsheets/d/11923uPwbBZFjjGgGUA6NLw09EwE0CqkOc4q9oUmW1yo/edit?usp=sharing"",""ลำปาง!J267"")"),10)</f>
        <v>10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IFERROR(__xludf.DUMMYFUNCTION("IMPORTRANGE(""https://docs.google.com/spreadsheets/d/11923uPwbBZFjjGgGUA6NLw09EwE0CqkOc4q9oUmW1yo/edit?usp=sharing"",""ลำปาง!I164"")"),0)</f>
        <v>0</v>
      </c>
      <c r="J373" s="205">
        <f ca="1">IFERROR(__xludf.DUMMYFUNCTION("IMPORTRANGE(""https://docs.google.com/spreadsheets/d/11923uPwbBZFjjGgGUA6NLw09EwE0CqkOc4q9oUmW1yo/edit?usp=sharing"",""ลำปาง!J164"")"),0)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IFERROR(__xludf.DUMMYFUNCTION("IMPORTRANGE(""https://docs.google.com/spreadsheets/d/11923uPwbBZFjjGgGUA6NLw09EwE0CqkOc4q9oUmW1yo/edit?usp=sharing"",""ลำปาง!I164"")"),0)</f>
        <v>0</v>
      </c>
      <c r="J374" s="189">
        <f ca="1">IFERROR(__xludf.DUMMYFUNCTION("IMPORTRANGE(""https://docs.google.com/spreadsheets/d/11923uPwbBZFjjGgGUA6NLw09EwE0CqkOc4q9oUmW1yo/edit?usp=sharing"",""ลำปาง!J164"")"),0)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IFERROR(__xludf.DUMMYFUNCTION("IMPORTRANGE(""https://docs.google.com/spreadsheets/d/11923uPwbBZFjjGgGUA6NLw09EwE0CqkOc4q9oUmW1yo/edit?usp=sharing"",""ลำปาง!I270"")"),50)</f>
        <v>50</v>
      </c>
      <c r="J375" s="189">
        <f ca="1">IFERROR(__xludf.DUMMYFUNCTION("IMPORTRANGE(""https://docs.google.com/spreadsheets/d/11923uPwbBZFjjGgGUA6NLw09EwE0CqkOc4q9oUmW1yo/edit?usp=sharing"",""ลำปาง!J270"")"),50)</f>
        <v>50</v>
      </c>
      <c r="K375" s="165">
        <f t="shared" ref="K375:K377" ca="1" si="107">IF(I375&gt;0,J375*100/I375,0)</f>
        <v>100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IFERROR(__xludf.DUMMYFUNCTION("IMPORTRANGE(""https://docs.google.com/spreadsheets/d/11923uPwbBZFjjGgGUA6NLw09EwE0CqkOc4q9oUmW1yo/edit?usp=sharing"",""ลำปาง!I271"")"),0)</f>
        <v>0</v>
      </c>
      <c r="J376" s="190">
        <f ca="1">IFERROR(__xludf.DUMMYFUNCTION("IMPORTRANGE(""https://docs.google.com/spreadsheets/d/11923uPwbBZFjjGgGUA6NLw09EwE0CqkOc4q9oUmW1yo/edit?usp=sharing"",""ลำปาง!J271"")"),0)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IFERROR(__xludf.DUMMYFUNCTION("IMPORTRANGE(""https://docs.google.com/spreadsheets/d/11923uPwbBZFjjGgGUA6NLw09EwE0CqkOc4q9oUmW1yo/edit?usp=sharing"",""ลำปาง!I272"")"),50)</f>
        <v>50</v>
      </c>
      <c r="J377" s="205">
        <f ca="1">IFERROR(__xludf.DUMMYFUNCTION("IMPORTRANGE(""https://docs.google.com/spreadsheets/d/11923uPwbBZFjjGgGUA6NLw09EwE0CqkOc4q9oUmW1yo/edit?usp=sharing"",""ลำปาง!J272"")"),50)</f>
        <v>50</v>
      </c>
      <c r="K377" s="165">
        <f t="shared" ca="1" si="107"/>
        <v>100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IFERROR(__xludf.DUMMYFUNCTION("IMPORTRANGE(""https://docs.google.com/spreadsheets/d/11923uPwbBZFjjGgGUA6NLw09EwE0CqkOc4q9oUmW1yo/edit?usp=sharing"",""ลำปาง!J273"")"),0)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IFERROR(__xludf.DUMMYFUNCTION("IMPORTRANGE(""https://docs.google.com/spreadsheets/d/11923uPwbBZFjjGgGUA6NLw09EwE0CqkOc4q9oUmW1yo/edit?usp=sharing"",""ลำปาง!J274"")"),0)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IFERROR(__xludf.DUMMYFUNCTION("IMPORTRANGE(""https://docs.google.com/spreadsheets/d/11923uPwbBZFjjGgGUA6NLw09EwE0CqkOc4q9oUmW1yo/edit?usp=sharing"",""ลำปาง!I275"")"),1000)</f>
        <v>1000</v>
      </c>
      <c r="J380" s="372">
        <f ca="1">IFERROR(__xludf.DUMMYFUNCTION("IMPORTRANGE(""https://docs.google.com/spreadsheets/d/11923uPwbBZFjjGgGUA6NLw09EwE0CqkOc4q9oUmW1yo/edit?usp=sharing"",""ลำปาง!J275"")"),0)</f>
        <v>0</v>
      </c>
      <c r="K380" s="373">
        <f t="shared" ref="K380:K381" ca="1" si="108">IF(I380&gt;0,J380*100/I380,0)</f>
        <v>0</v>
      </c>
      <c r="L380" s="374">
        <f ca="1">IFERROR(__xludf.DUMMYFUNCTION("IMPORTRANGE(""https://docs.google.com/spreadsheets/d/11923uPwbBZFjjGgGUA6NLw09EwE0CqkOc4q9oUmW1yo/edit?usp=sharing"",""ลำปาง!L275"")"),1028520)</f>
        <v>1028520</v>
      </c>
      <c r="M380" s="374"/>
      <c r="N380" s="374">
        <f ca="1">IFERROR(__xludf.DUMMYFUNCTION("IMPORTRANGE(""https://docs.google.com/spreadsheets/d/11923uPwbBZFjjGgGUA6NLw09EwE0CqkOc4q9oUmW1yo/edit?usp=sharing"",""ลำปาง!M275"")"),302948.38)</f>
        <v>302948.38</v>
      </c>
      <c r="O380" s="374">
        <f ca="1">+IF(L380&gt;0,N380*100/L380,0)</f>
        <v>29.454787461595302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IFERROR(__xludf.DUMMYFUNCTION("IMPORTRANGE(""https://docs.google.com/spreadsheets/d/11923uPwbBZFjjGgGUA6NLw09EwE0CqkOc4q9oUmW1yo/edit?usp=sharing"",""ลำปาง!I276"")"),100)</f>
        <v>100</v>
      </c>
      <c r="J381" s="372">
        <f ca="1">IFERROR(__xludf.DUMMYFUNCTION("IMPORTRANGE(""https://docs.google.com/spreadsheets/d/11923uPwbBZFjjGgGUA6NLw09EwE0CqkOc4q9oUmW1yo/edit?usp=sharing"",""ลำปาง!J276"")"),100)</f>
        <v>100</v>
      </c>
      <c r="K381" s="373">
        <f t="shared" ca="1" si="108"/>
        <v>100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IFERROR(__xludf.DUMMYFUNCTION("IMPORTRANGE(""https://docs.google.com/spreadsheets/d/11923uPwbBZFjjGgGUA6NLw09EwE0CqkOc4q9oUmW1yo/edit?usp=sharing"",""ลำปาง!L277"")"),0)</f>
        <v>0</v>
      </c>
      <c r="M382" s="166"/>
      <c r="N382" s="166">
        <f ca="1">IFERROR(__xludf.DUMMYFUNCTION("IMPORTRANGE(""https://docs.google.com/spreadsheets/d/11923uPwbBZFjjGgGUA6NLw09EwE0CqkOc4q9oUmW1yo/edit?usp=sharing"",""ลำปาง!M277"")"),0)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IFERROR(__xludf.DUMMYFUNCTION("IMPORTRANGE(""https://docs.google.com/spreadsheets/d/11923uPwbBZFjjGgGUA6NLw09EwE0CqkOc4q9oUmW1yo/edit?usp=sharing"",""ลำปาง!L278"")"),1028520)</f>
        <v>1028520</v>
      </c>
      <c r="M383" s="167"/>
      <c r="N383" s="167">
        <f ca="1">IFERROR(__xludf.DUMMYFUNCTION("IMPORTRANGE(""https://docs.google.com/spreadsheets/d/11923uPwbBZFjjGgGUA6NLw09EwE0CqkOc4q9oUmW1yo/edit?usp=sharing"",""ลำปาง!M278"")"),302948.38)</f>
        <v>302948.38</v>
      </c>
      <c r="O383" s="167">
        <f t="shared" ca="1" si="109"/>
        <v>29.454787461595302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IFERROR(__xludf.DUMMYFUNCTION("IMPORTRANGE(""https://docs.google.com/spreadsheets/d/11923uPwbBZFjjGgGUA6NLw09EwE0CqkOc4q9oUmW1yo/edit?usp=sharing"",""ลำปาง!L279"")"),0)</f>
        <v>0</v>
      </c>
      <c r="M384" s="170"/>
      <c r="N384" s="170">
        <f ca="1">IFERROR(__xludf.DUMMYFUNCTION("IMPORTRANGE(""https://docs.google.com/spreadsheets/d/11923uPwbBZFjjGgGUA6NLw09EwE0CqkOc4q9oUmW1yo/edit?usp=sharing"",""ลำปาง!M279"")"),0)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IFERROR(__xludf.DUMMYFUNCTION("IMPORTRANGE(""https://docs.google.com/spreadsheets/d/11923uPwbBZFjjGgGUA6NLw09EwE0CqkOc4q9oUmW1yo/edit?usp=sharing"",""ลำปาง!L280"")"),1028520)</f>
        <v>1028520</v>
      </c>
      <c r="M385" s="170"/>
      <c r="N385" s="169">
        <f ca="1">IFERROR(__xludf.DUMMYFUNCTION("IMPORTRANGE(""https://docs.google.com/spreadsheets/d/11923uPwbBZFjjGgGUA6NLw09EwE0CqkOc4q9oUmW1yo/edit?usp=sharing"",""ลำปาง!M280"")"),302948.38)</f>
        <v>302948.38</v>
      </c>
      <c r="O385" s="170">
        <f t="shared" ca="1" si="109"/>
        <v>29.454787461595302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IFERROR(__xludf.DUMMYFUNCTION("IMPORTRANGE(""https://docs.google.com/spreadsheets/d/11923uPwbBZFjjGgGUA6NLw09EwE0CqkOc4q9oUmW1yo/edit?usp=sharing"",""ลำปาง!M281"")"),198000)</f>
        <v>198000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IFERROR(__xludf.DUMMYFUNCTION("IMPORTRANGE(""https://docs.google.com/spreadsheets/d/11923uPwbBZFjjGgGUA6NLw09EwE0CqkOc4q9oUmW1yo/edit?usp=sharing"",""ลำปาง!M282"")"),0)</f>
        <v>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IFERROR(__xludf.DUMMYFUNCTION("IMPORTRANGE(""https://docs.google.com/spreadsheets/d/11923uPwbBZFjjGgGUA6NLw09EwE0CqkOc4q9oUmW1yo/edit?usp=sharing"",""ลำปาง!M283"")"),63433.38)</f>
        <v>63433.38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IFERROR(__xludf.DUMMYFUNCTION("IMPORTRANGE(""https://docs.google.com/spreadsheets/d/11923uPwbBZFjjGgGUA6NLw09EwE0CqkOc4q9oUmW1yo/edit?usp=sharing"",""ลำปาง!M284"")"),41515)</f>
        <v>41515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IFERROR(__xludf.DUMMYFUNCTION("IMPORTRANGE(""https://docs.google.com/spreadsheets/d/11923uPwbBZFjjGgGUA6NLw09EwE0CqkOc4q9oUmW1yo/edit?usp=sharing"",""ลำปาง!J286"")"),0)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IFERROR(__xludf.DUMMYFUNCTION("IMPORTRANGE(""https://docs.google.com/spreadsheets/d/11923uPwbBZFjjGgGUA6NLw09EwE0CqkOc4q9oUmW1yo/edit?usp=sharing"",""ลำปาง!J287"")"),1)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IFERROR(__xludf.DUMMYFUNCTION("IMPORTRANGE(""https://docs.google.com/spreadsheets/d/11923uPwbBZFjjGgGUA6NLw09EwE0CqkOc4q9oUmW1yo/edit?usp=sharing"",""ลำปาง!J288"")"),1)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IFERROR(__xludf.DUMMYFUNCTION("IMPORTRANGE(""https://docs.google.com/spreadsheets/d/11923uPwbBZFjjGgGUA6NLw09EwE0CqkOc4q9oUmW1yo/edit?usp=sharing"",""ลำปาง!J289"")"),1)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IFERROR(__xludf.DUMMYFUNCTION("IMPORTRANGE(""https://docs.google.com/spreadsheets/d/11923uPwbBZFjjGgGUA6NLw09EwE0CqkOc4q9oUmW1yo/edit?usp=sharing"",""ลำปาง!I291"")"),100)</f>
        <v>100</v>
      </c>
      <c r="J396" s="199">
        <f ca="1">IFERROR(__xludf.DUMMYFUNCTION("IMPORTRANGE(""https://docs.google.com/spreadsheets/d/11923uPwbBZFjjGgGUA6NLw09EwE0CqkOc4q9oUmW1yo/edit?usp=sharing"",""ลำปาง!J291"")"),100)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IFERROR(__xludf.DUMMYFUNCTION("IMPORTRANGE(""https://docs.google.com/spreadsheets/d/11923uPwbBZFjjGgGUA6NLw09EwE0CqkOc4q9oUmW1yo/edit?usp=sharing"",""ลำปาง!I292"")"),1000)</f>
        <v>1000</v>
      </c>
      <c r="J397" s="199">
        <f ca="1">IFERROR(__xludf.DUMMYFUNCTION("IMPORTRANGE(""https://docs.google.com/spreadsheets/d/11923uPwbBZFjjGgGUA6NLw09EwE0CqkOc4q9oUmW1yo/edit?usp=sharing"",""ลำปาง!J292"")"),0)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IFERROR(__xludf.DUMMYFUNCTION("IMPORTRANGE(""https://docs.google.com/spreadsheets/d/11923uPwbBZFjjGgGUA6NLw09EwE0CqkOc4q9oUmW1yo/edit?usp=sharing"",""ลำปาง!I293"")"),100)</f>
        <v>100</v>
      </c>
      <c r="J398" s="199">
        <f ca="1">IFERROR(__xludf.DUMMYFUNCTION("IMPORTRANGE(""https://docs.google.com/spreadsheets/d/11923uPwbBZFjjGgGUA6NLw09EwE0CqkOc4q9oUmW1yo/edit?usp=sharing"",""ลำปาง!J293"")"),0)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IFERROR(__xludf.DUMMYFUNCTION("IMPORTRANGE(""https://docs.google.com/spreadsheets/d/11923uPwbBZFjjGgGUA6NLw09EwE0CqkOc4q9oUmW1yo/edit?usp=sharing"",""ลำปาง!J294"")"),0)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IFERROR(__xludf.DUMMYFUNCTION("IMPORTRANGE(""https://docs.google.com/spreadsheets/d/11923uPwbBZFjjGgGUA6NLw09EwE0CqkOc4q9oUmW1yo/edit?usp=sharing"",""ลำปาง!J295"")"),0)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IFERROR(__xludf.DUMMYFUNCTION("IMPORTRANGE(""https://docs.google.com/spreadsheets/d/11923uPwbBZFjjGgGUA6NLw09EwE0CqkOc4q9oUmW1yo/edit?usp=sharing"",""ลำปาง!I296"")"),120)</f>
        <v>120</v>
      </c>
      <c r="J401" s="372">
        <f ca="1">IFERROR(__xludf.DUMMYFUNCTION("IMPORTRANGE(""https://docs.google.com/spreadsheets/d/11923uPwbBZFjjGgGUA6NLw09EwE0CqkOc4q9oUmW1yo/edit?usp=sharing"",""ลำปาง!J296"")"),120)</f>
        <v>120</v>
      </c>
      <c r="K401" s="373">
        <f t="shared" ref="K401:K402" ca="1" si="111">IF(I401&gt;0,J401*100/I401,0)</f>
        <v>100</v>
      </c>
      <c r="L401" s="374">
        <f ca="1">IFERROR(__xludf.DUMMYFUNCTION("IMPORTRANGE(""https://docs.google.com/spreadsheets/d/11923uPwbBZFjjGgGUA6NLw09EwE0CqkOc4q9oUmW1yo/edit?usp=sharing"",""ลำปาง!L296"")"),144560)</f>
        <v>144560</v>
      </c>
      <c r="M401" s="374"/>
      <c r="N401" s="374">
        <f ca="1">IFERROR(__xludf.DUMMYFUNCTION("IMPORTRANGE(""https://docs.google.com/spreadsheets/d/11923uPwbBZFjjGgGUA6NLw09EwE0CqkOc4q9oUmW1yo/edit?usp=sharing"",""ลำปาง!M296"")"),51155)</f>
        <v>51155</v>
      </c>
      <c r="O401" s="374">
        <f ca="1">+IF(L401&gt;0,N401*100/L401,0)</f>
        <v>35.386690647482013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IFERROR(__xludf.DUMMYFUNCTION("IMPORTRANGE(""https://docs.google.com/spreadsheets/d/11923uPwbBZFjjGgGUA6NLw09EwE0CqkOc4q9oUmW1yo/edit?usp=sharing"",""ลำปาง!I297"")"),40)</f>
        <v>40</v>
      </c>
      <c r="J402" s="372">
        <f ca="1">IFERROR(__xludf.DUMMYFUNCTION("IMPORTRANGE(""https://docs.google.com/spreadsheets/d/11923uPwbBZFjjGgGUA6NLw09EwE0CqkOc4q9oUmW1yo/edit?usp=sharing"",""ลำปาง!J297"")"),40)</f>
        <v>40</v>
      </c>
      <c r="K402" s="373">
        <f t="shared" ca="1" si="111"/>
        <v>100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IFERROR(__xludf.DUMMYFUNCTION("IMPORTRANGE(""https://docs.google.com/spreadsheets/d/11923uPwbBZFjjGgGUA6NLw09EwE0CqkOc4q9oUmW1yo/edit?usp=sharing"",""ลำปาง!L298"")"),0)</f>
        <v>0</v>
      </c>
      <c r="M403" s="166"/>
      <c r="N403" s="170">
        <f ca="1">IFERROR(__xludf.DUMMYFUNCTION("IMPORTRANGE(""https://docs.google.com/spreadsheets/d/11923uPwbBZFjjGgGUA6NLw09EwE0CqkOc4q9oUmW1yo/edit?usp=sharing"",""ลำปาง!M298"")"),0)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IFERROR(__xludf.DUMMYFUNCTION("IMPORTRANGE(""https://docs.google.com/spreadsheets/d/11923uPwbBZFjjGgGUA6NLw09EwE0CqkOc4q9oUmW1yo/edit?usp=sharing"",""ลำปาง!L299"")"),144560)</f>
        <v>144560</v>
      </c>
      <c r="M404" s="167"/>
      <c r="N404" s="170">
        <f ca="1">IFERROR(__xludf.DUMMYFUNCTION("IMPORTRANGE(""https://docs.google.com/spreadsheets/d/11923uPwbBZFjjGgGUA6NLw09EwE0CqkOc4q9oUmW1yo/edit?usp=sharing"",""ลำปาง!M299"")"),51155)</f>
        <v>51155</v>
      </c>
      <c r="O404" s="170">
        <f t="shared" ca="1" si="112"/>
        <v>35.386690647482013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IFERROR(__xludf.DUMMYFUNCTION("IMPORTRANGE(""https://docs.google.com/spreadsheets/d/11923uPwbBZFjjGgGUA6NLw09EwE0CqkOc4q9oUmW1yo/edit?usp=sharing"",""ลำปาง!L300"")"),0)</f>
        <v>0</v>
      </c>
      <c r="M405" s="170"/>
      <c r="N405" s="170">
        <f ca="1">IFERROR(__xludf.DUMMYFUNCTION("IMPORTRANGE(""https://docs.google.com/spreadsheets/d/11923uPwbBZFjjGgGUA6NLw09EwE0CqkOc4q9oUmW1yo/edit?usp=sharing"",""ลำปาง!M300"")"),0)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IFERROR(__xludf.DUMMYFUNCTION("IMPORTRANGE(""https://docs.google.com/spreadsheets/d/11923uPwbBZFjjGgGUA6NLw09EwE0CqkOc4q9oUmW1yo/edit?usp=sharing"",""ลำปาง!L301"")"),144560)</f>
        <v>144560</v>
      </c>
      <c r="M406" s="170"/>
      <c r="N406" s="170">
        <f ca="1">IFERROR(__xludf.DUMMYFUNCTION("IMPORTRANGE(""https://docs.google.com/spreadsheets/d/11923uPwbBZFjjGgGUA6NLw09EwE0CqkOc4q9oUmW1yo/edit?usp=sharing"",""ลำปาง!M301"")"),51155)</f>
        <v>51155</v>
      </c>
      <c r="O406" s="170">
        <f t="shared" ca="1" si="112"/>
        <v>35.386690647482013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IFERROR(__xludf.DUMMYFUNCTION("IMPORTRANGE(""https://docs.google.com/spreadsheets/d/11923uPwbBZFjjGgGUA6NLw09EwE0CqkOc4q9oUmW1yo/edit?usp=sharing"",""ลำปาง!M302"")"),41155)</f>
        <v>41155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IFERROR(__xludf.DUMMYFUNCTION("IMPORTRANGE(""https://docs.google.com/spreadsheets/d/11923uPwbBZFjjGgGUA6NLw09EwE0CqkOc4q9oUmW1yo/edit?usp=sharing"",""ลำปาง!M303"")"),0)</f>
        <v>0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IFERROR(__xludf.DUMMYFUNCTION("IMPORTRANGE(""https://docs.google.com/spreadsheets/d/11923uPwbBZFjjGgGUA6NLw09EwE0CqkOc4q9oUmW1yo/edit?usp=sharing"",""ลำปาง!M304"")"),0)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IFERROR(__xludf.DUMMYFUNCTION("IMPORTRANGE(""https://docs.google.com/spreadsheets/d/11923uPwbBZFjjGgGUA6NLw09EwE0CqkOc4q9oUmW1yo/edit?usp=sharing"",""ลำปาง!M305"")"),10000)</f>
        <v>10000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IFERROR(__xludf.DUMMYFUNCTION("IMPORTRANGE(""https://docs.google.com/spreadsheets/d/11923uPwbBZFjjGgGUA6NLw09EwE0CqkOc4q9oUmW1yo/edit?usp=sharing"",""ลำปาง!J307"")"),0)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IFERROR(__xludf.DUMMYFUNCTION("IMPORTRANGE(""https://docs.google.com/spreadsheets/d/11923uPwbBZFjjGgGUA6NLw09EwE0CqkOc4q9oUmW1yo/edit?usp=sharing"",""ลำปาง!J308"")"),1)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IFERROR(__xludf.DUMMYFUNCTION("IMPORTRANGE(""https://docs.google.com/spreadsheets/d/11923uPwbBZFjjGgGUA6NLw09EwE0CqkOc4q9oUmW1yo/edit?usp=sharing"",""ลำปาง!J309"")"),1)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IFERROR(__xludf.DUMMYFUNCTION("IMPORTRANGE(""https://docs.google.com/spreadsheets/d/11923uPwbBZFjjGgGUA6NLw09EwE0CqkOc4q9oUmW1yo/edit?usp=sharing"",""ลำปาง!J310"")"),1)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IFERROR(__xludf.DUMMYFUNCTION("IMPORTRANGE(""https://docs.google.com/spreadsheets/d/11923uPwbBZFjjGgGUA6NLw09EwE0CqkOc4q9oUmW1yo/edit?usp=sharing"",""ลำปาง!I311"")"),40)</f>
        <v>40</v>
      </c>
      <c r="J416" s="202">
        <f ca="1">IFERROR(__xludf.DUMMYFUNCTION("IMPORTRANGE(""https://docs.google.com/spreadsheets/d/11923uPwbBZFjjGgGUA6NLw09EwE0CqkOc4q9oUmW1yo/edit?usp=sharing"",""ลำปาง!J311"")"),40)</f>
        <v>40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IFERROR(__xludf.DUMMYFUNCTION("IMPORTRANGE(""https://docs.google.com/spreadsheets/d/11923uPwbBZFjjGgGUA6NLw09EwE0CqkOc4q9oUmW1yo/edit?usp=sharing"",""ลำปาง!I312"")"),10)</f>
        <v>10</v>
      </c>
      <c r="J417" s="393">
        <f ca="1">IFERROR(__xludf.DUMMYFUNCTION("IMPORTRANGE(""https://docs.google.com/spreadsheets/d/11923uPwbBZFjjGgGUA6NLw09EwE0CqkOc4q9oUmW1yo/edit?usp=sharing"",""ลำปาง!J312"")"),10)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IFERROR(__xludf.DUMMYFUNCTION("IMPORTRANGE(""https://docs.google.com/spreadsheets/d/11923uPwbBZFjjGgGUA6NLw09EwE0CqkOc4q9oUmW1yo/edit?usp=sharing"",""ลำปาง!I313"")"),30)</f>
        <v>30</v>
      </c>
      <c r="J418" s="394">
        <f ca="1">IFERROR(__xludf.DUMMYFUNCTION("IMPORTRANGE(""https://docs.google.com/spreadsheets/d/11923uPwbBZFjjGgGUA6NLw09EwE0CqkOc4q9oUmW1yo/edit?usp=sharing"",""ลำปาง!J313"")"),30)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IFERROR(__xludf.DUMMYFUNCTION("IMPORTRANGE(""https://docs.google.com/spreadsheets/d/11923uPwbBZFjjGgGUA6NLw09EwE0CqkOc4q9oUmW1yo/edit?usp=sharing"",""ลำปาง!I314"")"),10)</f>
        <v>10</v>
      </c>
      <c r="J419" s="395">
        <f ca="1">IFERROR(__xludf.DUMMYFUNCTION("IMPORTRANGE(""https://docs.google.com/spreadsheets/d/11923uPwbBZFjjGgGUA6NLw09EwE0CqkOc4q9oUmW1yo/edit?usp=sharing"",""ลำปาง!J314"")"),10)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IFERROR(__xludf.DUMMYFUNCTION("IMPORTRANGE(""https://docs.google.com/spreadsheets/d/11923uPwbBZFjjGgGUA6NLw09EwE0CqkOc4q9oUmW1yo/edit?usp=sharing"",""ลำปาง!I315"")"),10)</f>
        <v>10</v>
      </c>
      <c r="J420" s="395">
        <f ca="1">IFERROR(__xludf.DUMMYFUNCTION("IMPORTRANGE(""https://docs.google.com/spreadsheets/d/11923uPwbBZFjjGgGUA6NLw09EwE0CqkOc4q9oUmW1yo/edit?usp=sharing"",""ลำปาง!J315"")"),10)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IFERROR(__xludf.DUMMYFUNCTION("IMPORTRANGE(""https://docs.google.com/spreadsheets/d/11923uPwbBZFjjGgGUA6NLw09EwE0CqkOc4q9oUmW1yo/edit?usp=sharing"",""ลำปาง!I316"")"),20)</f>
        <v>20</v>
      </c>
      <c r="J421" s="393">
        <f ca="1">IFERROR(__xludf.DUMMYFUNCTION("IMPORTRANGE(""https://docs.google.com/spreadsheets/d/11923uPwbBZFjjGgGUA6NLw09EwE0CqkOc4q9oUmW1yo/edit?usp=sharing"",""ลำปาง!J316"")"),20)</f>
        <v>20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IFERROR(__xludf.DUMMYFUNCTION("IMPORTRANGE(""https://docs.google.com/spreadsheets/d/11923uPwbBZFjjGgGUA6NLw09EwE0CqkOc4q9oUmW1yo/edit?usp=sharing"",""ลำปาง!I317"")"),60)</f>
        <v>60</v>
      </c>
      <c r="J422" s="394">
        <f ca="1">IFERROR(__xludf.DUMMYFUNCTION("IMPORTRANGE(""https://docs.google.com/spreadsheets/d/11923uPwbBZFjjGgGUA6NLw09EwE0CqkOc4q9oUmW1yo/edit?usp=sharing"",""ลำปาง!J317"")"),60)</f>
        <v>60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IFERROR(__xludf.DUMMYFUNCTION("IMPORTRANGE(""https://docs.google.com/spreadsheets/d/11923uPwbBZFjjGgGUA6NLw09EwE0CqkOc4q9oUmW1yo/edit?usp=sharing"",""ลำปาง!I318"")"),20)</f>
        <v>20</v>
      </c>
      <c r="J423" s="395">
        <f ca="1">IFERROR(__xludf.DUMMYFUNCTION("IMPORTRANGE(""https://docs.google.com/spreadsheets/d/11923uPwbBZFjjGgGUA6NLw09EwE0CqkOc4q9oUmW1yo/edit?usp=sharing"",""ลำปาง!J318"")"),20)</f>
        <v>20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IFERROR(__xludf.DUMMYFUNCTION("IMPORTRANGE(""https://docs.google.com/spreadsheets/d/11923uPwbBZFjjGgGUA6NLw09EwE0CqkOc4q9oUmW1yo/edit?usp=sharing"",""ลำปาง!I319"")"),20)</f>
        <v>20</v>
      </c>
      <c r="J424" s="395">
        <f ca="1">IFERROR(__xludf.DUMMYFUNCTION("IMPORTRANGE(""https://docs.google.com/spreadsheets/d/11923uPwbBZFjjGgGUA6NLw09EwE0CqkOc4q9oUmW1yo/edit?usp=sharing"",""ลำปาง!J319"")"),20)</f>
        <v>20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IFERROR(__xludf.DUMMYFUNCTION("IMPORTRANGE(""https://docs.google.com/spreadsheets/d/11923uPwbBZFjjGgGUA6NLw09EwE0CqkOc4q9oUmW1yo/edit?usp=sharing"",""ลำปาง!I320"")"),20)</f>
        <v>20</v>
      </c>
      <c r="J425" s="395">
        <f ca="1">IFERROR(__xludf.DUMMYFUNCTION("IMPORTRANGE(""https://docs.google.com/spreadsheets/d/11923uPwbBZFjjGgGUA6NLw09EwE0CqkOc4q9oUmW1yo/edit?usp=sharing"",""ลำปาง!J320"")"),20)</f>
        <v>20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IFERROR(__xludf.DUMMYFUNCTION("IMPORTRANGE(""https://docs.google.com/spreadsheets/d/11923uPwbBZFjjGgGUA6NLw09EwE0CqkOc4q9oUmW1yo/edit?usp=sharing"",""ลำปาง!I321"")"),10)</f>
        <v>10</v>
      </c>
      <c r="J426" s="393">
        <f ca="1">IFERROR(__xludf.DUMMYFUNCTION("IMPORTRANGE(""https://docs.google.com/spreadsheets/d/11923uPwbBZFjjGgGUA6NLw09EwE0CqkOc4q9oUmW1yo/edit?usp=sharing"",""ลำปาง!J321"")"),10)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IFERROR(__xludf.DUMMYFUNCTION("IMPORTRANGE(""https://docs.google.com/spreadsheets/d/11923uPwbBZFjjGgGUA6NLw09EwE0CqkOc4q9oUmW1yo/edit?usp=sharing"",""ลำปาง!I322"")"),30)</f>
        <v>30</v>
      </c>
      <c r="J427" s="394">
        <f ca="1">IFERROR(__xludf.DUMMYFUNCTION("IMPORTRANGE(""https://docs.google.com/spreadsheets/d/11923uPwbBZFjjGgGUA6NLw09EwE0CqkOc4q9oUmW1yo/edit?usp=sharing"",""ลำปาง!J322"")"),30)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IFERROR(__xludf.DUMMYFUNCTION("IMPORTRANGE(""https://docs.google.com/spreadsheets/d/11923uPwbBZFjjGgGUA6NLw09EwE0CqkOc4q9oUmW1yo/edit?usp=sharing"",""ลำปาง!I323"")"),10)</f>
        <v>10</v>
      </c>
      <c r="J428" s="395">
        <f ca="1">IFERROR(__xludf.DUMMYFUNCTION("IMPORTRANGE(""https://docs.google.com/spreadsheets/d/11923uPwbBZFjjGgGUA6NLw09EwE0CqkOc4q9oUmW1yo/edit?usp=sharing"",""ลำปาง!J323"")"),10)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IFERROR(__xludf.DUMMYFUNCTION("IMPORTRANGE(""https://docs.google.com/spreadsheets/d/11923uPwbBZFjjGgGUA6NLw09EwE0CqkOc4q9oUmW1yo/edit?usp=sharing"",""ลำปาง!I324"")"),10)</f>
        <v>10</v>
      </c>
      <c r="J429" s="395">
        <f ca="1">IFERROR(__xludf.DUMMYFUNCTION("IMPORTRANGE(""https://docs.google.com/spreadsheets/d/11923uPwbBZFjjGgGUA6NLw09EwE0CqkOc4q9oUmW1yo/edit?usp=sharing"",""ลำปาง!J324"")"),10)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IFERROR(__xludf.DUMMYFUNCTION("IMPORTRANGE(""https://docs.google.com/spreadsheets/d/11923uPwbBZFjjGgGUA6NLw09EwE0CqkOc4q9oUmW1yo/edit?usp=sharing"",""ลำปาง!I325"")"),30)</f>
        <v>30</v>
      </c>
      <c r="J430" s="393">
        <f ca="1">IFERROR(__xludf.DUMMYFUNCTION("IMPORTRANGE(""https://docs.google.com/spreadsheets/d/11923uPwbBZFjjGgGUA6NLw09EwE0CqkOc4q9oUmW1yo/edit?usp=sharing"",""ลำปาง!J325"")"),0)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IFERROR(__xludf.DUMMYFUNCTION("IMPORTRANGE(""https://docs.google.com/spreadsheets/d/11923uPwbBZFjjGgGUA6NLw09EwE0CqkOc4q9oUmW1yo/edit?usp=sharing"",""ลำปาง!I326"")"),10)</f>
        <v>10</v>
      </c>
      <c r="J431" s="395">
        <f ca="1">IFERROR(__xludf.DUMMYFUNCTION("IMPORTRANGE(""https://docs.google.com/spreadsheets/d/11923uPwbBZFjjGgGUA6NLw09EwE0CqkOc4q9oUmW1yo/edit?usp=sharing"",""ลำปาง!J326"")"),0)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IFERROR(__xludf.DUMMYFUNCTION("IMPORTRANGE(""https://docs.google.com/spreadsheets/d/11923uPwbBZFjjGgGUA6NLw09EwE0CqkOc4q9oUmW1yo/edit?usp=sharing"",""ลำปาง!I327"")"),20)</f>
        <v>20</v>
      </c>
      <c r="J432" s="395">
        <f ca="1">IFERROR(__xludf.DUMMYFUNCTION("IMPORTRANGE(""https://docs.google.com/spreadsheets/d/11923uPwbBZFjjGgGUA6NLw09EwE0CqkOc4q9oUmW1yo/edit?usp=sharing"",""ลำปาง!J327"")"),0)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IFERROR(__xludf.DUMMYFUNCTION("IMPORTRANGE(""https://docs.google.com/spreadsheets/d/11923uPwbBZFjjGgGUA6NLw09EwE0CqkOc4q9oUmW1yo/edit?usp=sharing"",""ลำปาง!J328"")"),0)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IFERROR(__xludf.DUMMYFUNCTION("IMPORTRANGE(""https://docs.google.com/spreadsheets/d/11923uPwbBZFjjGgGUA6NLw09EwE0CqkOc4q9oUmW1yo/edit?usp=sharing"",""ลำปาง!J329"")"),0)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IFERROR(__xludf.DUMMYFUNCTION("IMPORTRANGE(""https://docs.google.com/spreadsheets/d/11923uPwbBZFjjGgGUA6NLw09EwE0CqkOc4q9oUmW1yo/edit?usp=sharing"",""ลำปาง!I330"")"),15)</f>
        <v>15</v>
      </c>
      <c r="J435" s="411">
        <f ca="1">IFERROR(__xludf.DUMMYFUNCTION("IMPORTRANGE(""https://docs.google.com/spreadsheets/d/11923uPwbBZFjjGgGUA6NLw09EwE0CqkOc4q9oUmW1yo/edit?usp=sharing"",""ลำปาง!J330"")"),15)</f>
        <v>15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IFERROR(__xludf.DUMMYFUNCTION("IMPORTRANGE(""https://docs.google.com/spreadsheets/d/11923uPwbBZFjjGgGUA6NLw09EwE0CqkOc4q9oUmW1yo/edit?usp=sharing"",""ลำปาง!L330"")"),106000)</f>
        <v>106000</v>
      </c>
      <c r="M435" s="413"/>
      <c r="N435" s="413">
        <f ca="1">IFERROR(__xludf.DUMMYFUNCTION("IMPORTRANGE(""https://docs.google.com/spreadsheets/d/11923uPwbBZFjjGgGUA6NLw09EwE0CqkOc4q9oUmW1yo/edit?usp=sharing"",""ลำปาง!M330"")"),45560.39)</f>
        <v>45560.39</v>
      </c>
      <c r="O435" s="413">
        <f t="shared" ref="O435:O439" ca="1" si="114">+IF(L435&gt;0,N435*100/L435,0)</f>
        <v>42.981499999999997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IFERROR(__xludf.DUMMYFUNCTION("IMPORTRANGE(""https://docs.google.com/spreadsheets/d/11923uPwbBZFjjGgGUA6NLw09EwE0CqkOc4q9oUmW1yo/edit?usp=sharing"",""ลำปาง!L331"")"),0)</f>
        <v>0</v>
      </c>
      <c r="M436" s="166"/>
      <c r="N436" s="170">
        <f ca="1">IFERROR(__xludf.DUMMYFUNCTION("IMPORTRANGE(""https://docs.google.com/spreadsheets/d/11923uPwbBZFjjGgGUA6NLw09EwE0CqkOc4q9oUmW1yo/edit?usp=sharing"",""ลำปาง!M331"")"),0)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IFERROR(__xludf.DUMMYFUNCTION("IMPORTRANGE(""https://docs.google.com/spreadsheets/d/11923uPwbBZFjjGgGUA6NLw09EwE0CqkOc4q9oUmW1yo/edit?usp=sharing"",""ลำปาง!L332"")"),106000)</f>
        <v>106000</v>
      </c>
      <c r="M437" s="167"/>
      <c r="N437" s="170">
        <f ca="1">IFERROR(__xludf.DUMMYFUNCTION("IMPORTRANGE(""https://docs.google.com/spreadsheets/d/11923uPwbBZFjjGgGUA6NLw09EwE0CqkOc4q9oUmW1yo/edit?usp=sharing"",""ลำปาง!M332"")"),45560.39)</f>
        <v>45560.39</v>
      </c>
      <c r="O437" s="170">
        <f t="shared" ca="1" si="114"/>
        <v>42.981499999999997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IFERROR(__xludf.DUMMYFUNCTION("IMPORTRANGE(""https://docs.google.com/spreadsheets/d/11923uPwbBZFjjGgGUA6NLw09EwE0CqkOc4q9oUmW1yo/edit?usp=sharing"",""ลำปาง!L333"")"),0)</f>
        <v>0</v>
      </c>
      <c r="M438" s="170"/>
      <c r="N438" s="170">
        <f ca="1">IFERROR(__xludf.DUMMYFUNCTION("IMPORTRANGE(""https://docs.google.com/spreadsheets/d/11923uPwbBZFjjGgGUA6NLw09EwE0CqkOc4q9oUmW1yo/edit?usp=sharing"",""ลำปาง!M333"")"),0)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IFERROR(__xludf.DUMMYFUNCTION("IMPORTRANGE(""https://docs.google.com/spreadsheets/d/11923uPwbBZFjjGgGUA6NLw09EwE0CqkOc4q9oUmW1yo/edit?usp=sharing"",""ลำปาง!L334"")"),106000)</f>
        <v>106000</v>
      </c>
      <c r="M439" s="170"/>
      <c r="N439" s="170">
        <f ca="1">IFERROR(__xludf.DUMMYFUNCTION("IMPORTRANGE(""https://docs.google.com/spreadsheets/d/11923uPwbBZFjjGgGUA6NLw09EwE0CqkOc4q9oUmW1yo/edit?usp=sharing"",""ลำปาง!M334"")"),45560.39)</f>
        <v>45560.39</v>
      </c>
      <c r="O439" s="170">
        <f t="shared" ca="1" si="114"/>
        <v>42.981499999999997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IFERROR(__xludf.DUMMYFUNCTION("IMPORTRANGE(""https://docs.google.com/spreadsheets/d/11923uPwbBZFjjGgGUA6NLw09EwE0CqkOc4q9oUmW1yo/edit?usp=sharing"",""ลำปาง!M335"")"),32200)</f>
        <v>32200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IFERROR(__xludf.DUMMYFUNCTION("IMPORTRANGE(""https://docs.google.com/spreadsheets/d/11923uPwbBZFjjGgGUA6NLw09EwE0CqkOc4q9oUmW1yo/edit?usp=sharing"",""ลำปาง!M336"")"),0)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IFERROR(__xludf.DUMMYFUNCTION("IMPORTRANGE(""https://docs.google.com/spreadsheets/d/11923uPwbBZFjjGgGUA6NLw09EwE0CqkOc4q9oUmW1yo/edit?usp=sharing"",""ลำปาง!M337"")"),0)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IFERROR(__xludf.DUMMYFUNCTION("IMPORTRANGE(""https://docs.google.com/spreadsheets/d/11923uPwbBZFjjGgGUA6NLw09EwE0CqkOc4q9oUmW1yo/edit?usp=sharing"",""ลำปาง!M338"")"),13360.39)</f>
        <v>13360.39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IFERROR(__xludf.DUMMYFUNCTION("IMPORTRANGE(""https://docs.google.com/spreadsheets/d/11923uPwbBZFjjGgGUA6NLw09EwE0CqkOc4q9oUmW1yo/edit?usp=sharing"",""ลำปาง!J340"")"),0)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IFERROR(__xludf.DUMMYFUNCTION("IMPORTRANGE(""https://docs.google.com/spreadsheets/d/11923uPwbBZFjjGgGUA6NLw09EwE0CqkOc4q9oUmW1yo/edit?usp=sharing"",""ลำปาง!J341"")"),1)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IFERROR(__xludf.DUMMYFUNCTION("IMPORTRANGE(""https://docs.google.com/spreadsheets/d/11923uPwbBZFjjGgGUA6NLw09EwE0CqkOc4q9oUmW1yo/edit?usp=sharing"",""ลำปาง!J342"")"),1)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IFERROR(__xludf.DUMMYFUNCTION("IMPORTRANGE(""https://docs.google.com/spreadsheets/d/11923uPwbBZFjjGgGUA6NLw09EwE0CqkOc4q9oUmW1yo/edit?usp=sharing"",""ลำปาง!J343"")"),1)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IFERROR(__xludf.DUMMYFUNCTION("IMPORTRANGE(""https://docs.google.com/spreadsheets/d/11923uPwbBZFjjGgGUA6NLw09EwE0CqkOc4q9oUmW1yo/edit?usp=sharing"",""ลำปาง!I344"")"),15)</f>
        <v>15</v>
      </c>
      <c r="J449" s="202">
        <f ca="1">IFERROR(__xludf.DUMMYFUNCTION("IMPORTRANGE(""https://docs.google.com/spreadsheets/d/11923uPwbBZFjjGgGUA6NLw09EwE0CqkOc4q9oUmW1yo/edit?usp=sharing"",""ลำปาง!J344"")"),15)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IFERROR(__xludf.DUMMYFUNCTION("IMPORTRANGE(""https://docs.google.com/spreadsheets/d/11923uPwbBZFjjGgGUA6NLw09EwE0CqkOc4q9oUmW1yo/edit?usp=sharing"",""ลำปาง!I345"")"),15)</f>
        <v>15</v>
      </c>
      <c r="J450" s="190">
        <f ca="1">IFERROR(__xludf.DUMMYFUNCTION("IMPORTRANGE(""https://docs.google.com/spreadsheets/d/11923uPwbBZFjjGgGUA6NLw09EwE0CqkOc4q9oUmW1yo/edit?usp=sharing"",""ลำปาง!J345"")"),15)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IFERROR(__xludf.DUMMYFUNCTION("IMPORTRANGE(""https://docs.google.com/spreadsheets/d/11923uPwbBZFjjGgGUA6NLw09EwE0CqkOc4q9oUmW1yo/edit?usp=sharing"",""ลำปาง!I346"")"),0)</f>
        <v>0</v>
      </c>
      <c r="J451" s="189">
        <f ca="1">IFERROR(__xludf.DUMMYFUNCTION("IMPORTRANGE(""https://docs.google.com/spreadsheets/d/11923uPwbBZFjjGgGUA6NLw09EwE0CqkOc4q9oUmW1yo/edit?usp=sharing"",""ลำปาง!J346"")"),0)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hidden="1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IFERROR(__xludf.DUMMYFUNCTION("IMPORTRANGE(""https://docs.google.com/spreadsheets/d/11923uPwbBZFjjGgGUA6NLw09EwE0CqkOc4q9oUmW1yo/edit?usp=sharing"",""ลำปาง!I347"")"),0)</f>
        <v>0</v>
      </c>
      <c r="J452" s="189">
        <f ca="1">IFERROR(__xludf.DUMMYFUNCTION("IMPORTRANGE(""https://docs.google.com/spreadsheets/d/11923uPwbBZFjjGgGUA6NLw09EwE0CqkOc4q9oUmW1yo/edit?usp=sharing"",""ลำปาง!J347"")"),0)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IFERROR(__xludf.DUMMYFUNCTION("IMPORTRANGE(""https://docs.google.com/spreadsheets/d/11923uPwbBZFjjGgGUA6NLw09EwE0CqkOc4q9oUmW1yo/edit?usp=sharing"",""ลำปาง!J348"")"),0)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IFERROR(__xludf.DUMMYFUNCTION("IMPORTRANGE(""https://docs.google.com/spreadsheets/d/11923uPwbBZFjjGgGUA6NLw09EwE0CqkOc4q9oUmW1yo/edit?usp=sharing"",""ลำปาง!J349"")"),0)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IFERROR(__xludf.DUMMYFUNCTION("IMPORTRANGE(""https://docs.google.com/spreadsheets/d/11923uPwbBZFjjGgGUA6NLw09EwE0CqkOc4q9oUmW1yo/edit?usp=sharing"",""ลำปาง!I350"")"),44744)</f>
        <v>44744</v>
      </c>
      <c r="J455" s="372">
        <f ca="1">IFERROR(__xludf.DUMMYFUNCTION("IMPORTRANGE(""https://docs.google.com/spreadsheets/d/11923uPwbBZFjjGgGUA6NLw09EwE0CqkOc4q9oUmW1yo/edit?usp=sharing"",""ลำปาง!J350"")"),0)</f>
        <v>0</v>
      </c>
      <c r="K455" s="373">
        <f ca="1">IF(I455&gt;0,J455*100/I455,0)</f>
        <v>0</v>
      </c>
      <c r="L455" s="374">
        <f ca="1">IFERROR(__xludf.DUMMYFUNCTION("IMPORTRANGE(""https://docs.google.com/spreadsheets/d/11923uPwbBZFjjGgGUA6NLw09EwE0CqkOc4q9oUmW1yo/edit?usp=sharing"",""ลำปาง!L350"")"),616700)</f>
        <v>616700</v>
      </c>
      <c r="M455" s="374"/>
      <c r="N455" s="374">
        <f ca="1">IFERROR(__xludf.DUMMYFUNCTION("IMPORTRANGE(""https://docs.google.com/spreadsheets/d/11923uPwbBZFjjGgGUA6NLw09EwE0CqkOc4q9oUmW1yo/edit?usp=sharing"",""ลำปาง!M350"")"),222860.04)</f>
        <v>222860.04</v>
      </c>
      <c r="O455" s="374">
        <f t="shared" ref="O455:O459" ca="1" si="116">+IF(L455&gt;0,N455*100/L455,0)</f>
        <v>36.137512566888276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IFERROR(__xludf.DUMMYFUNCTION("IMPORTRANGE(""https://docs.google.com/spreadsheets/d/11923uPwbBZFjjGgGUA6NLw09EwE0CqkOc4q9oUmW1yo/edit?usp=sharing"",""ลำปาง!L351"")"),0)</f>
        <v>0</v>
      </c>
      <c r="M456" s="166"/>
      <c r="N456" s="170">
        <f ca="1">IFERROR(__xludf.DUMMYFUNCTION("IMPORTRANGE(""https://docs.google.com/spreadsheets/d/11923uPwbBZFjjGgGUA6NLw09EwE0CqkOc4q9oUmW1yo/edit?usp=sharing"",""ลำปาง!M351"")"),0)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IFERROR(__xludf.DUMMYFUNCTION("IMPORTRANGE(""https://docs.google.com/spreadsheets/d/11923uPwbBZFjjGgGUA6NLw09EwE0CqkOc4q9oUmW1yo/edit?usp=sharing"",""ลำปาง!L352"")"),616700)</f>
        <v>616700</v>
      </c>
      <c r="M457" s="167"/>
      <c r="N457" s="170">
        <f ca="1">IFERROR(__xludf.DUMMYFUNCTION("IMPORTRANGE(""https://docs.google.com/spreadsheets/d/11923uPwbBZFjjGgGUA6NLw09EwE0CqkOc4q9oUmW1yo/edit?usp=sharing"",""ลำปาง!M352"")"),222860.04)</f>
        <v>222860.04</v>
      </c>
      <c r="O457" s="170">
        <f t="shared" ca="1" si="116"/>
        <v>36.137512566888276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IFERROR(__xludf.DUMMYFUNCTION("IMPORTRANGE(""https://docs.google.com/spreadsheets/d/11923uPwbBZFjjGgGUA6NLw09EwE0CqkOc4q9oUmW1yo/edit?usp=sharing"",""ลำปาง!L353"")"),0)</f>
        <v>0</v>
      </c>
      <c r="M458" s="170"/>
      <c r="N458" s="170">
        <f ca="1">IFERROR(__xludf.DUMMYFUNCTION("IMPORTRANGE(""https://docs.google.com/spreadsheets/d/11923uPwbBZFjjGgGUA6NLw09EwE0CqkOc4q9oUmW1yo/edit?usp=sharing"",""ลำปาง!M353"")"),0)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IFERROR(__xludf.DUMMYFUNCTION("IMPORTRANGE(""https://docs.google.com/spreadsheets/d/11923uPwbBZFjjGgGUA6NLw09EwE0CqkOc4q9oUmW1yo/edit?usp=sharing"",""ลำปาง!L354"")"),616700)</f>
        <v>616700</v>
      </c>
      <c r="M459" s="170"/>
      <c r="N459" s="170">
        <f ca="1">IFERROR(__xludf.DUMMYFUNCTION("IMPORTRANGE(""https://docs.google.com/spreadsheets/d/11923uPwbBZFjjGgGUA6NLw09EwE0CqkOc4q9oUmW1yo/edit?usp=sharing"",""ลำปาง!M354"")"),222860.04)</f>
        <v>222860.04</v>
      </c>
      <c r="O459" s="170">
        <f t="shared" ca="1" si="116"/>
        <v>36.137512566888276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IFERROR(__xludf.DUMMYFUNCTION("IMPORTRANGE(""https://docs.google.com/spreadsheets/d/11923uPwbBZFjjGgGUA6NLw09EwE0CqkOc4q9oUmW1yo/edit?usp=sharing"",""ลำปาง!M355"")"),0)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IFERROR(__xludf.DUMMYFUNCTION("IMPORTRANGE(""https://docs.google.com/spreadsheets/d/11923uPwbBZFjjGgGUA6NLw09EwE0CqkOc4q9oUmW1yo/edit?usp=sharing"",""ลำปาง!M356"")"),0)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IFERROR(__xludf.DUMMYFUNCTION("IMPORTRANGE(""https://docs.google.com/spreadsheets/d/11923uPwbBZFjjGgGUA6NLw09EwE0CqkOc4q9oUmW1yo/edit?usp=sharing"",""ลำปาง!M357"")"),63800.04)</f>
        <v>63800.04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IFERROR(__xludf.DUMMYFUNCTION("IMPORTRANGE(""https://docs.google.com/spreadsheets/d/11923uPwbBZFjjGgGUA6NLw09EwE0CqkOc4q9oUmW1yo/edit?usp=sharing"",""ลำปาง!M358"")"),159060)</f>
        <v>159060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IFERROR(__xludf.DUMMYFUNCTION("IMPORTRANGE(""https://docs.google.com/spreadsheets/d/11923uPwbBZFjjGgGUA6NLw09EwE0CqkOc4q9oUmW1yo/edit?usp=sharing"",""ลำปาง!I359"")"),44744)</f>
        <v>44744</v>
      </c>
      <c r="J464" s="268">
        <f ca="1">IFERROR(__xludf.DUMMYFUNCTION("IMPORTRANGE(""https://docs.google.com/spreadsheets/d/11923uPwbBZFjjGgGUA6NLw09EwE0CqkOc4q9oUmW1yo/edit?usp=sharing"",""ลำปาง!J359"")"),0)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IFERROR(__xludf.DUMMYFUNCTION("IMPORTRANGE(""https://docs.google.com/spreadsheets/d/11923uPwbBZFjjGgGUA6NLw09EwE0CqkOc4q9oUmW1yo/edit?usp=sharing"",""ลำปาง!I360"")"),44744)</f>
        <v>44744</v>
      </c>
      <c r="J465" s="422">
        <f ca="1">IFERROR(__xludf.DUMMYFUNCTION("IMPORTRANGE(""https://docs.google.com/spreadsheets/d/11923uPwbBZFjjGgGUA6NLw09EwE0CqkOc4q9oUmW1yo/edit?usp=sharing"",""ลำปาง!J360"")"),44745.86)</f>
        <v>44745.86</v>
      </c>
      <c r="K465" s="203">
        <f t="shared" ca="1" si="117"/>
        <v>100.00415698194172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IFERROR(__xludf.DUMMYFUNCTION("IMPORTRANGE(""https://docs.google.com/spreadsheets/d/11923uPwbBZFjjGgGUA6NLw09EwE0CqkOc4q9oUmW1yo/edit?usp=sharing"",""ลำปาง!I361"")"),10122)</f>
        <v>10122</v>
      </c>
      <c r="J466" s="422">
        <f ca="1">IFERROR(__xludf.DUMMYFUNCTION("IMPORTRANGE(""https://docs.google.com/spreadsheets/d/11923uPwbBZFjjGgGUA6NLw09EwE0CqkOc4q9oUmW1yo/edit?usp=sharing"",""ลำปาง!J361"")"),10122)</f>
        <v>10122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IFERROR(__xludf.DUMMYFUNCTION("IMPORTRANGE(""https://docs.google.com/spreadsheets/d/11923uPwbBZFjjGgGUA6NLw09EwE0CqkOc4q9oUmW1yo/edit?usp=sharing"",""ลำปาง!I362"")"),0)</f>
        <v>0</v>
      </c>
      <c r="J467" s="190">
        <f ca="1">IFERROR(__xludf.DUMMYFUNCTION("IMPORTRANGE(""https://docs.google.com/spreadsheets/d/11923uPwbBZFjjGgGUA6NLw09EwE0CqkOc4q9oUmW1yo/edit?usp=sharing"",""ลำปาง!J362"")"),39549.86)</f>
        <v>39549.86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IFERROR(__xludf.DUMMYFUNCTION("IMPORTRANGE(""https://docs.google.com/spreadsheets/d/11923uPwbBZFjjGgGUA6NLw09EwE0CqkOc4q9oUmW1yo/edit?usp=sharing"",""ลำปาง!I363"")"),0)</f>
        <v>0</v>
      </c>
      <c r="J468" s="190">
        <f ca="1">IFERROR(__xludf.DUMMYFUNCTION("IMPORTRANGE(""https://docs.google.com/spreadsheets/d/11923uPwbBZFjjGgGUA6NLw09EwE0CqkOc4q9oUmW1yo/edit?usp=sharing"",""ลำปาง!J363"")"),9246)</f>
        <v>9246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IFERROR(__xludf.DUMMYFUNCTION("IMPORTRANGE(""https://docs.google.com/spreadsheets/d/11923uPwbBZFjjGgGUA6NLw09EwE0CqkOc4q9oUmW1yo/edit?usp=sharing"",""ลำปาง!I364"")"),0)</f>
        <v>0</v>
      </c>
      <c r="J469" s="190">
        <f ca="1">IFERROR(__xludf.DUMMYFUNCTION("IMPORTRANGE(""https://docs.google.com/spreadsheets/d/11923uPwbBZFjjGgGUA6NLw09EwE0CqkOc4q9oUmW1yo/edit?usp=sharing"",""ลำปาง!J364"")"),3960)</f>
        <v>3960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IFERROR(__xludf.DUMMYFUNCTION("IMPORTRANGE(""https://docs.google.com/spreadsheets/d/11923uPwbBZFjjGgGUA6NLw09EwE0CqkOc4q9oUmW1yo/edit?usp=sharing"",""ลำปาง!I365"")"),0)</f>
        <v>0</v>
      </c>
      <c r="J470" s="190">
        <f ca="1">IFERROR(__xludf.DUMMYFUNCTION("IMPORTRANGE(""https://docs.google.com/spreadsheets/d/11923uPwbBZFjjGgGUA6NLw09EwE0CqkOc4q9oUmW1yo/edit?usp=sharing"",""ลำปาง!J365"")"),619)</f>
        <v>619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IFERROR(__xludf.DUMMYFUNCTION("IMPORTRANGE(""https://docs.google.com/spreadsheets/d/11923uPwbBZFjjGgGUA6NLw09EwE0CqkOc4q9oUmW1yo/edit?usp=sharing"",""ลำปาง!I366"")"),0)</f>
        <v>0</v>
      </c>
      <c r="J471" s="190">
        <f ca="1">IFERROR(__xludf.DUMMYFUNCTION("IMPORTRANGE(""https://docs.google.com/spreadsheets/d/11923uPwbBZFjjGgGUA6NLw09EwE0CqkOc4q9oUmW1yo/edit?usp=sharing"",""ลำปาง!J366"")"),1236)</f>
        <v>1236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IFERROR(__xludf.DUMMYFUNCTION("IMPORTRANGE(""https://docs.google.com/spreadsheets/d/11923uPwbBZFjjGgGUA6NLw09EwE0CqkOc4q9oUmW1yo/edit?usp=sharing"",""ลำปาง!I367"")"),0)</f>
        <v>0</v>
      </c>
      <c r="J472" s="190">
        <f ca="1">IFERROR(__xludf.DUMMYFUNCTION("IMPORTRANGE(""https://docs.google.com/spreadsheets/d/11923uPwbBZFjjGgGUA6NLw09EwE0CqkOc4q9oUmW1yo/edit?usp=sharing"",""ลำปาง!J367"")"),257)</f>
        <v>257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IFERROR(__xludf.DUMMYFUNCTION("IMPORTRANGE(""https://docs.google.com/spreadsheets/d/11923uPwbBZFjjGgGUA6NLw09EwE0CqkOc4q9oUmW1yo/edit?usp=sharing"",""ลำปาง!I368"")"),44744)</f>
        <v>44744</v>
      </c>
      <c r="J473" s="422">
        <f ca="1">IFERROR(__xludf.DUMMYFUNCTION("IMPORTRANGE(""https://docs.google.com/spreadsheets/d/11923uPwbBZFjjGgGUA6NLw09EwE0CqkOc4q9oUmW1yo/edit?usp=sharing"",""ลำปาง!J368"")"),44745.86)</f>
        <v>44745.86</v>
      </c>
      <c r="K473" s="203">
        <f t="shared" ca="1" si="117"/>
        <v>100.00415698194172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IFERROR(__xludf.DUMMYFUNCTION("IMPORTRANGE(""https://docs.google.com/spreadsheets/d/11923uPwbBZFjjGgGUA6NLw09EwE0CqkOc4q9oUmW1yo/edit?usp=sharing"",""ลำปาง!I369"")"),10122)</f>
        <v>10122</v>
      </c>
      <c r="J474" s="422">
        <f ca="1">IFERROR(__xludf.DUMMYFUNCTION("IMPORTRANGE(""https://docs.google.com/spreadsheets/d/11923uPwbBZFjjGgGUA6NLw09EwE0CqkOc4q9oUmW1yo/edit?usp=sharing"",""ลำปาง!J369"")"),10122)</f>
        <v>10122</v>
      </c>
      <c r="K474" s="165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IFERROR(__xludf.DUMMYFUNCTION("IMPORTRANGE(""https://docs.google.com/spreadsheets/d/11923uPwbBZFjjGgGUA6NLw09EwE0CqkOc4q9oUmW1yo/edit?usp=sharing"",""ลำปาง!I370"")"),0)</f>
        <v>0</v>
      </c>
      <c r="J475" s="190">
        <f ca="1">IFERROR(__xludf.DUMMYFUNCTION("IMPORTRANGE(""https://docs.google.com/spreadsheets/d/11923uPwbBZFjjGgGUA6NLw09EwE0CqkOc4q9oUmW1yo/edit?usp=sharing"",""ลำปาง!J370"")"),39169.86)</f>
        <v>39169.86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IFERROR(__xludf.DUMMYFUNCTION("IMPORTRANGE(""https://docs.google.com/spreadsheets/d/11923uPwbBZFjjGgGUA6NLw09EwE0CqkOc4q9oUmW1yo/edit?usp=sharing"",""ลำปาง!I371"")"),0)</f>
        <v>0</v>
      </c>
      <c r="J476" s="190">
        <f ca="1">IFERROR(__xludf.DUMMYFUNCTION("IMPORTRANGE(""https://docs.google.com/spreadsheets/d/11923uPwbBZFjjGgGUA6NLw09EwE0CqkOc4q9oUmW1yo/edit?usp=sharing"",""ลำปาง!J371"")"),9220)</f>
        <v>9220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IFERROR(__xludf.DUMMYFUNCTION("IMPORTRANGE(""https://docs.google.com/spreadsheets/d/11923uPwbBZFjjGgGUA6NLw09EwE0CqkOc4q9oUmW1yo/edit?usp=sharing"",""ลำปาง!I372"")"),0)</f>
        <v>0</v>
      </c>
      <c r="J477" s="190">
        <f ca="1">IFERROR(__xludf.DUMMYFUNCTION("IMPORTRANGE(""https://docs.google.com/spreadsheets/d/11923uPwbBZFjjGgGUA6NLw09EwE0CqkOc4q9oUmW1yo/edit?usp=sharing"",""ลำปาง!J372"")"),4086)</f>
        <v>4086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IFERROR(__xludf.DUMMYFUNCTION("IMPORTRANGE(""https://docs.google.com/spreadsheets/d/11923uPwbBZFjjGgGUA6NLw09EwE0CqkOc4q9oUmW1yo/edit?usp=sharing"",""ลำปาง!I373"")"),0)</f>
        <v>0</v>
      </c>
      <c r="J478" s="190">
        <f ca="1">IFERROR(__xludf.DUMMYFUNCTION("IMPORTRANGE(""https://docs.google.com/spreadsheets/d/11923uPwbBZFjjGgGUA6NLw09EwE0CqkOc4q9oUmW1yo/edit?usp=sharing"",""ลำปาง!J373"")"),596)</f>
        <v>596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IFERROR(__xludf.DUMMYFUNCTION("IMPORTRANGE(""https://docs.google.com/spreadsheets/d/11923uPwbBZFjjGgGUA6NLw09EwE0CqkOc4q9oUmW1yo/edit?usp=sharing"",""ลำปาง!I374"")"),0)</f>
        <v>0</v>
      </c>
      <c r="J479" s="190">
        <f ca="1">IFERROR(__xludf.DUMMYFUNCTION("IMPORTRANGE(""https://docs.google.com/spreadsheets/d/11923uPwbBZFjjGgGUA6NLw09EwE0CqkOc4q9oUmW1yo/edit?usp=sharing"",""ลำปาง!J374"")"),1490)</f>
        <v>1490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IFERROR(__xludf.DUMMYFUNCTION("IMPORTRANGE(""https://docs.google.com/spreadsheets/d/11923uPwbBZFjjGgGUA6NLw09EwE0CqkOc4q9oUmW1yo/edit?usp=sharing"",""ลำปาง!I375"")"),0)</f>
        <v>0</v>
      </c>
      <c r="J480" s="190">
        <f ca="1">IFERROR(__xludf.DUMMYFUNCTION("IMPORTRANGE(""https://docs.google.com/spreadsheets/d/11923uPwbBZFjjGgGUA6NLw09EwE0CqkOc4q9oUmW1yo/edit?usp=sharing"",""ลำปาง!J375"")"),306)</f>
        <v>306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IFERROR(__xludf.DUMMYFUNCTION("IMPORTRANGE(""https://docs.google.com/spreadsheets/d/11923uPwbBZFjjGgGUA6NLw09EwE0CqkOc4q9oUmW1yo/edit?usp=sharing"",""ลำปาง!I376"")"),44744)</f>
        <v>44744</v>
      </c>
      <c r="J481" s="422">
        <f ca="1">IFERROR(__xludf.DUMMYFUNCTION("IMPORTRANGE(""https://docs.google.com/spreadsheets/d/11923uPwbBZFjjGgGUA6NLw09EwE0CqkOc4q9oUmW1yo/edit?usp=sharing"",""ลำปาง!J376"")"),0)</f>
        <v>0</v>
      </c>
      <c r="K481" s="203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IFERROR(__xludf.DUMMYFUNCTION("IMPORTRANGE(""https://docs.google.com/spreadsheets/d/11923uPwbBZFjjGgGUA6NLw09EwE0CqkOc4q9oUmW1yo/edit?usp=sharing"",""ลำปาง!I377"")"),10122)</f>
        <v>10122</v>
      </c>
      <c r="J482" s="422">
        <f ca="1">IFERROR(__xludf.DUMMYFUNCTION("IMPORTRANGE(""https://docs.google.com/spreadsheets/d/11923uPwbBZFjjGgGUA6NLw09EwE0CqkOc4q9oUmW1yo/edit?usp=sharing"",""ลำปาง!J377"")"),0)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IFERROR(__xludf.DUMMYFUNCTION("IMPORTRANGE(""https://docs.google.com/spreadsheets/d/11923uPwbBZFjjGgGUA6NLw09EwE0CqkOc4q9oUmW1yo/edit?usp=sharing"",""ลำปาง!I378"")"),0)</f>
        <v>0</v>
      </c>
      <c r="J483" s="190">
        <f ca="1">IFERROR(__xludf.DUMMYFUNCTION("IMPORTRANGE(""https://docs.google.com/spreadsheets/d/11923uPwbBZFjjGgGUA6NLw09EwE0CqkOc4q9oUmW1yo/edit?usp=sharing"",""ลำปาง!J378"")"),0)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IFERROR(__xludf.DUMMYFUNCTION("IMPORTRANGE(""https://docs.google.com/spreadsheets/d/11923uPwbBZFjjGgGUA6NLw09EwE0CqkOc4q9oUmW1yo/edit?usp=sharing"",""ลำปาง!I379"")"),0)</f>
        <v>0</v>
      </c>
      <c r="J484" s="190">
        <f ca="1">IFERROR(__xludf.DUMMYFUNCTION("IMPORTRANGE(""https://docs.google.com/spreadsheets/d/11923uPwbBZFjjGgGUA6NLw09EwE0CqkOc4q9oUmW1yo/edit?usp=sharing"",""ลำปาง!J379"")"),0)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IFERROR(__xludf.DUMMYFUNCTION("IMPORTRANGE(""https://docs.google.com/spreadsheets/d/11923uPwbBZFjjGgGUA6NLw09EwE0CqkOc4q9oUmW1yo/edit?usp=sharing"",""ลำปาง!I380"")"),0)</f>
        <v>0</v>
      </c>
      <c r="J485" s="190">
        <f ca="1">IFERROR(__xludf.DUMMYFUNCTION("IMPORTRANGE(""https://docs.google.com/spreadsheets/d/11923uPwbBZFjjGgGUA6NLw09EwE0CqkOc4q9oUmW1yo/edit?usp=sharing"",""ลำปาง!J380"")"),0)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IFERROR(__xludf.DUMMYFUNCTION("IMPORTRANGE(""https://docs.google.com/spreadsheets/d/11923uPwbBZFjjGgGUA6NLw09EwE0CqkOc4q9oUmW1yo/edit?usp=sharing"",""ลำปาง!I381"")"),0)</f>
        <v>0</v>
      </c>
      <c r="J486" s="190">
        <f ca="1">IFERROR(__xludf.DUMMYFUNCTION("IMPORTRANGE(""https://docs.google.com/spreadsheets/d/11923uPwbBZFjjGgGUA6NLw09EwE0CqkOc4q9oUmW1yo/edit?usp=sharing"",""ลำปาง!J381"")"),0)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IFERROR(__xludf.DUMMYFUNCTION("IMPORTRANGE(""https://docs.google.com/spreadsheets/d/11923uPwbBZFjjGgGUA6NLw09EwE0CqkOc4q9oUmW1yo/edit?usp=sharing"",""ลำปาง!I382"")"),0)</f>
        <v>0</v>
      </c>
      <c r="J487" s="422">
        <f ca="1">IFERROR(__xludf.DUMMYFUNCTION("IMPORTRANGE(""https://docs.google.com/spreadsheets/d/11923uPwbBZFjjGgGUA6NLw09EwE0CqkOc4q9oUmW1yo/edit?usp=sharing"",""ลำปาง!J382"")"),0)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IFERROR(__xludf.DUMMYFUNCTION("IMPORTRANGE(""https://docs.google.com/spreadsheets/d/11923uPwbBZFjjGgGUA6NLw09EwE0CqkOc4q9oUmW1yo/edit?usp=sharing"",""ลำปาง!I383"")"),0)</f>
        <v>0</v>
      </c>
      <c r="J488" s="422">
        <f ca="1">IFERROR(__xludf.DUMMYFUNCTION("IMPORTRANGE(""https://docs.google.com/spreadsheets/d/11923uPwbBZFjjGgGUA6NLw09EwE0CqkOc4q9oUmW1yo/edit?usp=sharing"",""ลำปาง!J383"")"),0)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IFERROR(__xludf.DUMMYFUNCTION("IMPORTRANGE(""https://docs.google.com/spreadsheets/d/11923uPwbBZFjjGgGUA6NLw09EwE0CqkOc4q9oUmW1yo/edit?usp=sharing"",""ลำปาง!I384"")"),0)</f>
        <v>0</v>
      </c>
      <c r="J489" s="190">
        <f ca="1">IFERROR(__xludf.DUMMYFUNCTION("IMPORTRANGE(""https://docs.google.com/spreadsheets/d/11923uPwbBZFjjGgGUA6NLw09EwE0CqkOc4q9oUmW1yo/edit?usp=sharing"",""ลำปาง!J384"")"),0)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IFERROR(__xludf.DUMMYFUNCTION("IMPORTRANGE(""https://docs.google.com/spreadsheets/d/11923uPwbBZFjjGgGUA6NLw09EwE0CqkOc4q9oUmW1yo/edit?usp=sharing"",""ลำปาง!I385"")"),0)</f>
        <v>0</v>
      </c>
      <c r="J490" s="190">
        <f ca="1">IFERROR(__xludf.DUMMYFUNCTION("IMPORTRANGE(""https://docs.google.com/spreadsheets/d/11923uPwbBZFjjGgGUA6NLw09EwE0CqkOc4q9oUmW1yo/edit?usp=sharing"",""ลำปาง!J385"")"),0)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IFERROR(__xludf.DUMMYFUNCTION("IMPORTRANGE(""https://docs.google.com/spreadsheets/d/11923uPwbBZFjjGgGUA6NLw09EwE0CqkOc4q9oUmW1yo/edit?usp=sharing"",""ลำปาง!I386"")"),0)</f>
        <v>0</v>
      </c>
      <c r="J491" s="190">
        <f ca="1">IFERROR(__xludf.DUMMYFUNCTION("IMPORTRANGE(""https://docs.google.com/spreadsheets/d/11923uPwbBZFjjGgGUA6NLw09EwE0CqkOc4q9oUmW1yo/edit?usp=sharing"",""ลำปาง!J386"")"),0)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IFERROR(__xludf.DUMMYFUNCTION("IMPORTRANGE(""https://docs.google.com/spreadsheets/d/11923uPwbBZFjjGgGUA6NLw09EwE0CqkOc4q9oUmW1yo/edit?usp=sharing"",""ลำปาง!I387"")"),0)</f>
        <v>0</v>
      </c>
      <c r="J492" s="190">
        <f ca="1">IFERROR(__xludf.DUMMYFUNCTION("IMPORTRANGE(""https://docs.google.com/spreadsheets/d/11923uPwbBZFjjGgGUA6NLw09EwE0CqkOc4q9oUmW1yo/edit?usp=sharing"",""ลำปาง!J387"")"),0)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IFERROR(__xludf.DUMMYFUNCTION("IMPORTRANGE(""https://docs.google.com/spreadsheets/d/11923uPwbBZFjjGgGUA6NLw09EwE0CqkOc4q9oUmW1yo/edit?usp=sharing"",""ลำปาง!I388"")"),0)</f>
        <v>0</v>
      </c>
      <c r="J493" s="190">
        <f ca="1">IFERROR(__xludf.DUMMYFUNCTION("IMPORTRANGE(""https://docs.google.com/spreadsheets/d/11923uPwbBZFjjGgGUA6NLw09EwE0CqkOc4q9oUmW1yo/edit?usp=sharing"",""ลำปาง!J388"")"),0)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IFERROR(__xludf.DUMMYFUNCTION("IMPORTRANGE(""https://docs.google.com/spreadsheets/d/11923uPwbBZFjjGgGUA6NLw09EwE0CqkOc4q9oUmW1yo/edit?usp=sharing"",""ลำปาง!I389"")"),0)</f>
        <v>0</v>
      </c>
      <c r="J494" s="438">
        <f ca="1">IFERROR(__xludf.DUMMYFUNCTION("IMPORTRANGE(""https://docs.google.com/spreadsheets/d/11923uPwbBZFjjGgGUA6NLw09EwE0CqkOc4q9oUmW1yo/edit?usp=sharing"",""ลำปาง!J389"")"),0)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IFERROR(__xludf.DUMMYFUNCTION("IMPORTRANGE(""https://docs.google.com/spreadsheets/d/11923uPwbBZFjjGgGUA6NLw09EwE0CqkOc4q9oUmW1yo/edit?usp=sharing"",""ลำปาง!I390"")"),0)</f>
        <v>0</v>
      </c>
      <c r="J495" s="438">
        <f ca="1">IFERROR(__xludf.DUMMYFUNCTION("IMPORTRANGE(""https://docs.google.com/spreadsheets/d/11923uPwbBZFjjGgGUA6NLw09EwE0CqkOc4q9oUmW1yo/edit?usp=sharing"",""ลำปาง!J390"")"),0)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IFERROR(__xludf.DUMMYFUNCTION("IMPORTRANGE(""https://docs.google.com/spreadsheets/d/11923uPwbBZFjjGgGUA6NLw09EwE0CqkOc4q9oUmW1yo/edit?usp=sharing"",""ลำปาง!I391"")"),0)</f>
        <v>0</v>
      </c>
      <c r="J496" s="438">
        <f ca="1">IFERROR(__xludf.DUMMYFUNCTION("IMPORTRANGE(""https://docs.google.com/spreadsheets/d/11923uPwbBZFjjGgGUA6NLw09EwE0CqkOc4q9oUmW1yo/edit?usp=sharing"",""ลำปาง!J391"")"),0)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IFERROR(__xludf.DUMMYFUNCTION("IMPORTRANGE(""https://docs.google.com/spreadsheets/d/11923uPwbBZFjjGgGUA6NLw09EwE0CqkOc4q9oUmW1yo/edit?usp=sharing"",""ลำปาง!I392"")"),2837)</f>
        <v>2837</v>
      </c>
      <c r="J497" s="445">
        <f ca="1">IFERROR(__xludf.DUMMYFUNCTION("IMPORTRANGE(""https://docs.google.com/spreadsheets/d/11923uPwbBZFjjGgGUA6NLw09EwE0CqkOc4q9oUmW1yo/edit?usp=sharing"",""ลำปาง!J392"")"),730)</f>
        <v>730</v>
      </c>
      <c r="K497" s="446">
        <f t="shared" ca="1" si="117"/>
        <v>25.731406415227355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IFERROR(__xludf.DUMMYFUNCTION("IMPORTRANGE(""https://docs.google.com/spreadsheets/d/11923uPwbBZFjjGgGUA6NLw09EwE0CqkOc4q9oUmW1yo/edit?usp=sharing"",""ลำปาง!I393"")"),2837)</f>
        <v>2837</v>
      </c>
      <c r="J498" s="422">
        <f ca="1">IFERROR(__xludf.DUMMYFUNCTION("IMPORTRANGE(""https://docs.google.com/spreadsheets/d/11923uPwbBZFjjGgGUA6NLw09EwE0CqkOc4q9oUmW1yo/edit?usp=sharing"",""ลำปาง!J393"")"),730)</f>
        <v>730</v>
      </c>
      <c r="K498" s="203">
        <f t="shared" ca="1" si="117"/>
        <v>25.731406415227355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IFERROR(__xludf.DUMMYFUNCTION("IMPORTRANGE(""https://docs.google.com/spreadsheets/d/11923uPwbBZFjjGgGUA6NLw09EwE0CqkOc4q9oUmW1yo/edit?usp=sharing"",""ลำปาง!I394"")"),353)</f>
        <v>353</v>
      </c>
      <c r="J499" s="422">
        <f ca="1">IFERROR(__xludf.DUMMYFUNCTION("IMPORTRANGE(""https://docs.google.com/spreadsheets/d/11923uPwbBZFjjGgGUA6NLw09EwE0CqkOc4q9oUmW1yo/edit?usp=sharing"",""ลำปาง!J394"")"),97)</f>
        <v>97</v>
      </c>
      <c r="K499" s="203">
        <f t="shared" ca="1" si="117"/>
        <v>27.478753541076486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IFERROR(__xludf.DUMMYFUNCTION("IMPORTRANGE(""https://docs.google.com/spreadsheets/d/11923uPwbBZFjjGgGUA6NLw09EwE0CqkOc4q9oUmW1yo/edit?usp=sharing"",""ลำปาง!I395"")"),0)</f>
        <v>0</v>
      </c>
      <c r="J500" s="164">
        <f ca="1">IFERROR(__xludf.DUMMYFUNCTION("IMPORTRANGE(""https://docs.google.com/spreadsheets/d/11923uPwbBZFjjGgGUA6NLw09EwE0CqkOc4q9oUmW1yo/edit?usp=sharing"",""ลำปาง!J395"")"),730)</f>
        <v>730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IFERROR(__xludf.DUMMYFUNCTION("IMPORTRANGE(""https://docs.google.com/spreadsheets/d/11923uPwbBZFjjGgGUA6NLw09EwE0CqkOc4q9oUmW1yo/edit?usp=sharing"",""ลำปาง!I396"")"),0)</f>
        <v>0</v>
      </c>
      <c r="J501" s="164">
        <f ca="1">IFERROR(__xludf.DUMMYFUNCTION("IMPORTRANGE(""https://docs.google.com/spreadsheets/d/11923uPwbBZFjjGgGUA6NLw09EwE0CqkOc4q9oUmW1yo/edit?usp=sharing"",""ลำปาง!J396"")"),97)</f>
        <v>97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IFERROR(__xludf.DUMMYFUNCTION("IMPORTRANGE(""https://docs.google.com/spreadsheets/d/11923uPwbBZFjjGgGUA6NLw09EwE0CqkOc4q9oUmW1yo/edit?usp=sharing"",""ลำปาง!I397"")"),0)</f>
        <v>0</v>
      </c>
      <c r="J502" s="190">
        <f ca="1">IFERROR(__xludf.DUMMYFUNCTION("IMPORTRANGE(""https://docs.google.com/spreadsheets/d/11923uPwbBZFjjGgGUA6NLw09EwE0CqkOc4q9oUmW1yo/edit?usp=sharing"",""ลำปาง!J397"")"),730)</f>
        <v>730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IFERROR(__xludf.DUMMYFUNCTION("IMPORTRANGE(""https://docs.google.com/spreadsheets/d/11923uPwbBZFjjGgGUA6NLw09EwE0CqkOc4q9oUmW1yo/edit?usp=sharing"",""ลำปาง!I398"")"),0)</f>
        <v>0</v>
      </c>
      <c r="J503" s="199">
        <f ca="1">IFERROR(__xludf.DUMMYFUNCTION("IMPORTRANGE(""https://docs.google.com/spreadsheets/d/11923uPwbBZFjjGgGUA6NLw09EwE0CqkOc4q9oUmW1yo/edit?usp=sharing"",""ลำปาง!J398"")"),97)</f>
        <v>97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IFERROR(__xludf.DUMMYFUNCTION("IMPORTRANGE(""https://docs.google.com/spreadsheets/d/11923uPwbBZFjjGgGUA6NLw09EwE0CqkOc4q9oUmW1yo/edit?usp=sharing"",""ลำปาง!I399"")"),0)</f>
        <v>0</v>
      </c>
      <c r="J504" s="190">
        <f ca="1">IFERROR(__xludf.DUMMYFUNCTION("IMPORTRANGE(""https://docs.google.com/spreadsheets/d/11923uPwbBZFjjGgGUA6NLw09EwE0CqkOc4q9oUmW1yo/edit?usp=sharing"",""ลำปาง!J399"")"),0)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IFERROR(__xludf.DUMMYFUNCTION("IMPORTRANGE(""https://docs.google.com/spreadsheets/d/11923uPwbBZFjjGgGUA6NLw09EwE0CqkOc4q9oUmW1yo/edit?usp=sharing"",""ลำปาง!I400"")"),0)</f>
        <v>0</v>
      </c>
      <c r="J505" s="199">
        <f ca="1">IFERROR(__xludf.DUMMYFUNCTION("IMPORTRANGE(""https://docs.google.com/spreadsheets/d/11923uPwbBZFjjGgGUA6NLw09EwE0CqkOc4q9oUmW1yo/edit?usp=sharing"",""ลำปาง!J400"")"),0)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IFERROR(__xludf.DUMMYFUNCTION("IMPORTRANGE(""https://docs.google.com/spreadsheets/d/11923uPwbBZFjjGgGUA6NLw09EwE0CqkOc4q9oUmW1yo/edit?usp=sharing"",""ลำปาง!I401"")"),0)</f>
        <v>0</v>
      </c>
      <c r="J506" s="190">
        <f ca="1">IFERROR(__xludf.DUMMYFUNCTION("IMPORTRANGE(""https://docs.google.com/spreadsheets/d/11923uPwbBZFjjGgGUA6NLw09EwE0CqkOc4q9oUmW1yo/edit?usp=sharing"",""ลำปาง!J401"")"),0)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IFERROR(__xludf.DUMMYFUNCTION("IMPORTRANGE(""https://docs.google.com/spreadsheets/d/11923uPwbBZFjjGgGUA6NLw09EwE0CqkOc4q9oUmW1yo/edit?usp=sharing"",""ลำปาง!I402"")"),0)</f>
        <v>0</v>
      </c>
      <c r="J507" s="199">
        <f ca="1">IFERROR(__xludf.DUMMYFUNCTION("IMPORTRANGE(""https://docs.google.com/spreadsheets/d/11923uPwbBZFjjGgGUA6NLw09EwE0CqkOc4q9oUmW1yo/edit?usp=sharing"",""ลำปาง!J402"")"),0)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IFERROR(__xludf.DUMMYFUNCTION("IMPORTRANGE(""https://docs.google.com/spreadsheets/d/11923uPwbBZFjjGgGUA6NLw09EwE0CqkOc4q9oUmW1yo/edit?usp=sharing"",""ลำปาง!I403"")"),0)</f>
        <v>0</v>
      </c>
      <c r="J508" s="164">
        <f ca="1">IFERROR(__xludf.DUMMYFUNCTION("IMPORTRANGE(""https://docs.google.com/spreadsheets/d/11923uPwbBZFjjGgGUA6NLw09EwE0CqkOc4q9oUmW1yo/edit?usp=sharing"",""ลำปาง!J403"")"),0)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IFERROR(__xludf.DUMMYFUNCTION("IMPORTRANGE(""https://docs.google.com/spreadsheets/d/11923uPwbBZFjjGgGUA6NLw09EwE0CqkOc4q9oUmW1yo/edit?usp=sharing"",""ลำปาง!I404"")"),0)</f>
        <v>0</v>
      </c>
      <c r="J509" s="164">
        <f ca="1">IFERROR(__xludf.DUMMYFUNCTION("IMPORTRANGE(""https://docs.google.com/spreadsheets/d/11923uPwbBZFjjGgGUA6NLw09EwE0CqkOc4q9oUmW1yo/edit?usp=sharing"",""ลำปาง!J404"")"),0)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IFERROR(__xludf.DUMMYFUNCTION("IMPORTRANGE(""https://docs.google.com/spreadsheets/d/11923uPwbBZFjjGgGUA6NLw09EwE0CqkOc4q9oUmW1yo/edit?usp=sharing"",""ลำปาง!I405"")"),0)</f>
        <v>0</v>
      </c>
      <c r="J510" s="199">
        <f ca="1">IFERROR(__xludf.DUMMYFUNCTION("IMPORTRANGE(""https://docs.google.com/spreadsheets/d/11923uPwbBZFjjGgGUA6NLw09EwE0CqkOc4q9oUmW1yo/edit?usp=sharing"",""ลำปาง!J405"")"),0)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IFERROR(__xludf.DUMMYFUNCTION("IMPORTRANGE(""https://docs.google.com/spreadsheets/d/11923uPwbBZFjjGgGUA6NLw09EwE0CqkOc4q9oUmW1yo/edit?usp=sharing"",""ลำปาง!I406"")"),0)</f>
        <v>0</v>
      </c>
      <c r="J511" s="199">
        <f ca="1">IFERROR(__xludf.DUMMYFUNCTION("IMPORTRANGE(""https://docs.google.com/spreadsheets/d/11923uPwbBZFjjGgGUA6NLw09EwE0CqkOc4q9oUmW1yo/edit?usp=sharing"",""ลำปาง!J406"")"),0)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IFERROR(__xludf.DUMMYFUNCTION("IMPORTRANGE(""https://docs.google.com/spreadsheets/d/11923uPwbBZFjjGgGUA6NLw09EwE0CqkOc4q9oUmW1yo/edit?usp=sharing"",""ลำปาง!I407"")"),0)</f>
        <v>0</v>
      </c>
      <c r="J512" s="199">
        <f ca="1">IFERROR(__xludf.DUMMYFUNCTION("IMPORTRANGE(""https://docs.google.com/spreadsheets/d/11923uPwbBZFjjGgGUA6NLw09EwE0CqkOc4q9oUmW1yo/edit?usp=sharing"",""ลำปาง!J407"")"),0)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IFERROR(__xludf.DUMMYFUNCTION("IMPORTRANGE(""https://docs.google.com/spreadsheets/d/11923uPwbBZFjjGgGUA6NLw09EwE0CqkOc4q9oUmW1yo/edit?usp=sharing"",""ลำปาง!I408"")"),0)</f>
        <v>0</v>
      </c>
      <c r="J513" s="199">
        <f ca="1">IFERROR(__xludf.DUMMYFUNCTION("IMPORTRANGE(""https://docs.google.com/spreadsheets/d/11923uPwbBZFjjGgGUA6NLw09EwE0CqkOc4q9oUmW1yo/edit?usp=sharing"",""ลำปาง!J408"")"),0)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IFERROR(__xludf.DUMMYFUNCTION("IMPORTRANGE(""https://docs.google.com/spreadsheets/d/11923uPwbBZFjjGgGUA6NLw09EwE0CqkOc4q9oUmW1yo/edit?usp=sharing"",""ลำปาง!I409"")"),0)</f>
        <v>0</v>
      </c>
      <c r="J514" s="199">
        <f ca="1">IFERROR(__xludf.DUMMYFUNCTION("IMPORTRANGE(""https://docs.google.com/spreadsheets/d/11923uPwbBZFjjGgGUA6NLw09EwE0CqkOc4q9oUmW1yo/edit?usp=sharing"",""ลำปาง!J409"")"),0)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IFERROR(__xludf.DUMMYFUNCTION("IMPORTRANGE(""https://docs.google.com/spreadsheets/d/11923uPwbBZFjjGgGUA6NLw09EwE0CqkOc4q9oUmW1yo/edit?usp=sharing"",""ลำปาง!I410"")"),0)</f>
        <v>0</v>
      </c>
      <c r="J515" s="199">
        <f ca="1">IFERROR(__xludf.DUMMYFUNCTION("IMPORTRANGE(""https://docs.google.com/spreadsheets/d/11923uPwbBZFjjGgGUA6NLw09EwE0CqkOc4q9oUmW1yo/edit?usp=sharing"",""ลำปาง!J410"")"),0)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IFERROR(__xludf.DUMMYFUNCTION("IMPORTRANGE(""https://docs.google.com/spreadsheets/d/11923uPwbBZFjjGgGUA6NLw09EwE0CqkOc4q9oUmW1yo/edit?usp=sharing"",""ลำปาง!I411"")"),0)</f>
        <v>0</v>
      </c>
      <c r="J516" s="268">
        <f ca="1">IFERROR(__xludf.DUMMYFUNCTION("IMPORTRANGE(""https://docs.google.com/spreadsheets/d/11923uPwbBZFjjGgGUA6NLw09EwE0CqkOc4q9oUmW1yo/edit?usp=sharing"",""ลำปาง!J411"")"),0)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IFERROR(__xludf.DUMMYFUNCTION("IMPORTRANGE(""https://docs.google.com/spreadsheets/d/11923uPwbBZFjjGgGUA6NLw09EwE0CqkOc4q9oUmW1yo/edit?usp=sharing"",""ลำปาง!I412"")"),0)</f>
        <v>0</v>
      </c>
      <c r="J517" s="285">
        <f ca="1">IFERROR(__xludf.DUMMYFUNCTION("IMPORTRANGE(""https://docs.google.com/spreadsheets/d/11923uPwbBZFjjGgGUA6NLw09EwE0CqkOc4q9oUmW1yo/edit?usp=sharing"",""ลำปาง!J412"")"),0)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IFERROR(__xludf.DUMMYFUNCTION("IMPORTRANGE(""https://docs.google.com/spreadsheets/d/11923uPwbBZFjjGgGUA6NLw09EwE0CqkOc4q9oUmW1yo/edit?usp=sharing"",""ลำปาง!I413"")"),0)</f>
        <v>0</v>
      </c>
      <c r="J518" s="285">
        <f ca="1">IFERROR(__xludf.DUMMYFUNCTION("IMPORTRANGE(""https://docs.google.com/spreadsheets/d/11923uPwbBZFjjGgGUA6NLw09EwE0CqkOc4q9oUmW1yo/edit?usp=sharing"",""ลำปาง!J413"")"),0)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IFERROR(__xludf.DUMMYFUNCTION("IMPORTRANGE(""https://docs.google.com/spreadsheets/d/11923uPwbBZFjjGgGUA6NLw09EwE0CqkOc4q9oUmW1yo/edit?usp=sharing"",""ลำปาง!I414"")"),0)</f>
        <v>0</v>
      </c>
      <c r="J519" s="189">
        <f ca="1">IFERROR(__xludf.DUMMYFUNCTION("IMPORTRANGE(""https://docs.google.com/spreadsheets/d/11923uPwbBZFjjGgGUA6NLw09EwE0CqkOc4q9oUmW1yo/edit?usp=sharing"",""ลำปาง!J414"")"),0)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IFERROR(__xludf.DUMMYFUNCTION("IMPORTRANGE(""https://docs.google.com/spreadsheets/d/11923uPwbBZFjjGgGUA6NLw09EwE0CqkOc4q9oUmW1yo/edit?usp=sharing"",""ลำปาง!I415"")"),0)</f>
        <v>0</v>
      </c>
      <c r="J520" s="189">
        <f ca="1">IFERROR(__xludf.DUMMYFUNCTION("IMPORTRANGE(""https://docs.google.com/spreadsheets/d/11923uPwbBZFjjGgGUA6NLw09EwE0CqkOc4q9oUmW1yo/edit?usp=sharing"",""ลำปาง!J415"")"),0)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IFERROR(__xludf.DUMMYFUNCTION("IMPORTRANGE(""https://docs.google.com/spreadsheets/d/11923uPwbBZFjjGgGUA6NLw09EwE0CqkOc4q9oUmW1yo/edit?usp=sharing"",""ลำปาง!I416"")"),0)</f>
        <v>0</v>
      </c>
      <c r="J521" s="189">
        <f ca="1">IFERROR(__xludf.DUMMYFUNCTION("IMPORTRANGE(""https://docs.google.com/spreadsheets/d/11923uPwbBZFjjGgGUA6NLw09EwE0CqkOc4q9oUmW1yo/edit?usp=sharing"",""ลำปาง!J416"")"),0)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IFERROR(__xludf.DUMMYFUNCTION("IMPORTRANGE(""https://docs.google.com/spreadsheets/d/11923uPwbBZFjjGgGUA6NLw09EwE0CqkOc4q9oUmW1yo/edit?usp=sharing"",""ลำปาง!I417"")"),0)</f>
        <v>0</v>
      </c>
      <c r="J522" s="189">
        <f ca="1">IFERROR(__xludf.DUMMYFUNCTION("IMPORTRANGE(""https://docs.google.com/spreadsheets/d/11923uPwbBZFjjGgGUA6NLw09EwE0CqkOc4q9oUmW1yo/edit?usp=sharing"",""ลำปาง!J417"")"),0)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IFERROR(__xludf.DUMMYFUNCTION("IMPORTRANGE(""https://docs.google.com/spreadsheets/d/11923uPwbBZFjjGgGUA6NLw09EwE0CqkOc4q9oUmW1yo/edit?usp=sharing"",""ลำปาง!I418"")"),0)</f>
        <v>0</v>
      </c>
      <c r="J523" s="189">
        <f ca="1">IFERROR(__xludf.DUMMYFUNCTION("IMPORTRANGE(""https://docs.google.com/spreadsheets/d/11923uPwbBZFjjGgGUA6NLw09EwE0CqkOc4q9oUmW1yo/edit?usp=sharing"",""ลำปาง!J418"")"),54)</f>
        <v>54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IFERROR(__xludf.DUMMYFUNCTION("IMPORTRANGE(""https://docs.google.com/spreadsheets/d/11923uPwbBZFjjGgGUA6NLw09EwE0CqkOc4q9oUmW1yo/edit?usp=sharing"",""ลำปาง!I419"")"),0)</f>
        <v>0</v>
      </c>
      <c r="J524" s="189">
        <f ca="1">IFERROR(__xludf.DUMMYFUNCTION("IMPORTRANGE(""https://docs.google.com/spreadsheets/d/11923uPwbBZFjjGgGUA6NLw09EwE0CqkOc4q9oUmW1yo/edit?usp=sharing"",""ลำปาง!J419"")"),6)</f>
        <v>6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IFERROR(__xludf.DUMMYFUNCTION("IMPORTRANGE(""https://docs.google.com/spreadsheets/d/11923uPwbBZFjjGgGUA6NLw09EwE0CqkOc4q9oUmW1yo/edit?usp=sharing"",""ลำปาง!I420"")"),54)</f>
        <v>54</v>
      </c>
      <c r="J525" s="285">
        <f ca="1">IFERROR(__xludf.DUMMYFUNCTION("IMPORTRANGE(""https://docs.google.com/spreadsheets/d/11923uPwbBZFjjGgGUA6NLw09EwE0CqkOc4q9oUmW1yo/edit?usp=sharing"",""ลำปาง!J420"")"),0)</f>
        <v>0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IFERROR(__xludf.DUMMYFUNCTION("IMPORTRANGE(""https://docs.google.com/spreadsheets/d/11923uPwbBZFjjGgGUA6NLw09EwE0CqkOc4q9oUmW1yo/edit?usp=sharing"",""ลำปาง!I421"")"),6)</f>
        <v>6</v>
      </c>
      <c r="J526" s="285">
        <f ca="1">IFERROR(__xludf.DUMMYFUNCTION("IMPORTRANGE(""https://docs.google.com/spreadsheets/d/11923uPwbBZFjjGgGUA6NLw09EwE0CqkOc4q9oUmW1yo/edit?usp=sharing"",""ลำปาง!J421"")"),0)</f>
        <v>0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IFERROR(__xludf.DUMMYFUNCTION("IMPORTRANGE(""https://docs.google.com/spreadsheets/d/11923uPwbBZFjjGgGUA6NLw09EwE0CqkOc4q9oUmW1yo/edit?usp=sharing"",""ลำปาง!I422"")"),0)</f>
        <v>0</v>
      </c>
      <c r="J527" s="199">
        <f ca="1">IFERROR(__xludf.DUMMYFUNCTION("IMPORTRANGE(""https://docs.google.com/spreadsheets/d/11923uPwbBZFjjGgGUA6NLw09EwE0CqkOc4q9oUmW1yo/edit?usp=sharing"",""ลำปาง!J422"")"),0)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IFERROR(__xludf.DUMMYFUNCTION("IMPORTRANGE(""https://docs.google.com/spreadsheets/d/11923uPwbBZFjjGgGUA6NLw09EwE0CqkOc4q9oUmW1yo/edit?usp=sharing"",""ลำปาง!I423"")"),0)</f>
        <v>0</v>
      </c>
      <c r="J528" s="199">
        <f ca="1">IFERROR(__xludf.DUMMYFUNCTION("IMPORTRANGE(""https://docs.google.com/spreadsheets/d/11923uPwbBZFjjGgGUA6NLw09EwE0CqkOc4q9oUmW1yo/edit?usp=sharing"",""ลำปาง!J423"")"),0)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IFERROR(__xludf.DUMMYFUNCTION("IMPORTRANGE(""https://docs.google.com/spreadsheets/d/11923uPwbBZFjjGgGUA6NLw09EwE0CqkOc4q9oUmW1yo/edit?usp=sharing"",""ลำปาง!I424"")"),0)</f>
        <v>0</v>
      </c>
      <c r="J529" s="199">
        <f ca="1">IFERROR(__xludf.DUMMYFUNCTION("IMPORTRANGE(""https://docs.google.com/spreadsheets/d/11923uPwbBZFjjGgGUA6NLw09EwE0CqkOc4q9oUmW1yo/edit?usp=sharing"",""ลำปาง!J424"")"),0)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IFERROR(__xludf.DUMMYFUNCTION("IMPORTRANGE(""https://docs.google.com/spreadsheets/d/11923uPwbBZFjjGgGUA6NLw09EwE0CqkOc4q9oUmW1yo/edit?usp=sharing"",""ลำปาง!I425"")"),0)</f>
        <v>0</v>
      </c>
      <c r="J530" s="199">
        <f ca="1">IFERROR(__xludf.DUMMYFUNCTION("IMPORTRANGE(""https://docs.google.com/spreadsheets/d/11923uPwbBZFjjGgGUA6NLw09EwE0CqkOc4q9oUmW1yo/edit?usp=sharing"",""ลำปาง!J425"")"),0)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IFERROR(__xludf.DUMMYFUNCTION("IMPORTRANGE(""https://docs.google.com/spreadsheets/d/11923uPwbBZFjjGgGUA6NLw09EwE0CqkOc4q9oUmW1yo/edit?usp=sharing"",""ลำปาง!I426"")"),0)</f>
        <v>0</v>
      </c>
      <c r="J531" s="199">
        <f ca="1">IFERROR(__xludf.DUMMYFUNCTION("IMPORTRANGE(""https://docs.google.com/spreadsheets/d/11923uPwbBZFjjGgGUA6NLw09EwE0CqkOc4q9oUmW1yo/edit?usp=sharing"",""ลำปาง!J426"")"),0)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IFERROR(__xludf.DUMMYFUNCTION("IMPORTRANGE(""https://docs.google.com/spreadsheets/d/11923uPwbBZFjjGgGUA6NLw09EwE0CqkOc4q9oUmW1yo/edit?usp=sharing"",""ลำปาง!I427"")"),0)</f>
        <v>0</v>
      </c>
      <c r="J532" s="468">
        <f ca="1">IFERROR(__xludf.DUMMYFUNCTION("IMPORTRANGE(""https://docs.google.com/spreadsheets/d/11923uPwbBZFjjGgGUA6NLw09EwE0CqkOc4q9oUmW1yo/edit?usp=sharing"",""ลำปาง!J427"")"),0)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IFERROR(__xludf.DUMMYFUNCTION("IMPORTRANGE(""https://docs.google.com/spreadsheets/d/11923uPwbBZFjjGgGUA6NLw09EwE0CqkOc4q9oUmW1yo/edit?usp=sharing"",""ลำปาง!I428"")"),22)</f>
        <v>22</v>
      </c>
      <c r="J533" s="411">
        <f ca="1">IFERROR(__xludf.DUMMYFUNCTION("IMPORTRANGE(""https://docs.google.com/spreadsheets/d/11923uPwbBZFjjGgGUA6NLw09EwE0CqkOc4q9oUmW1yo/edit?usp=sharing"",""ลำปาง!J428"")"),22)</f>
        <v>22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IFERROR(__xludf.DUMMYFUNCTION("IMPORTRANGE(""https://docs.google.com/spreadsheets/d/11923uPwbBZFjjGgGUA6NLw09EwE0CqkOc4q9oUmW1yo/edit?usp=sharing"",""ลำปาง!L428"")"),34340)</f>
        <v>34340</v>
      </c>
      <c r="M533" s="413"/>
      <c r="N533" s="413">
        <f ca="1">IFERROR(__xludf.DUMMYFUNCTION("IMPORTRANGE(""https://docs.google.com/spreadsheets/d/11923uPwbBZFjjGgGUA6NLw09EwE0CqkOc4q9oUmW1yo/edit?usp=sharing"",""ลำปาง!M428"")"),28715.2399999999)</f>
        <v>28715.2399999999</v>
      </c>
      <c r="O533" s="413">
        <f t="shared" ref="O533:O537" ca="1" si="118">+IF(L533&gt;0,N533*100/L533,0)</f>
        <v>83.620384391380014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IFERROR(__xludf.DUMMYFUNCTION("IMPORTRANGE(""https://docs.google.com/spreadsheets/d/11923uPwbBZFjjGgGUA6NLw09EwE0CqkOc4q9oUmW1yo/edit?usp=sharing"",""ลำปาง!L429"")"),0)</f>
        <v>0</v>
      </c>
      <c r="M534" s="166"/>
      <c r="N534" s="170">
        <f ca="1">IFERROR(__xludf.DUMMYFUNCTION("IMPORTRANGE(""https://docs.google.com/spreadsheets/d/11923uPwbBZFjjGgGUA6NLw09EwE0CqkOc4q9oUmW1yo/edit?usp=sharing"",""ลำปาง!M429"")"),0)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IFERROR(__xludf.DUMMYFUNCTION("IMPORTRANGE(""https://docs.google.com/spreadsheets/d/11923uPwbBZFjjGgGUA6NLw09EwE0CqkOc4q9oUmW1yo/edit?usp=sharing"",""ลำปาง!L430"")"),34340)</f>
        <v>34340</v>
      </c>
      <c r="M535" s="167"/>
      <c r="N535" s="170">
        <f ca="1">IFERROR(__xludf.DUMMYFUNCTION("IMPORTRANGE(""https://docs.google.com/spreadsheets/d/11923uPwbBZFjjGgGUA6NLw09EwE0CqkOc4q9oUmW1yo/edit?usp=sharing"",""ลำปาง!M430"")"),28715.2399999999)</f>
        <v>28715.2399999999</v>
      </c>
      <c r="O535" s="170">
        <f t="shared" ca="1" si="118"/>
        <v>83.620384391380014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IFERROR(__xludf.DUMMYFUNCTION("IMPORTRANGE(""https://docs.google.com/spreadsheets/d/11923uPwbBZFjjGgGUA6NLw09EwE0CqkOc4q9oUmW1yo/edit?usp=sharing"",""ลำปาง!L431"")"),0)</f>
        <v>0</v>
      </c>
      <c r="M536" s="170"/>
      <c r="N536" s="170">
        <f ca="1">IFERROR(__xludf.DUMMYFUNCTION("IMPORTRANGE(""https://docs.google.com/spreadsheets/d/11923uPwbBZFjjGgGUA6NLw09EwE0CqkOc4q9oUmW1yo/edit?usp=sharing"",""ลำปาง!M431"")"),0)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IFERROR(__xludf.DUMMYFUNCTION("IMPORTRANGE(""https://docs.google.com/spreadsheets/d/11923uPwbBZFjjGgGUA6NLw09EwE0CqkOc4q9oUmW1yo/edit?usp=sharing"",""ลำปาง!L432"")"),34340)</f>
        <v>34340</v>
      </c>
      <c r="M537" s="170"/>
      <c r="N537" s="170">
        <f ca="1">IFERROR(__xludf.DUMMYFUNCTION("IMPORTRANGE(""https://docs.google.com/spreadsheets/d/11923uPwbBZFjjGgGUA6NLw09EwE0CqkOc4q9oUmW1yo/edit?usp=sharing"",""ลำปาง!M432"")"),28715.2399999999)</f>
        <v>28715.2399999999</v>
      </c>
      <c r="O537" s="170">
        <f t="shared" ca="1" si="118"/>
        <v>83.620384391380014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IFERROR(__xludf.DUMMYFUNCTION("IMPORTRANGE(""https://docs.google.com/spreadsheets/d/11923uPwbBZFjjGgGUA6NLw09EwE0CqkOc4q9oUmW1yo/edit?usp=sharing"",""ลำปาง!M433"")"),18740)</f>
        <v>18740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IFERROR(__xludf.DUMMYFUNCTION("IMPORTRANGE(""https://docs.google.com/spreadsheets/d/11923uPwbBZFjjGgGUA6NLw09EwE0CqkOc4q9oUmW1yo/edit?usp=sharing"",""ลำปาง!M434"")"),0)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IFERROR(__xludf.DUMMYFUNCTION("IMPORTRANGE(""https://docs.google.com/spreadsheets/d/11923uPwbBZFjjGgGUA6NLw09EwE0CqkOc4q9oUmW1yo/edit?usp=sharing"",""ลำปาง!M435"")"),0)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IFERROR(__xludf.DUMMYFUNCTION("IMPORTRANGE(""https://docs.google.com/spreadsheets/d/11923uPwbBZFjjGgGUA6NLw09EwE0CqkOc4q9oUmW1yo/edit?usp=sharing"",""ลำปาง!M436"")"),9975.24)</f>
        <v>9975.24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IFERROR(__xludf.DUMMYFUNCTION("IMPORTRANGE(""https://docs.google.com/spreadsheets/d/11923uPwbBZFjjGgGUA6NLw09EwE0CqkOc4q9oUmW1yo/edit?usp=sharing"",""ลำปาง!J438"")"),0)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IFERROR(__xludf.DUMMYFUNCTION("IMPORTRANGE(""https://docs.google.com/spreadsheets/d/11923uPwbBZFjjGgGUA6NLw09EwE0CqkOc4q9oUmW1yo/edit?usp=sharing"",""ลำปาง!J439"")"),1)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IFERROR(__xludf.DUMMYFUNCTION("IMPORTRANGE(""https://docs.google.com/spreadsheets/d/11923uPwbBZFjjGgGUA6NLw09EwE0CqkOc4q9oUmW1yo/edit?usp=sharing"",""ลำปาง!J440"")"),1)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IFERROR(__xludf.DUMMYFUNCTION("IMPORTRANGE(""https://docs.google.com/spreadsheets/d/11923uPwbBZFjjGgGUA6NLw09EwE0CqkOc4q9oUmW1yo/edit?usp=sharing"",""ลำปาง!J441"")"),1)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IFERROR(__xludf.DUMMYFUNCTION("IMPORTRANGE(""https://docs.google.com/spreadsheets/d/11923uPwbBZFjjGgGUA6NLw09EwE0CqkOc4q9oUmW1yo/edit?usp=sharing"",""ลำปาง!I442"")"),22)</f>
        <v>22</v>
      </c>
      <c r="J547" s="190">
        <f ca="1">IFERROR(__xludf.DUMMYFUNCTION("IMPORTRANGE(""https://docs.google.com/spreadsheets/d/11923uPwbBZFjjGgGUA6NLw09EwE0CqkOc4q9oUmW1yo/edit?usp=sharing"",""ลำปาง!J442"")"),22)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IFERROR(__xludf.DUMMYFUNCTION("IMPORTRANGE(""https://docs.google.com/spreadsheets/d/11923uPwbBZFjjGgGUA6NLw09EwE0CqkOc4q9oUmW1yo/edit?usp=sharing"",""ลำปาง!J166"")"),0)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IFERROR(__xludf.DUMMYFUNCTION("IMPORTRANGE(""https://docs.google.com/spreadsheets/d/11923uPwbBZFjjGgGUA6NLw09EwE0CqkOc4q9oUmW1yo/edit?usp=sharing"",""ลำปาง!J444"")"),1)</f>
        <v>1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IFERROR(__xludf.DUMMYFUNCTION("IMPORTRANGE(""https://docs.google.com/spreadsheets/d/11923uPwbBZFjjGgGUA6NLw09EwE0CqkOc4q9oUmW1yo/edit?usp=sharing"",""ลำปาง!J445"")"),0)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IFERROR(__xludf.DUMMYFUNCTION("IMPORTRANGE(""https://docs.google.com/spreadsheets/d/11923uPwbBZFjjGgGUA6NLw09EwE0CqkOc4q9oUmW1yo/edit?usp=sharing"",""ลำปาง!I446"")"),3000)</f>
        <v>3000</v>
      </c>
      <c r="J551" s="411">
        <f ca="1">IFERROR(__xludf.DUMMYFUNCTION("IMPORTRANGE(""https://docs.google.com/spreadsheets/d/11923uPwbBZFjjGgGUA6NLw09EwE0CqkOc4q9oUmW1yo/edit?usp=sharing"",""ลำปาง!J446"")"),1618)</f>
        <v>1618</v>
      </c>
      <c r="K551" s="412">
        <f ca="1">IF(I551&gt;0,J551*100/I551,0)</f>
        <v>53.93333333333333</v>
      </c>
      <c r="L551" s="413">
        <f ca="1">IFERROR(__xludf.DUMMYFUNCTION("IMPORTRANGE(""https://docs.google.com/spreadsheets/d/11923uPwbBZFjjGgGUA6NLw09EwE0CqkOc4q9oUmW1yo/edit?usp=sharing"",""ลำปาง!L446"")"),188000)</f>
        <v>188000</v>
      </c>
      <c r="M551" s="413"/>
      <c r="N551" s="413">
        <f ca="1">IFERROR(__xludf.DUMMYFUNCTION("IMPORTRANGE(""https://docs.google.com/spreadsheets/d/11923uPwbBZFjjGgGUA6NLw09EwE0CqkOc4q9oUmW1yo/edit?usp=sharing"",""ลำปาง!M446"")"),81968.14)</f>
        <v>81968.14</v>
      </c>
      <c r="O551" s="413">
        <f t="shared" ref="O551:O555" ca="1" si="120">+IF(L551&gt;0,N551*100/L551,0)</f>
        <v>43.600074468085104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IFERROR(__xludf.DUMMYFUNCTION("IMPORTRANGE(""https://docs.google.com/spreadsheets/d/11923uPwbBZFjjGgGUA6NLw09EwE0CqkOc4q9oUmW1yo/edit?usp=sharing"",""ลำปาง!L447"")"),0)</f>
        <v>0</v>
      </c>
      <c r="M552" s="166"/>
      <c r="N552" s="170">
        <f ca="1">IFERROR(__xludf.DUMMYFUNCTION("IMPORTRANGE(""https://docs.google.com/spreadsheets/d/11923uPwbBZFjjGgGUA6NLw09EwE0CqkOc4q9oUmW1yo/edit?usp=sharing"",""ลำปาง!M447"")"),0)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IFERROR(__xludf.DUMMYFUNCTION("IMPORTRANGE(""https://docs.google.com/spreadsheets/d/11923uPwbBZFjjGgGUA6NLw09EwE0CqkOc4q9oUmW1yo/edit?usp=sharing"",""ลำปาง!L448"")"),188000)</f>
        <v>188000</v>
      </c>
      <c r="M553" s="167"/>
      <c r="N553" s="170">
        <f ca="1">IFERROR(__xludf.DUMMYFUNCTION("IMPORTRANGE(""https://docs.google.com/spreadsheets/d/11923uPwbBZFjjGgGUA6NLw09EwE0CqkOc4q9oUmW1yo/edit?usp=sharing"",""ลำปาง!M448"")"),81968.14)</f>
        <v>81968.14</v>
      </c>
      <c r="O553" s="170">
        <f t="shared" ca="1" si="120"/>
        <v>43.600074468085104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IFERROR(__xludf.DUMMYFUNCTION("IMPORTRANGE(""https://docs.google.com/spreadsheets/d/11923uPwbBZFjjGgGUA6NLw09EwE0CqkOc4q9oUmW1yo/edit?usp=sharing"",""ลำปาง!L449"")"),0)</f>
        <v>0</v>
      </c>
      <c r="M554" s="170"/>
      <c r="N554" s="170">
        <f ca="1">IFERROR(__xludf.DUMMYFUNCTION("IMPORTRANGE(""https://docs.google.com/spreadsheets/d/11923uPwbBZFjjGgGUA6NLw09EwE0CqkOc4q9oUmW1yo/edit?usp=sharing"",""ลำปาง!M449"")"),0)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IFERROR(__xludf.DUMMYFUNCTION("IMPORTRANGE(""https://docs.google.com/spreadsheets/d/11923uPwbBZFjjGgGUA6NLw09EwE0CqkOc4q9oUmW1yo/edit?usp=sharing"",""ลำปาง!L450"")"),188000)</f>
        <v>188000</v>
      </c>
      <c r="M555" s="170"/>
      <c r="N555" s="170">
        <f ca="1">IFERROR(__xludf.DUMMYFUNCTION("IMPORTRANGE(""https://docs.google.com/spreadsheets/d/11923uPwbBZFjjGgGUA6NLw09EwE0CqkOc4q9oUmW1yo/edit?usp=sharing"",""ลำปาง!M450"")"),81968.14)</f>
        <v>81968.14</v>
      </c>
      <c r="O555" s="170">
        <f t="shared" ca="1" si="120"/>
        <v>43.600074468085104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IFERROR(__xludf.DUMMYFUNCTION("IMPORTRANGE(""https://docs.google.com/spreadsheets/d/11923uPwbBZFjjGgGUA6NLw09EwE0CqkOc4q9oUmW1yo/edit?usp=sharing"",""ลำปาง!M451"")"),0)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IFERROR(__xludf.DUMMYFUNCTION("IMPORTRANGE(""https://docs.google.com/spreadsheets/d/11923uPwbBZFjjGgGUA6NLw09EwE0CqkOc4q9oUmW1yo/edit?usp=sharing"",""ลำปาง!M452"")"),0)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IFERROR(__xludf.DUMMYFUNCTION("IMPORTRANGE(""https://docs.google.com/spreadsheets/d/11923uPwbBZFjjGgGUA6NLw09EwE0CqkOc4q9oUmW1yo/edit?usp=sharing"",""ลำปาง!M453"")"),28035)</f>
        <v>28035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IFERROR(__xludf.DUMMYFUNCTION("IMPORTRANGE(""https://docs.google.com/spreadsheets/d/11923uPwbBZFjjGgGUA6NLw09EwE0CqkOc4q9oUmW1yo/edit?usp=sharing"",""ลำปาง!M454"")"),53933.14)</f>
        <v>53933.14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IFERROR(__xludf.DUMMYFUNCTION("IMPORTRANGE(""https://docs.google.com/spreadsheets/d/11923uPwbBZFjjGgGUA6NLw09EwE0CqkOc4q9oUmW1yo/edit?usp=sharing"",""ลำปาง!I455"")"),3000)</f>
        <v>3000</v>
      </c>
      <c r="J560" s="164">
        <f ca="1">IFERROR(__xludf.DUMMYFUNCTION("IMPORTRANGE(""https://docs.google.com/spreadsheets/d/11923uPwbBZFjjGgGUA6NLw09EwE0CqkOc4q9oUmW1yo/edit?usp=sharing"",""ลำปาง!J455"")"),1618)</f>
        <v>1618</v>
      </c>
      <c r="K560" s="225">
        <f t="shared" ref="K560:K561" ca="1" si="121">IF(I560&gt;0,J560*100/I560,0)</f>
        <v>53.93333333333333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IFERROR(__xludf.DUMMYFUNCTION("IMPORTRANGE(""https://docs.google.com/spreadsheets/d/11923uPwbBZFjjGgGUA6NLw09EwE0CqkOc4q9oUmW1yo/edit?usp=sharing"",""ลำปาง!I456"")"),0)</f>
        <v>0</v>
      </c>
      <c r="J561" s="205">
        <f ca="1">IFERROR(__xludf.DUMMYFUNCTION("IMPORTRANGE(""https://docs.google.com/spreadsheets/d/11923uPwbBZFjjGgGUA6NLw09EwE0CqkOc4q9oUmW1yo/edit?usp=sharing"",""ลำปาง!J456"")"),217)</f>
        <v>217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IFERROR(__xludf.DUMMYFUNCTION("IMPORTRANGE(""https://docs.google.com/spreadsheets/d/11923uPwbBZFjjGgGUA6NLw09EwE0CqkOc4q9oUmW1yo/edit?usp=sharing"",""ลำปาง!I459"")"),1800)</f>
        <v>1800</v>
      </c>
      <c r="J564" s="372">
        <f ca="1">IFERROR(__xludf.DUMMYFUNCTION("IMPORTRANGE(""https://docs.google.com/spreadsheets/d/11923uPwbBZFjjGgGUA6NLw09EwE0CqkOc4q9oUmW1yo/edit?usp=sharing"",""ลำปาง!J459"")"),1464)</f>
        <v>1464</v>
      </c>
      <c r="K564" s="373">
        <f ca="1">IF(I564&gt;0,J564*100/I564,0)</f>
        <v>81.333333333333329</v>
      </c>
      <c r="L564" s="374">
        <f ca="1">IFERROR(__xludf.DUMMYFUNCTION("IMPORTRANGE(""https://docs.google.com/spreadsheets/d/11923uPwbBZFjjGgGUA6NLw09EwE0CqkOc4q9oUmW1yo/edit?usp=sharing"",""ลำปาง!L459"")"),145040)</f>
        <v>145040</v>
      </c>
      <c r="M564" s="374"/>
      <c r="N564" s="374">
        <f ca="1">IFERROR(__xludf.DUMMYFUNCTION("IMPORTRANGE(""https://docs.google.com/spreadsheets/d/11923uPwbBZFjjGgGUA6NLw09EwE0CqkOc4q9oUmW1yo/edit?usp=sharing"",""ลำปาง!M459"")"),71786.68)</f>
        <v>71786.679999999993</v>
      </c>
      <c r="O564" s="374">
        <f t="shared" ref="O564:O568" ca="1" si="122">+IF(L564&gt;0,N564*100/L564,0)</f>
        <v>49.494401544401541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IFERROR(__xludf.DUMMYFUNCTION("IMPORTRANGE(""https://docs.google.com/spreadsheets/d/11923uPwbBZFjjGgGUA6NLw09EwE0CqkOc4q9oUmW1yo/edit?usp=sharing"",""ลำปาง!L460"")"),0)</f>
        <v>0</v>
      </c>
      <c r="M565" s="166"/>
      <c r="N565" s="170">
        <f ca="1">IFERROR(__xludf.DUMMYFUNCTION("IMPORTRANGE(""https://docs.google.com/spreadsheets/d/11923uPwbBZFjjGgGUA6NLw09EwE0CqkOc4q9oUmW1yo/edit?usp=sharing"",""ลำปาง!M460"")"),0)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IFERROR(__xludf.DUMMYFUNCTION("IMPORTRANGE(""https://docs.google.com/spreadsheets/d/11923uPwbBZFjjGgGUA6NLw09EwE0CqkOc4q9oUmW1yo/edit?usp=sharing"",""ลำปาง!L461"")"),145040)</f>
        <v>145040</v>
      </c>
      <c r="M566" s="167"/>
      <c r="N566" s="170">
        <f ca="1">IFERROR(__xludf.DUMMYFUNCTION("IMPORTRANGE(""https://docs.google.com/spreadsheets/d/11923uPwbBZFjjGgGUA6NLw09EwE0CqkOc4q9oUmW1yo/edit?usp=sharing"",""ลำปาง!M461"")"),71786.68)</f>
        <v>71786.679999999993</v>
      </c>
      <c r="O566" s="170">
        <f t="shared" ca="1" si="122"/>
        <v>49.494401544401541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IFERROR(__xludf.DUMMYFUNCTION("IMPORTRANGE(""https://docs.google.com/spreadsheets/d/11923uPwbBZFjjGgGUA6NLw09EwE0CqkOc4q9oUmW1yo/edit?usp=sharing"",""ลำปาง!L462"")"),0)</f>
        <v>0</v>
      </c>
      <c r="M567" s="170"/>
      <c r="N567" s="170">
        <f ca="1">IFERROR(__xludf.DUMMYFUNCTION("IMPORTRANGE(""https://docs.google.com/spreadsheets/d/11923uPwbBZFjjGgGUA6NLw09EwE0CqkOc4q9oUmW1yo/edit?usp=sharing"",""ลำปาง!M462"")"),0)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IFERROR(__xludf.DUMMYFUNCTION("IMPORTRANGE(""https://docs.google.com/spreadsheets/d/11923uPwbBZFjjGgGUA6NLw09EwE0CqkOc4q9oUmW1yo/edit?usp=sharing"",""ลำปาง!L463"")"),145040)</f>
        <v>145040</v>
      </c>
      <c r="M568" s="170"/>
      <c r="N568" s="170">
        <f ca="1">IFERROR(__xludf.DUMMYFUNCTION("IMPORTRANGE(""https://docs.google.com/spreadsheets/d/11923uPwbBZFjjGgGUA6NLw09EwE0CqkOc4q9oUmW1yo/edit?usp=sharing"",""ลำปาง!M463"")"),71786.68)</f>
        <v>71786.679999999993</v>
      </c>
      <c r="O568" s="170">
        <f t="shared" ca="1" si="122"/>
        <v>49.494401544401541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IFERROR(__xludf.DUMMYFUNCTION("IMPORTRANGE(""https://docs.google.com/spreadsheets/d/11923uPwbBZFjjGgGUA6NLw09EwE0CqkOc4q9oUmW1yo/edit?usp=sharing"",""ลำปาง!M464"")"),0)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IFERROR(__xludf.DUMMYFUNCTION("IMPORTRANGE(""https://docs.google.com/spreadsheets/d/11923uPwbBZFjjGgGUA6NLw09EwE0CqkOc4q9oUmW1yo/edit?usp=sharing"",""ลำปาง!M465"")"),0)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IFERROR(__xludf.DUMMYFUNCTION("IMPORTRANGE(""https://docs.google.com/spreadsheets/d/11923uPwbBZFjjGgGUA6NLw09EwE0CqkOc4q9oUmW1yo/edit?usp=sharing"",""ลำปาง!M466"")"),43266.68)</f>
        <v>43266.68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IFERROR(__xludf.DUMMYFUNCTION("IMPORTRANGE(""https://docs.google.com/spreadsheets/d/11923uPwbBZFjjGgGUA6NLw09EwE0CqkOc4q9oUmW1yo/edit?usp=sharing"",""ลำปาง!M467"")"),28520)</f>
        <v>28520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IFERROR(__xludf.DUMMYFUNCTION("IMPORTRANGE(""https://docs.google.com/spreadsheets/d/11923uPwbBZFjjGgGUA6NLw09EwE0CqkOc4q9oUmW1yo/edit?usp=sharing"",""ลำปาง!I468"")"),1800)</f>
        <v>1800</v>
      </c>
      <c r="J573" s="422">
        <f ca="1">IFERROR(__xludf.DUMMYFUNCTION("IMPORTRANGE(""https://docs.google.com/spreadsheets/d/11923uPwbBZFjjGgGUA6NLw09EwE0CqkOc4q9oUmW1yo/edit?usp=sharing"",""ลำปาง!J468"")"),1464)</f>
        <v>1464</v>
      </c>
      <c r="K573" s="203">
        <f ca="1">IF(I573&gt;0,J573*100/I573,0)</f>
        <v>81.333333333333329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IFERROR(__xludf.DUMMYFUNCTION("IMPORTRANGE(""https://docs.google.com/spreadsheets/d/11923uPwbBZFjjGgGUA6NLw09EwE0CqkOc4q9oUmW1yo/edit?usp=sharing"",""ลำปาง!I470"")"),0)</f>
        <v>0</v>
      </c>
      <c r="J575" s="199">
        <f ca="1">IFERROR(__xludf.DUMMYFUNCTION("IMPORTRANGE(""https://docs.google.com/spreadsheets/d/11923uPwbBZFjjGgGUA6NLw09EwE0CqkOc4q9oUmW1yo/edit?usp=sharing"",""ลำปาง!J470"")"),2)</f>
        <v>2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IFERROR(__xludf.DUMMYFUNCTION("IMPORTRANGE(""https://docs.google.com/spreadsheets/d/11923uPwbBZFjjGgGUA6NLw09EwE0CqkOc4q9oUmW1yo/edit?usp=sharing"",""ลำปาง!I471"")"),0)</f>
        <v>0</v>
      </c>
      <c r="J576" s="199">
        <f ca="1">IFERROR(__xludf.DUMMYFUNCTION("IMPORTRANGE(""https://docs.google.com/spreadsheets/d/11923uPwbBZFjjGgGUA6NLw09EwE0CqkOc4q9oUmW1yo/edit?usp=sharing"",""ลำปาง!J471"")"),171)</f>
        <v>171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IFERROR(__xludf.DUMMYFUNCTION("IMPORTRANGE(""https://docs.google.com/spreadsheets/d/11923uPwbBZFjjGgGUA6NLw09EwE0CqkOc4q9oUmW1yo/edit?usp=sharing"",""ลำปาง!I472"")"),0)</f>
        <v>0</v>
      </c>
      <c r="J577" s="190">
        <f ca="1">IFERROR(__xludf.DUMMYFUNCTION("IMPORTRANGE(""https://docs.google.com/spreadsheets/d/11923uPwbBZFjjGgGUA6NLw09EwE0CqkOc4q9oUmW1yo/edit?usp=sharing"",""ลำปาง!J472"")"),1293)</f>
        <v>1293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IFERROR(__xludf.DUMMYFUNCTION("IMPORTRANGE(""https://docs.google.com/spreadsheets/d/11923uPwbBZFjjGgGUA6NLw09EwE0CqkOc4q9oUmW1yo/edit?usp=sharing"",""ลำปาง!I473"")"),0)</f>
        <v>0</v>
      </c>
      <c r="J578" s="199">
        <f ca="1">IFERROR(__xludf.DUMMYFUNCTION("IMPORTRANGE(""https://docs.google.com/spreadsheets/d/11923uPwbBZFjjGgGUA6NLw09EwE0CqkOc4q9oUmW1yo/edit?usp=sharing"",""ลำปาง!J473"")"),0)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IFERROR(__xludf.DUMMYFUNCTION("IMPORTRANGE(""https://docs.google.com/spreadsheets/d/11923uPwbBZFjjGgGUA6NLw09EwE0CqkOc4q9oUmW1yo/edit?usp=sharing"",""ลำปาง!I474"")"),0)</f>
        <v>0</v>
      </c>
      <c r="J579" s="199">
        <f ca="1">IFERROR(__xludf.DUMMYFUNCTION("IMPORTRANGE(""https://docs.google.com/spreadsheets/d/11923uPwbBZFjjGgGUA6NLw09EwE0CqkOc4q9oUmW1yo/edit?usp=sharing"",""ลำปาง!J474"")"),0)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IFERROR(__xludf.DUMMYFUNCTION("IMPORTRANGE(""https://docs.google.com/spreadsheets/d/11923uPwbBZFjjGgGUA6NLw09EwE0CqkOc4q9oUmW1yo/edit?usp=sharing"",""ลำปาง!I475"")"),5)</f>
        <v>5</v>
      </c>
      <c r="J580" s="372">
        <f ca="1">IFERROR(__xludf.DUMMYFUNCTION("IMPORTRANGE(""https://docs.google.com/spreadsheets/d/11923uPwbBZFjjGgGUA6NLw09EwE0CqkOc4q9oUmW1yo/edit?usp=sharing"",""ลำปาง!J475"")"),4)</f>
        <v>4</v>
      </c>
      <c r="K580" s="373">
        <f ca="1">IF(I580&gt;0,J580*100/I580,0)</f>
        <v>80</v>
      </c>
      <c r="L580" s="374">
        <f ca="1">IFERROR(__xludf.DUMMYFUNCTION("IMPORTRANGE(""https://docs.google.com/spreadsheets/d/11923uPwbBZFjjGgGUA6NLw09EwE0CqkOc4q9oUmW1yo/edit?usp=sharing"",""ลำปาง!L475"")"),130655)</f>
        <v>130655</v>
      </c>
      <c r="M580" s="374"/>
      <c r="N580" s="374">
        <f ca="1">IFERROR(__xludf.DUMMYFUNCTION("IMPORTRANGE(""https://docs.google.com/spreadsheets/d/11923uPwbBZFjjGgGUA6NLw09EwE0CqkOc4q9oUmW1yo/edit?usp=sharing"",""ลำปาง!M475"")"),0)</f>
        <v>0</v>
      </c>
      <c r="O580" s="374">
        <f t="shared" ref="O580:O584" ca="1" si="124">+IF(L580&gt;0,N580*100/L580,0)</f>
        <v>0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IFERROR(__xludf.DUMMYFUNCTION("IMPORTRANGE(""https://docs.google.com/spreadsheets/d/11923uPwbBZFjjGgGUA6NLw09EwE0CqkOc4q9oUmW1yo/edit?usp=sharing"",""ลำปาง!L476"")"),0)</f>
        <v>0</v>
      </c>
      <c r="M581" s="166"/>
      <c r="N581" s="170">
        <f ca="1">IFERROR(__xludf.DUMMYFUNCTION("IMPORTRANGE(""https://docs.google.com/spreadsheets/d/11923uPwbBZFjjGgGUA6NLw09EwE0CqkOc4q9oUmW1yo/edit?usp=sharing"",""ลำปาง!M476"")"),0)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IFERROR(__xludf.DUMMYFUNCTION("IMPORTRANGE(""https://docs.google.com/spreadsheets/d/11923uPwbBZFjjGgGUA6NLw09EwE0CqkOc4q9oUmW1yo/edit?usp=sharing"",""ลำปาง!L477"")"),130655)</f>
        <v>130655</v>
      </c>
      <c r="M582" s="167"/>
      <c r="N582" s="170">
        <f ca="1">IFERROR(__xludf.DUMMYFUNCTION("IMPORTRANGE(""https://docs.google.com/spreadsheets/d/11923uPwbBZFjjGgGUA6NLw09EwE0CqkOc4q9oUmW1yo/edit?usp=sharing"",""ลำปาง!M477"")"),0)</f>
        <v>0</v>
      </c>
      <c r="O582" s="170">
        <f t="shared" ca="1" si="124"/>
        <v>0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IFERROR(__xludf.DUMMYFUNCTION("IMPORTRANGE(""https://docs.google.com/spreadsheets/d/11923uPwbBZFjjGgGUA6NLw09EwE0CqkOc4q9oUmW1yo/edit?usp=sharing"",""ลำปาง!L478"")"),0)</f>
        <v>0</v>
      </c>
      <c r="M583" s="170"/>
      <c r="N583" s="170">
        <f ca="1">IFERROR(__xludf.DUMMYFUNCTION("IMPORTRANGE(""https://docs.google.com/spreadsheets/d/11923uPwbBZFjjGgGUA6NLw09EwE0CqkOc4q9oUmW1yo/edit?usp=sharing"",""ลำปาง!M478"")"),0)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IFERROR(__xludf.DUMMYFUNCTION("IMPORTRANGE(""https://docs.google.com/spreadsheets/d/11923uPwbBZFjjGgGUA6NLw09EwE0CqkOc4q9oUmW1yo/edit?usp=sharing"",""ลำปาง!L479"")"),130655)</f>
        <v>130655</v>
      </c>
      <c r="M584" s="170"/>
      <c r="N584" s="170">
        <f ca="1">IFERROR(__xludf.DUMMYFUNCTION("IMPORTRANGE(""https://docs.google.com/spreadsheets/d/11923uPwbBZFjjGgGUA6NLw09EwE0CqkOc4q9oUmW1yo/edit?usp=sharing"",""ลำปาง!M479"")"),0)</f>
        <v>0</v>
      </c>
      <c r="O584" s="170">
        <f t="shared" ca="1" si="124"/>
        <v>0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IFERROR(__xludf.DUMMYFUNCTION("IMPORTRANGE(""https://docs.google.com/spreadsheets/d/11923uPwbBZFjjGgGUA6NLw09EwE0CqkOc4q9oUmW1yo/edit?usp=sharing"",""ลำปาง!M480"")"),0)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IFERROR(__xludf.DUMMYFUNCTION("IMPORTRANGE(""https://docs.google.com/spreadsheets/d/11923uPwbBZFjjGgGUA6NLw09EwE0CqkOc4q9oUmW1yo/edit?usp=sharing"",""ลำปาง!M481"")"),0)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IFERROR(__xludf.DUMMYFUNCTION("IMPORTRANGE(""https://docs.google.com/spreadsheets/d/11923uPwbBZFjjGgGUA6NLw09EwE0CqkOc4q9oUmW1yo/edit?usp=sharing"",""ลำปาง!M482"")"),0)</f>
        <v>0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IFERROR(__xludf.DUMMYFUNCTION("IMPORTRANGE(""https://docs.google.com/spreadsheets/d/11923uPwbBZFjjGgGUA6NLw09EwE0CqkOc4q9oUmW1yo/edit?usp=sharing"",""ลำปาง!M483"")"),0)</f>
        <v>0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IFERROR(__xludf.DUMMYFUNCTION("IMPORTRANGE(""https://docs.google.com/spreadsheets/d/11923uPwbBZFjjGgGUA6NLw09EwE0CqkOc4q9oUmW1yo/edit?usp=sharing"",""ลำปาง!I484"")"),5)</f>
        <v>5</v>
      </c>
      <c r="J589" s="189">
        <f ca="1">IFERROR(__xludf.DUMMYFUNCTION("IMPORTRANGE(""https://docs.google.com/spreadsheets/d/11923uPwbBZFjjGgGUA6NLw09EwE0CqkOc4q9oUmW1yo/edit?usp=sharing"",""ลำปาง!J484"")"),7)</f>
        <v>7</v>
      </c>
      <c r="K589" s="165">
        <f t="shared" ref="K589:K596" ca="1" si="125">IF(I589&gt;0,J589*100/I589,0)</f>
        <v>140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IFERROR(__xludf.DUMMYFUNCTION("IMPORTRANGE(""https://docs.google.com/spreadsheets/d/11923uPwbBZFjjGgGUA6NLw09EwE0CqkOc4q9oUmW1yo/edit?usp=sharing"",""ลำปาง!I485"")"),0)</f>
        <v>0</v>
      </c>
      <c r="J590" s="189">
        <f ca="1">IFERROR(__xludf.DUMMYFUNCTION("IMPORTRANGE(""https://docs.google.com/spreadsheets/d/11923uPwbBZFjjGgGUA6NLw09EwE0CqkOc4q9oUmW1yo/edit?usp=sharing"",""ลำปาง!J485"")"),4.37)</f>
        <v>4.37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IFERROR(__xludf.DUMMYFUNCTION("IMPORTRANGE(""https://docs.google.com/spreadsheets/d/11923uPwbBZFjjGgGUA6NLw09EwE0CqkOc4q9oUmW1yo/edit?usp=sharing"",""ลำปาง!I486"")"),5)</f>
        <v>5</v>
      </c>
      <c r="J591" s="189">
        <f ca="1">IFERROR(__xludf.DUMMYFUNCTION("IMPORTRANGE(""https://docs.google.com/spreadsheets/d/11923uPwbBZFjjGgGUA6NLw09EwE0CqkOc4q9oUmW1yo/edit?usp=sharing"",""ลำปาง!J486"")"),4)</f>
        <v>4</v>
      </c>
      <c r="K591" s="165">
        <f t="shared" ca="1" si="125"/>
        <v>80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IFERROR(__xludf.DUMMYFUNCTION("IMPORTRANGE(""https://docs.google.com/spreadsheets/d/11923uPwbBZFjjGgGUA6NLw09EwE0CqkOc4q9oUmW1yo/edit?usp=sharing"",""ลำปาง!I487"")"),0)</f>
        <v>0</v>
      </c>
      <c r="J592" s="189">
        <f ca="1">IFERROR(__xludf.DUMMYFUNCTION("IMPORTRANGE(""https://docs.google.com/spreadsheets/d/11923uPwbBZFjjGgGUA6NLw09EwE0CqkOc4q9oUmW1yo/edit?usp=sharing"",""ลำปาง!J487"")"),3.23)</f>
        <v>3.23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IFERROR(__xludf.DUMMYFUNCTION("IMPORTRANGE(""https://docs.google.com/spreadsheets/d/11923uPwbBZFjjGgGUA6NLw09EwE0CqkOc4q9oUmW1yo/edit?usp=sharing"",""ลำปาง!I488"")"),5)</f>
        <v>5</v>
      </c>
      <c r="J593" s="189">
        <f ca="1">IFERROR(__xludf.DUMMYFUNCTION("IMPORTRANGE(""https://docs.google.com/spreadsheets/d/11923uPwbBZFjjGgGUA6NLw09EwE0CqkOc4q9oUmW1yo/edit?usp=sharing"",""ลำปาง!J488"")"),0)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IFERROR(__xludf.DUMMYFUNCTION("IMPORTRANGE(""https://docs.google.com/spreadsheets/d/11923uPwbBZFjjGgGUA6NLw09EwE0CqkOc4q9oUmW1yo/edit?usp=sharing"",""ลำปาง!I489"")"),0)</f>
        <v>0</v>
      </c>
      <c r="J594" s="189">
        <f ca="1">IFERROR(__xludf.DUMMYFUNCTION("IMPORTRANGE(""https://docs.google.com/spreadsheets/d/11923uPwbBZFjjGgGUA6NLw09EwE0CqkOc4q9oUmW1yo/edit?usp=sharing"",""ลำปาง!J489"")"),0)</f>
        <v>0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IFERROR(__xludf.DUMMYFUNCTION("IMPORTRANGE(""https://docs.google.com/spreadsheets/d/11923uPwbBZFjjGgGUA6NLw09EwE0CqkOc4q9oUmW1yo/edit?usp=sharing"",""ลำปาง!I490"")"),5)</f>
        <v>5</v>
      </c>
      <c r="J595" s="189">
        <f ca="1">IFERROR(__xludf.DUMMYFUNCTION("IMPORTRANGE(""https://docs.google.com/spreadsheets/d/11923uPwbBZFjjGgGUA6NLw09EwE0CqkOc4q9oUmW1yo/edit?usp=sharing"",""ลำปาง!J490"")"),4)</f>
        <v>4</v>
      </c>
      <c r="K595" s="165">
        <f t="shared" ca="1" si="125"/>
        <v>80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IFERROR(__xludf.DUMMYFUNCTION("IMPORTRANGE(""https://docs.google.com/spreadsheets/d/11923uPwbBZFjjGgGUA6NLw09EwE0CqkOc4q9oUmW1yo/edit?usp=sharing"",""ลำปาง!I491"")"),0)</f>
        <v>0</v>
      </c>
      <c r="J596" s="242">
        <f ca="1">IFERROR(__xludf.DUMMYFUNCTION("IMPORTRANGE(""https://docs.google.com/spreadsheets/d/11923uPwbBZFjjGgGUA6NLw09EwE0CqkOc4q9oUmW1yo/edit?usp=sharing"",""ลำปาง!J491"")"),3.23)</f>
        <v>3.23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IFERROR(__xludf.DUMMYFUNCTION("IMPORTRANGE(""https://docs.google.com/spreadsheets/d/11923uPwbBZFjjGgGUA6NLw09EwE0CqkOc4q9oUmW1yo/edit?usp=sharing"",""ลำปาง!I492"")"),100)</f>
        <v>100</v>
      </c>
      <c r="J597" s="489">
        <f ca="1">IFERROR(__xludf.DUMMYFUNCTION("IMPORTRANGE(""https://docs.google.com/spreadsheets/d/11923uPwbBZFjjGgGUA6NLw09EwE0CqkOc4q9oUmW1yo/edit?usp=sharing"",""ลำปาง!J492"")"),0)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IFERROR(__xludf.DUMMYFUNCTION("IMPORTRANGE(""https://docs.google.com/spreadsheets/d/11923uPwbBZFjjGgGUA6NLw09EwE0CqkOc4q9oUmW1yo/edit?usp=sharing"",""ลำปาง!L492"")"),8900)</f>
        <v>8900</v>
      </c>
      <c r="M597" s="413"/>
      <c r="N597" s="413">
        <f ca="1">IFERROR(__xludf.DUMMYFUNCTION("IMPORTRANGE(""https://docs.google.com/spreadsheets/d/11923uPwbBZFjjGgGUA6NLw09EwE0CqkOc4q9oUmW1yo/edit?usp=sharing"",""ลำปาง!M492"")"),3400)</f>
        <v>3400</v>
      </c>
      <c r="O597" s="413">
        <f t="shared" ref="O597:O601" ca="1" si="126">+IF(L597&gt;0,N597*100/L597,0)</f>
        <v>38.202247191011239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IFERROR(__xludf.DUMMYFUNCTION("IMPORTRANGE(""https://docs.google.com/spreadsheets/d/11923uPwbBZFjjGgGUA6NLw09EwE0CqkOc4q9oUmW1yo/edit?usp=sharing"",""ลำปาง!L493"")"),0)</f>
        <v>0</v>
      </c>
      <c r="M598" s="166"/>
      <c r="N598" s="170">
        <f ca="1">IFERROR(__xludf.DUMMYFUNCTION("IMPORTRANGE(""https://docs.google.com/spreadsheets/d/11923uPwbBZFjjGgGUA6NLw09EwE0CqkOc4q9oUmW1yo/edit?usp=sharing"",""ลำปาง!M493"")"),0)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IFERROR(__xludf.DUMMYFUNCTION("IMPORTRANGE(""https://docs.google.com/spreadsheets/d/11923uPwbBZFjjGgGUA6NLw09EwE0CqkOc4q9oUmW1yo/edit?usp=sharing"",""ลำปาง!L494"")"),8900)</f>
        <v>8900</v>
      </c>
      <c r="M599" s="167"/>
      <c r="N599" s="170">
        <f ca="1">IFERROR(__xludf.DUMMYFUNCTION("IMPORTRANGE(""https://docs.google.com/spreadsheets/d/11923uPwbBZFjjGgGUA6NLw09EwE0CqkOc4q9oUmW1yo/edit?usp=sharing"",""ลำปาง!M494"")"),3400)</f>
        <v>3400</v>
      </c>
      <c r="O599" s="170">
        <f t="shared" ca="1" si="126"/>
        <v>38.202247191011239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IFERROR(__xludf.DUMMYFUNCTION("IMPORTRANGE(""https://docs.google.com/spreadsheets/d/11923uPwbBZFjjGgGUA6NLw09EwE0CqkOc4q9oUmW1yo/edit?usp=sharing"",""ลำปาง!L495"")"),0)</f>
        <v>0</v>
      </c>
      <c r="M600" s="170"/>
      <c r="N600" s="170">
        <f ca="1">IFERROR(__xludf.DUMMYFUNCTION("IMPORTRANGE(""https://docs.google.com/spreadsheets/d/11923uPwbBZFjjGgGUA6NLw09EwE0CqkOc4q9oUmW1yo/edit?usp=sharing"",""ลำปาง!M495"")"),0)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IFERROR(__xludf.DUMMYFUNCTION("IMPORTRANGE(""https://docs.google.com/spreadsheets/d/11923uPwbBZFjjGgGUA6NLw09EwE0CqkOc4q9oUmW1yo/edit?usp=sharing"",""ลำปาง!L496"")"),8900)</f>
        <v>8900</v>
      </c>
      <c r="M601" s="170"/>
      <c r="N601" s="170">
        <f ca="1">IFERROR(__xludf.DUMMYFUNCTION("IMPORTRANGE(""https://docs.google.com/spreadsheets/d/11923uPwbBZFjjGgGUA6NLw09EwE0CqkOc4q9oUmW1yo/edit?usp=sharing"",""ลำปาง!M496"")"),3400)</f>
        <v>3400</v>
      </c>
      <c r="O601" s="170">
        <f t="shared" ca="1" si="126"/>
        <v>38.202247191011239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IFERROR(__xludf.DUMMYFUNCTION("IMPORTRANGE(""https://docs.google.com/spreadsheets/d/11923uPwbBZFjjGgGUA6NLw09EwE0CqkOc4q9oUmW1yo/edit?usp=sharing"",""ลำปาง!M497"")"),0)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IFERROR(__xludf.DUMMYFUNCTION("IMPORTRANGE(""https://docs.google.com/spreadsheets/d/11923uPwbBZFjjGgGUA6NLw09EwE0CqkOc4q9oUmW1yo/edit?usp=sharing"",""ลำปาง!M498"")"),0)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IFERROR(__xludf.DUMMYFUNCTION("IMPORTRANGE(""https://docs.google.com/spreadsheets/d/11923uPwbBZFjjGgGUA6NLw09EwE0CqkOc4q9oUmW1yo/edit?usp=sharing"",""ลำปาง!M499"")"),0)</f>
        <v>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IFERROR(__xludf.DUMMYFUNCTION("IMPORTRANGE(""https://docs.google.com/spreadsheets/d/11923uPwbBZFjjGgGUA6NLw09EwE0CqkOc4q9oUmW1yo/edit?usp=sharing"",""ลำปาง!M500"")"),3400)</f>
        <v>3400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IFERROR(__xludf.DUMMYFUNCTION("IMPORTRANGE(""https://docs.google.com/spreadsheets/d/11923uPwbBZFjjGgGUA6NLw09EwE0CqkOc4q9oUmW1yo/edit?usp=sharing"",""ลำปาง!J502"")"),0)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IFERROR(__xludf.DUMMYFUNCTION("IMPORTRANGE(""https://docs.google.com/spreadsheets/d/11923uPwbBZFjjGgGUA6NLw09EwE0CqkOc4q9oUmW1yo/edit?usp=sharing"",""ลำปาง!J503"")"),1)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IFERROR(__xludf.DUMMYFUNCTION("IMPORTRANGE(""https://docs.google.com/spreadsheets/d/11923uPwbBZFjjGgGUA6NLw09EwE0CqkOc4q9oUmW1yo/edit?usp=sharing"",""ลำปาง!J166"")"),0)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IFERROR(__xludf.DUMMYFUNCTION("IMPORTRANGE(""https://docs.google.com/spreadsheets/d/11923uPwbBZFjjGgGUA6NLw09EwE0CqkOc4q9oUmW1yo/edit?usp=sharing"",""ลำปาง!J166"")"),0)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IFERROR(__xludf.DUMMYFUNCTION("IMPORTRANGE(""https://docs.google.com/spreadsheets/d/11923uPwbBZFjjGgGUA6NLw09EwE0CqkOc4q9oUmW1yo/edit?usp=sharing"",""ลำปาง!I506"")"),100)</f>
        <v>100</v>
      </c>
      <c r="J611" s="164">
        <f ca="1">IFERROR(__xludf.DUMMYFUNCTION("IMPORTRANGE(""https://docs.google.com/spreadsheets/d/11923uPwbBZFjjGgGUA6NLw09EwE0CqkOc4q9oUmW1yo/edit?usp=sharing"",""ลำปาง!J506"")"),0)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IFERROR(__xludf.DUMMYFUNCTION("IMPORTRANGE(""https://docs.google.com/spreadsheets/d/11923uPwbBZFjjGgGUA6NLw09EwE0CqkOc4q9oUmW1yo/edit?usp=sharing"",""ลำปาง!I507"")"),0)</f>
        <v>0</v>
      </c>
      <c r="J612" s="199">
        <f ca="1">IFERROR(__xludf.DUMMYFUNCTION("IMPORTRANGE(""https://docs.google.com/spreadsheets/d/11923uPwbBZFjjGgGUA6NLw09EwE0CqkOc4q9oUmW1yo/edit?usp=sharing"",""ลำปาง!J507"")"),0)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IFERROR(__xludf.DUMMYFUNCTION("IMPORTRANGE(""https://docs.google.com/spreadsheets/d/11923uPwbBZFjjGgGUA6NLw09EwE0CqkOc4q9oUmW1yo/edit?usp=sharing"",""ลำปาง!I508"")"),0)</f>
        <v>0</v>
      </c>
      <c r="J613" s="199">
        <f ca="1">IFERROR(__xludf.DUMMYFUNCTION("IMPORTRANGE(""https://docs.google.com/spreadsheets/d/11923uPwbBZFjjGgGUA6NLw09EwE0CqkOc4q9oUmW1yo/edit?usp=sharing"",""ลำปาง!J508"")"),0)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IFERROR(__xludf.DUMMYFUNCTION("IMPORTRANGE(""https://docs.google.com/spreadsheets/d/11923uPwbBZFjjGgGUA6NLw09EwE0CqkOc4q9oUmW1yo/edit?usp=sharing"",""ลำปาง!I509"")"),0)</f>
        <v>0</v>
      </c>
      <c r="J614" s="199">
        <f ca="1">IFERROR(__xludf.DUMMYFUNCTION("IMPORTRANGE(""https://docs.google.com/spreadsheets/d/11923uPwbBZFjjGgGUA6NLw09EwE0CqkOc4q9oUmW1yo/edit?usp=sharing"",""ลำปาง!J509"")"),0)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IFERROR(__xludf.DUMMYFUNCTION("IMPORTRANGE(""https://docs.google.com/spreadsheets/d/11923uPwbBZFjjGgGUA6NLw09EwE0CqkOc4q9oUmW1yo/edit?usp=sharing"",""ลำปาง!I510"")"),0)</f>
        <v>0</v>
      </c>
      <c r="J615" s="199">
        <f ca="1">IFERROR(__xludf.DUMMYFUNCTION("IMPORTRANGE(""https://docs.google.com/spreadsheets/d/11923uPwbBZFjjGgGUA6NLw09EwE0CqkOc4q9oUmW1yo/edit?usp=sharing"",""ลำปาง!J510"")"),0)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IFERROR(__xludf.DUMMYFUNCTION("IMPORTRANGE(""https://docs.google.com/spreadsheets/d/11923uPwbBZFjjGgGUA6NLw09EwE0CqkOc4q9oUmW1yo/edit?usp=sharing"",""ลำปาง!I511"")"),0)</f>
        <v>0</v>
      </c>
      <c r="J616" s="199">
        <f ca="1">IFERROR(__xludf.DUMMYFUNCTION("IMPORTRANGE(""https://docs.google.com/spreadsheets/d/11923uPwbBZFjjGgGUA6NLw09EwE0CqkOc4q9oUmW1yo/edit?usp=sharing"",""ลำปาง!J511"")"),0)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IFERROR(__xludf.DUMMYFUNCTION("IMPORTRANGE(""https://docs.google.com/spreadsheets/d/11923uPwbBZFjjGgGUA6NLw09EwE0CqkOc4q9oUmW1yo/edit?usp=sharing"",""ลำปาง!I512"")"),0)</f>
        <v>0</v>
      </c>
      <c r="J617" s="189">
        <f ca="1">IFERROR(__xludf.DUMMYFUNCTION("IMPORTRANGE(""https://docs.google.com/spreadsheets/d/11923uPwbBZFjjGgGUA6NLw09EwE0CqkOc4q9oUmW1yo/edit?usp=sharing"",""ลำปาง!J512"")"),0)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IFERROR(__xludf.DUMMYFUNCTION("IMPORTRANGE(""https://docs.google.com/spreadsheets/d/11923uPwbBZFjjGgGUA6NLw09EwE0CqkOc4q9oUmW1yo/edit?usp=sharing"",""ลำปาง!I513"")"),0)</f>
        <v>0</v>
      </c>
      <c r="J618" s="190">
        <f ca="1">IFERROR(__xludf.DUMMYFUNCTION("IMPORTRANGE(""https://docs.google.com/spreadsheets/d/11923uPwbBZFjjGgGUA6NLw09EwE0CqkOc4q9oUmW1yo/edit?usp=sharing"",""ลำปาง!J513"")"),0)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IFERROR(__xludf.DUMMYFUNCTION("IMPORTRANGE(""https://docs.google.com/spreadsheets/d/11923uPwbBZFjjGgGUA6NLw09EwE0CqkOc4q9oUmW1yo/edit?usp=sharing"",""ลำปาง!I514"")"),0)</f>
        <v>0</v>
      </c>
      <c r="J619" s="190">
        <f ca="1">IFERROR(__xludf.DUMMYFUNCTION("IMPORTRANGE(""https://docs.google.com/spreadsheets/d/11923uPwbBZFjjGgGUA6NLw09EwE0CqkOc4q9oUmW1yo/edit?usp=sharing"",""ลำปาง!J514"")"),0)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IFERROR(__xludf.DUMMYFUNCTION("IMPORTRANGE(""https://docs.google.com/spreadsheets/d/11923uPwbBZFjjGgGUA6NLw09EwE0CqkOc4q9oUmW1yo/edit?usp=sharing"",""ลำปาง!I515"")"),0)</f>
        <v>0</v>
      </c>
      <c r="J620" s="204">
        <f ca="1">IFERROR(__xludf.DUMMYFUNCTION("IMPORTRANGE(""https://docs.google.com/spreadsheets/d/11923uPwbBZFjjGgGUA6NLw09EwE0CqkOc4q9oUmW1yo/edit?usp=sharing"",""ลำปาง!J515"")"),0)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IFERROR(__xludf.DUMMYFUNCTION("IMPORTRANGE(""https://docs.google.com/spreadsheets/d/11923uPwbBZFjjGgGUA6NLw09EwE0CqkOc4q9oUmW1yo/edit?usp=sharing"",""ลำปาง!I516"")"),0)</f>
        <v>0</v>
      </c>
      <c r="J621" s="204">
        <f ca="1">IFERROR(__xludf.DUMMYFUNCTION("IMPORTRANGE(""https://docs.google.com/spreadsheets/d/11923uPwbBZFjjGgGUA6NLw09EwE0CqkOc4q9oUmW1yo/edit?usp=sharing"",""ลำปาง!J516"")"),0)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IFERROR(__xludf.DUMMYFUNCTION("IMPORTRANGE(""https://docs.google.com/spreadsheets/d/11923uPwbBZFjjGgGUA6NLw09EwE0CqkOc4q9oUmW1yo/edit?usp=sharing"",""ลำปาง!I517"")"),0)</f>
        <v>0</v>
      </c>
      <c r="J622" s="190">
        <f ca="1">IFERROR(__xludf.DUMMYFUNCTION("IMPORTRANGE(""https://docs.google.com/spreadsheets/d/11923uPwbBZFjjGgGUA6NLw09EwE0CqkOc4q9oUmW1yo/edit?usp=sharing"",""ลำปาง!J517"")"),0)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IFERROR(__xludf.DUMMYFUNCTION("IMPORTRANGE(""https://docs.google.com/spreadsheets/d/11923uPwbBZFjjGgGUA6NLw09EwE0CqkOc4q9oUmW1yo/edit?usp=sharing"",""ลำปาง!I518"")"),0)</f>
        <v>0</v>
      </c>
      <c r="J623" s="190">
        <f ca="1">IFERROR(__xludf.DUMMYFUNCTION("IMPORTRANGE(""https://docs.google.com/spreadsheets/d/11923uPwbBZFjjGgGUA6NLw09EwE0CqkOc4q9oUmW1yo/edit?usp=sharing"",""ลำปาง!J518"")"),0)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IFERROR(__xludf.DUMMYFUNCTION("IMPORTRANGE(""https://docs.google.com/spreadsheets/d/11923uPwbBZFjjGgGUA6NLw09EwE0CqkOc4q9oUmW1yo/edit?usp=sharing"",""ลำปาง!I519"")"),0)</f>
        <v>0</v>
      </c>
      <c r="J624" s="189">
        <f ca="1">IFERROR(__xludf.DUMMYFUNCTION("IMPORTRANGE(""https://docs.google.com/spreadsheets/d/11923uPwbBZFjjGgGUA6NLw09EwE0CqkOc4q9oUmW1yo/edit?usp=sharing"",""ลำปาง!J519"")"),0)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IFERROR(__xludf.DUMMYFUNCTION("IMPORTRANGE(""https://docs.google.com/spreadsheets/d/11923uPwbBZFjjGgGUA6NLw09EwE0CqkOc4q9oUmW1yo/edit?usp=sharing"",""ลำปาง!I520"")"),0)</f>
        <v>0</v>
      </c>
      <c r="J625" s="190">
        <f ca="1">IFERROR(__xludf.DUMMYFUNCTION("IMPORTRANGE(""https://docs.google.com/spreadsheets/d/11923uPwbBZFjjGgGUA6NLw09EwE0CqkOc4q9oUmW1yo/edit?usp=sharing"",""ลำปาง!J520"")"),0)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IFERROR(__xludf.DUMMYFUNCTION("IMPORTRANGE(""https://docs.google.com/spreadsheets/d/11923uPwbBZFjjGgGUA6NLw09EwE0CqkOc4q9oUmW1yo/edit?usp=sharing"",""ลำปาง!I521"")"),0)</f>
        <v>0</v>
      </c>
      <c r="J626" s="190">
        <f ca="1">IFERROR(__xludf.DUMMYFUNCTION("IMPORTRANGE(""https://docs.google.com/spreadsheets/d/11923uPwbBZFjjGgGUA6NLw09EwE0CqkOc4q9oUmW1yo/edit?usp=sharing"",""ลำปาง!J521"")"),0)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42">
        <f ca="1">IFERROR(__xludf.DUMMYFUNCTION("IMPORTRANGE(""https://docs.google.com/spreadsheets/d/11923uPwbBZFjjGgGUA6NLw09EwE0CqkOc4q9oUmW1yo/edit?usp=sharing"",""ลำปาง!J523"")"),6037320.7)</f>
        <v>6037320.7000000002</v>
      </c>
      <c r="K628" s="343">
        <f t="shared" ref="K628:K635" ca="1" si="129">IF(I628&gt;0,J628*100/I628,0)</f>
        <v>75.085652452066839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IFERROR(__xludf.DUMMYFUNCTION("IMPORTRANGE(""https://docs.google.com/spreadsheets/d/11923uPwbBZFjjGgGUA6NLw09EwE0CqkOc4q9oUmW1yo/edit?usp=sharing"",""ลำปาง!I524"")"),318)</f>
        <v>318</v>
      </c>
      <c r="J629" s="342">
        <f ca="1">IFERROR(__xludf.DUMMYFUNCTION("IMPORTRANGE(""https://docs.google.com/spreadsheets/d/11923uPwbBZFjjGgGUA6NLw09EwE0CqkOc4q9oUmW1yo/edit?usp=sharing"",""ลำปาง!J524"")"),224)</f>
        <v>224</v>
      </c>
      <c r="K629" s="343">
        <f t="shared" ca="1" si="129"/>
        <v>70.440251572327043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IFERROR(__xludf.DUMMYFUNCTION("IMPORTRANGE(""https://docs.google.com/spreadsheets/d/11923uPwbBZFjjGgGUA6NLw09EwE0CqkOc4q9oUmW1yo/edit?usp=sharing"",""ลำปาง!I525"")"),17310.57)</f>
        <v>17310.57</v>
      </c>
      <c r="J630" s="342">
        <f ca="1">IFERROR(__xludf.DUMMYFUNCTION("IMPORTRANGE(""https://docs.google.com/spreadsheets/d/11923uPwbBZFjjGgGUA6NLw09EwE0CqkOc4q9oUmW1yo/edit?usp=sharing"",""ลำปาง!J525"")"),2681.42)</f>
        <v>2681.42</v>
      </c>
      <c r="K630" s="343">
        <f t="shared" ca="1" si="129"/>
        <v>15.490073406017249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IFERROR(__xludf.DUMMYFUNCTION("IMPORTRANGE(""https://docs.google.com/spreadsheets/d/11923uPwbBZFjjGgGUA6NLw09EwE0CqkOc4q9oUmW1yo/edit?usp=sharing"",""ลำปาง!I526"")"),1)</f>
        <v>1</v>
      </c>
      <c r="J631" s="342">
        <f ca="1">IFERROR(__xludf.DUMMYFUNCTION("IMPORTRANGE(""https://docs.google.com/spreadsheets/d/11923uPwbBZFjjGgGUA6NLw09EwE0CqkOc4q9oUmW1yo/edit?usp=sharing"",""ลำปาง!J526"")"),1)</f>
        <v>1</v>
      </c>
      <c r="K631" s="343">
        <f t="shared" ca="1" si="129"/>
        <v>100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IFERROR(__xludf.DUMMYFUNCTION("IMPORTRANGE(""https://docs.google.com/spreadsheets/d/11923uPwbBZFjjGgGUA6NLw09EwE0CqkOc4q9oUmW1yo/edit?usp=sharing"",""ลำปาง!I527"")"),0)</f>
        <v>0</v>
      </c>
      <c r="J632" s="342">
        <f ca="1">IFERROR(__xludf.DUMMYFUNCTION("IMPORTRANGE(""https://docs.google.com/spreadsheets/d/11923uPwbBZFjjGgGUA6NLw09EwE0CqkOc4q9oUmW1yo/edit?usp=sharing"",""ลำปาง!J527"")"),0)</f>
        <v>0</v>
      </c>
      <c r="K632" s="343">
        <f t="shared" ca="1" si="129"/>
        <v>0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IFERROR(__xludf.DUMMYFUNCTION("IMPORTRANGE(""https://docs.google.com/spreadsheets/d/11923uPwbBZFjjGgGUA6NLw09EwE0CqkOc4q9oUmW1yo/edit?usp=sharing"",""ลำปาง!I528"")"),0)</f>
        <v>0</v>
      </c>
      <c r="J633" s="342">
        <f ca="1">IFERROR(__xludf.DUMMYFUNCTION("IMPORTRANGE(""https://docs.google.com/spreadsheets/d/11923uPwbBZFjjGgGUA6NLw09EwE0CqkOc4q9oUmW1yo/edit?usp=sharing"",""ลำปาง!J528"")"),0)</f>
        <v>0</v>
      </c>
      <c r="K633" s="343">
        <f t="shared" ca="1" si="129"/>
        <v>0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IFERROR(__xludf.DUMMYFUNCTION("IMPORTRANGE(""https://docs.google.com/spreadsheets/d/11923uPwbBZFjjGgGUA6NLw09EwE0CqkOc4q9oUmW1yo/edit?usp=sharing"",""ลำปาง!I529"")"),6665000)</f>
        <v>6665000</v>
      </c>
      <c r="J634" s="342">
        <f ca="1">IFERROR(__xludf.DUMMYFUNCTION("IMPORTRANGE(""https://docs.google.com/spreadsheets/d/11923uPwbBZFjjGgGUA6NLw09EwE0CqkOc4q9oUmW1yo/edit?usp=sharing"",""ลำปาง!J529"")"),3860000)</f>
        <v>3860000</v>
      </c>
      <c r="K634" s="343">
        <f t="shared" ca="1" si="129"/>
        <v>57.914478619654915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IFERROR(__xludf.DUMMYFUNCTION("IMPORTRANGE(""https://docs.google.com/spreadsheets/d/11923uPwbBZFjjGgGUA6NLw09EwE0CqkOc4q9oUmW1yo/edit?usp=sharing"",""ลำปาง!I530"")"),173)</f>
        <v>173</v>
      </c>
      <c r="J635" s="506">
        <f ca="1">IFERROR(__xludf.DUMMYFUNCTION("IMPORTRANGE(""https://docs.google.com/spreadsheets/d/11923uPwbBZFjjGgGUA6NLw09EwE0CqkOc4q9oUmW1yo/edit?usp=sharing"",""ลำปาง!J530"")"),121)</f>
        <v>121</v>
      </c>
      <c r="K635" s="488">
        <f t="shared" ca="1" si="129"/>
        <v>69.942196531791907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IFERROR(__xludf.DUMMYFUNCTION("IMPORTRANGE(""https://docs.google.com/spreadsheets/d/11923uPwbBZFjjGgGUA6NLw09EwE0CqkOc4q9oUmW1yo/edit?usp=sharing"",""ลำปาง!J541"")"),0)</f>
        <v>0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IFERROR(__xludf.DUMMYFUNCTION("IMPORTRANGE(""https://docs.google.com/spreadsheets/d/11923uPwbBZFjjGgGUA6NLw09EwE0CqkOc4q9oUmW1yo/edit?usp=sharing"",""ลำปาง!J542"")"),0)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IFERROR(__xludf.DUMMYFUNCTION("IMPORTRANGE(""https://docs.google.com/spreadsheets/d/11923uPwbBZFjjGgGUA6NLw09EwE0CqkOc4q9oUmW1yo/edit?usp=sharing"",""ลำปาง!I543"")"),0)</f>
        <v>0</v>
      </c>
      <c r="J648" s="537">
        <f ca="1">IFERROR(__xludf.DUMMYFUNCTION("IMPORTRANGE(""https://docs.google.com/spreadsheets/d/11923uPwbBZFjjGgGUA6NLw09EwE0CqkOc4q9oUmW1yo/edit?usp=sharing"",""ลำปาง!J543"")"),0)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IFERROR(__xludf.DUMMYFUNCTION("IMPORTRANGE(""https://docs.google.com/spreadsheets/d/11923uPwbBZFjjGgGUA6NLw09EwE0CqkOc4q9oUmW1yo/edit?usp=sharing"",""ลำปาง!L543"")"),0)</f>
        <v>0</v>
      </c>
      <c r="M648" s="522"/>
      <c r="N648" s="539">
        <f ca="1">IFERROR(__xludf.DUMMYFUNCTION("IMPORTRANGE(""https://docs.google.com/spreadsheets/d/11923uPwbBZFjjGgGUA6NLw09EwE0CqkOc4q9oUmW1yo/edit?usp=sharing"",""ลำปาง!M543"")"),0)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IFERROR(__xludf.DUMMYFUNCTION("IMPORTRANGE(""https://docs.google.com/spreadsheets/d/11923uPwbBZFjjGgGUA6NLw09EwE0CqkOc4q9oUmW1yo/edit?usp=sharing"",""ลำปาง!I544"")"),0)</f>
        <v>0</v>
      </c>
      <c r="J649" s="537">
        <f ca="1">IFERROR(__xludf.DUMMYFUNCTION("IMPORTRANGE(""https://docs.google.com/spreadsheets/d/11923uPwbBZFjjGgGUA6NLw09EwE0CqkOc4q9oUmW1yo/edit?usp=sharing"",""ลำปาง!J544"")"),0)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IFERROR(__xludf.DUMMYFUNCTION("IMPORTRANGE(""https://docs.google.com/spreadsheets/d/11923uPwbBZFjjGgGUA6NLw09EwE0CqkOc4q9oUmW1yo/edit?usp=sharing"",""ลำปาง!L544"")"),0)</f>
        <v>0</v>
      </c>
      <c r="M649" s="522"/>
      <c r="N649" s="539">
        <f ca="1">IFERROR(__xludf.DUMMYFUNCTION("IMPORTRANGE(""https://docs.google.com/spreadsheets/d/11923uPwbBZFjjGgGUA6NLw09EwE0CqkOc4q9oUmW1yo/edit?usp=sharing"",""ลำปาง!M544"")"),0)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IFERROR(__xludf.DUMMYFUNCTION("IMPORTRANGE(""https://docs.google.com/spreadsheets/d/11923uPwbBZFjjGgGUA6NLw09EwE0CqkOc4q9oUmW1yo/edit?usp=sharing"",""ลำปาง!I545"")"),0)</f>
        <v>0</v>
      </c>
      <c r="J650" s="537">
        <f ca="1">IFERROR(__xludf.DUMMYFUNCTION("IMPORTRANGE(""https://docs.google.com/spreadsheets/d/11923uPwbBZFjjGgGUA6NLw09EwE0CqkOc4q9oUmW1yo/edit?usp=sharing"",""ลำปาง!J545"")"),0)</f>
        <v>0</v>
      </c>
      <c r="K650" s="538">
        <f t="shared" ca="1" si="131"/>
        <v>0</v>
      </c>
      <c r="L650" s="523">
        <f ca="1">IFERROR(__xludf.DUMMYFUNCTION("IMPORTRANGE(""https://docs.google.com/spreadsheets/d/11923uPwbBZFjjGgGUA6NLw09EwE0CqkOc4q9oUmW1yo/edit?usp=sharing"",""ลำปาง!L545"")"),0)</f>
        <v>0</v>
      </c>
      <c r="M650" s="522"/>
      <c r="N650" s="539">
        <f ca="1">IFERROR(__xludf.DUMMYFUNCTION("IMPORTRANGE(""https://docs.google.com/spreadsheets/d/11923uPwbBZFjjGgGUA6NLw09EwE0CqkOc4q9oUmW1yo/edit?usp=sharing"",""ลำปาง!M545"")"),0)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IFERROR(__xludf.DUMMYFUNCTION("IMPORTRANGE(""https://docs.google.com/spreadsheets/d/11923uPwbBZFjjGgGUA6NLw09EwE0CqkOc4q9oUmW1yo/edit?usp=sharing"",""ลำปาง!I546"")"),0)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IFERROR(__xludf.DUMMYFUNCTION("IMPORTRANGE(""https://docs.google.com/spreadsheets/d/11923uPwbBZFjjGgGUA6NLw09EwE0CqkOc4q9oUmW1yo/edit?usp=sharing"",""ลำปาง!L546"")"),0)</f>
        <v>0</v>
      </c>
      <c r="M651" s="522"/>
      <c r="N651" s="539">
        <f ca="1">IFERROR(__xludf.DUMMYFUNCTION("IMPORTRANGE(""https://docs.google.com/spreadsheets/d/11923uPwbBZFjjGgGUA6NLw09EwE0CqkOc4q9oUmW1yo/edit?usp=sharing"",""ลำปาง!M546"")"),0)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IFERROR(__xludf.DUMMYFUNCTION("IMPORTRANGE(""https://docs.google.com/spreadsheets/d/11923uPwbBZFjjGgGUA6NLw09EwE0CqkOc4q9oUmW1yo/edit?usp=sharing"",""ลำปาง!J547"")"),0)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IFERROR(__xludf.DUMMYFUNCTION("IMPORTRANGE(""https://docs.google.com/spreadsheets/d/11923uPwbBZFjjGgGUA6NLw09EwE0CqkOc4q9oUmW1yo/edit?usp=sharing"",""ลำปาง!J548"")"),0)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IFERROR(__xludf.DUMMYFUNCTION("IMPORTRANGE(""https://docs.google.com/spreadsheets/d/11923uPwbBZFjjGgGUA6NLw09EwE0CqkOc4q9oUmW1yo/edit?usp=sharing"",""ลำปาง!J550"")"),0)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IFERROR(__xludf.DUMMYFUNCTION("IMPORTRANGE(""https://docs.google.com/spreadsheets/d/11923uPwbBZFjjGgGUA6NLw09EwE0CqkOc4q9oUmW1yo/edit?usp=sharing"",""ลำปาง!J551"")"),0)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IFERROR(__xludf.DUMMYFUNCTION("IMPORTRANGE(""https://docs.google.com/spreadsheets/d/11923uPwbBZFjjGgGUA6NLw09EwE0CqkOc4q9oUmW1yo/edit?usp=sharing"",""ลำปาง!J552"")"),0)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IFERROR(__xludf.DUMMYFUNCTION("IMPORTRANGE(""https://docs.google.com/spreadsheets/d/11923uPwbBZFjjGgGUA6NLw09EwE0CqkOc4q9oUmW1yo/edit?usp=sharing"",""ลำปาง!J553"")"),0)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IFERROR(__xludf.DUMMYFUNCTION("IMPORTRANGE(""https://docs.google.com/spreadsheets/d/11923uPwbBZFjjGgGUA6NLw09EwE0CqkOc4q9oUmW1yo/edit?usp=sharing"",""ลำปาง!J554"")"),0)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IFERROR(__xludf.DUMMYFUNCTION("IMPORTRANGE(""https://docs.google.com/spreadsheets/d/11923uPwbBZFjjGgGUA6NLw09EwE0CqkOc4q9oUmW1yo/edit?usp=sharing"",""ลำปาง!J555"")"),0)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IFERROR(__xludf.DUMMYFUNCTION("IMPORTRANGE(""https://docs.google.com/spreadsheets/d/11923uPwbBZFjjGgGUA6NLw09EwE0CqkOc4q9oUmW1yo/edit?usp=sharing"",""ลำปาง!J556"")"),0)</f>
        <v>0</v>
      </c>
      <c r="K661" s="538"/>
      <c r="L661" s="523">
        <f ca="1">IFERROR(__xludf.DUMMYFUNCTION("IMPORTRANGE(""https://docs.google.com/spreadsheets/d/11923uPwbBZFjjGgGUA6NLw09EwE0CqkOc4q9oUmW1yo/edit?usp=sharing"",""ลำปาง!L556"")"),0)</f>
        <v>0</v>
      </c>
      <c r="M661" s="522"/>
      <c r="N661" s="539">
        <f ca="1">IFERROR(__xludf.DUMMYFUNCTION("IMPORTRANGE(""https://docs.google.com/spreadsheets/d/11923uPwbBZFjjGgGUA6NLw09EwE0CqkOc4q9oUmW1yo/edit?usp=sharing"",""ลำปาง!M556"")"),0)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IFERROR(__xludf.DUMMYFUNCTION("IMPORTRANGE(""https://docs.google.com/spreadsheets/d/11923uPwbBZFjjGgGUA6NLw09EwE0CqkOc4q9oUmW1yo/edit?usp=sharing"",""ลำปาง!J557"")"),0)</f>
        <v>0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IFERROR(__xludf.DUMMYFUNCTION("IMPORTRANGE(""https://docs.google.com/spreadsheets/d/11923uPwbBZFjjGgGUA6NLw09EwE0CqkOc4q9oUmW1yo/edit?usp=sharing"",""ลำปาง!I558"")"),0)</f>
        <v>0</v>
      </c>
      <c r="J663" s="537">
        <f ca="1">IFERROR(__xludf.DUMMYFUNCTION("IMPORTRANGE(""https://docs.google.com/spreadsheets/d/11923uPwbBZFjjGgGUA6NLw09EwE0CqkOc4q9oUmW1yo/edit?usp=sharing"",""ลำปาง!J558"")"),0)</f>
        <v>0</v>
      </c>
      <c r="K663" s="538">
        <f ca="1">IF(I663&gt;0,J663*100/I663,0)</f>
        <v>0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IFERROR(__xludf.DUMMYFUNCTION("IMPORTRANGE(""https://docs.google.com/spreadsheets/d/11923uPwbBZFjjGgGUA6NLw09EwE0CqkOc4q9oUmW1yo/edit?usp=sharing"",""ลำปาง!I560"")"),0)</f>
        <v>0</v>
      </c>
      <c r="J665" s="537">
        <f ca="1">IFERROR(__xludf.DUMMYFUNCTION("IMPORTRANGE(""https://docs.google.com/spreadsheets/d/11923uPwbBZFjjGgGUA6NLw09EwE0CqkOc4q9oUmW1yo/edit?usp=sharing"",""ลำปาง!J560"")"),0)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IFERROR(__xludf.DUMMYFUNCTION("IMPORTRANGE(""https://docs.google.com/spreadsheets/d/11923uPwbBZFjjGgGUA6NLw09EwE0CqkOc4q9oUmW1yo/edit?usp=sharing"",""ลำปาง!L560"")"),0)</f>
        <v>0</v>
      </c>
      <c r="M665" s="522"/>
      <c r="N665" s="539">
        <f ca="1">IFERROR(__xludf.DUMMYFUNCTION("IMPORTRANGE(""https://docs.google.com/spreadsheets/d/11923uPwbBZFjjGgGUA6NLw09EwE0CqkOc4q9oUmW1yo/edit?usp=sharing"",""ลำปาง!M560"")"),0)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IFERROR(__xludf.DUMMYFUNCTION("IMPORTRANGE(""https://docs.google.com/spreadsheets/d/11923uPwbBZFjjGgGUA6NLw09EwE0CqkOc4q9oUmW1yo/edit?usp=sharing"",""ลำปาง!J561"")"),0)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IFERROR(__xludf.DUMMYFUNCTION("IMPORTRANGE(""https://docs.google.com/spreadsheets/d/11923uPwbBZFjjGgGUA6NLw09EwE0CqkOc4q9oUmW1yo/edit?usp=sharing"",""ลำปาง!J562"")"),0)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IFERROR(__xludf.DUMMYFUNCTION("IMPORTRANGE(""https://docs.google.com/spreadsheets/d/11923uPwbBZFjjGgGUA6NLw09EwE0CqkOc4q9oUmW1yo/edit?usp=sharing"",""ลำปาง!I563"")"),0)</f>
        <v>0</v>
      </c>
      <c r="J668" s="537">
        <f ca="1">IFERROR(__xludf.DUMMYFUNCTION("IMPORTRANGE(""https://docs.google.com/spreadsheets/d/11923uPwbBZFjjGgGUA6NLw09EwE0CqkOc4q9oUmW1yo/edit?usp=sharing"",""ลำปาง!J563"")"),0)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IFERROR(__xludf.DUMMYFUNCTION("IMPORTRANGE(""https://docs.google.com/spreadsheets/d/11923uPwbBZFjjGgGUA6NLw09EwE0CqkOc4q9oUmW1yo/edit?usp=sharing"",""ลำปาง!L563"")"),0)</f>
        <v>0</v>
      </c>
      <c r="M668" s="522"/>
      <c r="N668" s="539">
        <f ca="1">IFERROR(__xludf.DUMMYFUNCTION("IMPORTRANGE(""https://docs.google.com/spreadsheets/d/11923uPwbBZFjjGgGUA6NLw09EwE0CqkOc4q9oUmW1yo/edit?usp=sharing"",""ลำปาง!M563"")"),0)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IFERROR(__xludf.DUMMYFUNCTION("IMPORTRANGE(""https://docs.google.com/spreadsheets/d/11923uPwbBZFjjGgGUA6NLw09EwE0CqkOc4q9oUmW1yo/edit?usp=sharing"",""ลำปาง!J564"")"),0)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IFERROR(__xludf.DUMMYFUNCTION("IMPORTRANGE(""https://docs.google.com/spreadsheets/d/11923uPwbBZFjjGgGUA6NLw09EwE0CqkOc4q9oUmW1yo/edit?usp=sharing"",""ลำปาง!J565"")"),0)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IFERROR(__xludf.DUMMYFUNCTION("IMPORTRANGE(""https://docs.google.com/spreadsheets/d/11923uPwbBZFjjGgGUA6NLw09EwE0CqkOc4q9oUmW1yo/edit?usp=sharing"",""ลำปาง!I566"")"),0)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IFERROR(__xludf.DUMMYFUNCTION("IMPORTRANGE(""https://docs.google.com/spreadsheets/d/11923uPwbBZFjjGgGUA6NLw09EwE0CqkOc4q9oUmW1yo/edit?usp=sharing"",""ลำปาง!L566"")"),0)</f>
        <v>0</v>
      </c>
      <c r="M671" s="522"/>
      <c r="N671" s="539">
        <f ca="1">IFERROR(__xludf.DUMMYFUNCTION("IMPORTRANGE(""https://docs.google.com/spreadsheets/d/11923uPwbBZFjjGgGUA6NLw09EwE0CqkOc4q9oUmW1yo/edit?usp=sharing"",""ลำปาง!M566"")"),0)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IFERROR(__xludf.DUMMYFUNCTION("IMPORTRANGE(""https://docs.google.com/spreadsheets/d/11923uPwbBZFjjGgGUA6NLw09EwE0CqkOc4q9oUmW1yo/edit?usp=sharing"",""ลำปาง!J567"")"),0)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IFERROR(__xludf.DUMMYFUNCTION("IMPORTRANGE(""https://docs.google.com/spreadsheets/d/11923uPwbBZFjjGgGUA6NLw09EwE0CqkOc4q9oUmW1yo/edit?usp=sharing"",""ลำปาง!J568"")"),0)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IFERROR(__xludf.DUMMYFUNCTION("IMPORTRANGE(""https://docs.google.com/spreadsheets/d/11923uPwbBZFjjGgGUA6NLw09EwE0CqkOc4q9oUmW1yo/edit?usp=sharing"",""ลำปาง!J569"")"),0)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IFERROR(__xludf.DUMMYFUNCTION("IMPORTRANGE(""https://docs.google.com/spreadsheets/d/11923uPwbBZFjjGgGUA6NLw09EwE0CqkOc4q9oUmW1yo/edit?usp=sharing"",""ลำปาง!J570"")"),0)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IFERROR(__xludf.DUMMYFUNCTION("IMPORTRANGE(""https://docs.google.com/spreadsheets/d/11923uPwbBZFjjGgGUA6NLw09EwE0CqkOc4q9oUmW1yo/edit?usp=sharing"",""ลำปาง!J571"")"),0)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IFERROR(__xludf.DUMMYFUNCTION("IMPORTRANGE(""https://docs.google.com/spreadsheets/d/11923uPwbBZFjjGgGUA6NLw09EwE0CqkOc4q9oUmW1yo/edit?usp=sharing"",""ลำปาง!J572"")"),0)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286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6607755</v>
      </c>
      <c r="M8" s="25">
        <f t="shared" ca="1" si="0"/>
        <v>3375670</v>
      </c>
      <c r="N8" s="25">
        <f t="shared" ca="1" si="0"/>
        <v>3520402.92</v>
      </c>
      <c r="O8" s="24">
        <f t="shared" ref="O8:O16" ca="1" si="1">IF(L8&gt;0,N8*100/L8,0)</f>
        <v>53.276837897288864</v>
      </c>
      <c r="P8" s="24">
        <f t="shared" ref="P8:P16" ca="1" si="2">IF(M8&gt;0,N8*100/M8,0)</f>
        <v>104.28753166038149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6607755</v>
      </c>
      <c r="M10" s="32">
        <f t="shared" ca="1" si="4"/>
        <v>3375670</v>
      </c>
      <c r="N10" s="32">
        <f t="shared" ca="1" si="4"/>
        <v>3520402.92</v>
      </c>
      <c r="O10" s="31">
        <f t="shared" ca="1" si="1"/>
        <v>53.276837897288864</v>
      </c>
      <c r="P10" s="31">
        <f t="shared" ca="1" si="2"/>
        <v>104.28753166038149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6358355</v>
      </c>
      <c r="M12" s="41">
        <f t="shared" ca="1" si="6"/>
        <v>3126270</v>
      </c>
      <c r="N12" s="41">
        <f t="shared" ca="1" si="6"/>
        <v>3271002.92</v>
      </c>
      <c r="O12" s="41">
        <f t="shared" ca="1" si="1"/>
        <v>51.444169443197183</v>
      </c>
      <c r="P12" s="41">
        <f t="shared" ca="1" si="2"/>
        <v>104.62957198194654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2233700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4124655</v>
      </c>
      <c r="M14" s="41">
        <f t="shared" si="8"/>
        <v>0</v>
      </c>
      <c r="N14" s="41">
        <f t="shared" ca="1" si="8"/>
        <v>966620</v>
      </c>
      <c r="O14" s="41">
        <f t="shared" ca="1" si="1"/>
        <v>23.435172153792255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249400</v>
      </c>
      <c r="M16" s="41">
        <f t="shared" ca="1" si="10"/>
        <v>249400</v>
      </c>
      <c r="N16" s="41">
        <f t="shared" ca="1" si="10"/>
        <v>249400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4195545</v>
      </c>
      <c r="M18" s="25">
        <f t="shared" ca="1" si="11"/>
        <v>3375670</v>
      </c>
      <c r="N18" s="25">
        <f t="shared" ca="1" si="11"/>
        <v>2553782.92</v>
      </c>
      <c r="O18" s="24">
        <f t="shared" ref="O18:O20" ca="1" si="12">IF(L18&gt;0,N18*100/L18,0)</f>
        <v>60.86891977085218</v>
      </c>
      <c r="P18" s="24">
        <f t="shared" ref="P18:P26" ca="1" si="13">IF(M18&gt;0,N18*100/M18,0)</f>
        <v>75.652623627309538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4195545</v>
      </c>
      <c r="M20" s="32">
        <f t="shared" ca="1" si="15"/>
        <v>3375670</v>
      </c>
      <c r="N20" s="32">
        <f t="shared" ca="1" si="15"/>
        <v>2553782.92</v>
      </c>
      <c r="O20" s="31">
        <f t="shared" ca="1" si="12"/>
        <v>60.86891977085218</v>
      </c>
      <c r="P20" s="31">
        <f t="shared" ca="1" si="13"/>
        <v>75.652623627309538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3946145</v>
      </c>
      <c r="M22" s="44">
        <f t="shared" ca="1" si="18"/>
        <v>3126270</v>
      </c>
      <c r="N22" s="41">
        <f t="shared" ca="1" si="18"/>
        <v>2304382.92</v>
      </c>
      <c r="O22" s="41">
        <f t="shared" ca="1" si="17"/>
        <v>58.395799444774582</v>
      </c>
      <c r="P22" s="41">
        <f t="shared" ca="1" si="13"/>
        <v>73.710297575065496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2233700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1712445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249400</v>
      </c>
      <c r="M26" s="52">
        <f t="shared" ca="1" si="22"/>
        <v>249400</v>
      </c>
      <c r="N26" s="52">
        <f t="shared" ca="1" si="22"/>
        <v>249400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2412210</v>
      </c>
      <c r="M28" s="25">
        <f t="shared" si="23"/>
        <v>0</v>
      </c>
      <c r="N28" s="25">
        <f t="shared" ca="1" si="23"/>
        <v>966620</v>
      </c>
      <c r="O28" s="24">
        <f t="shared" ref="O28:O30" ca="1" si="24">IF(L28&gt;0,N28*100/L28,0)</f>
        <v>40.071967200202302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2412210</v>
      </c>
      <c r="M30" s="32">
        <f t="shared" si="27"/>
        <v>0</v>
      </c>
      <c r="N30" s="32">
        <f t="shared" ca="1" si="27"/>
        <v>966620</v>
      </c>
      <c r="O30" s="31">
        <f t="shared" ca="1" si="24"/>
        <v>40.071967200202302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2412210</v>
      </c>
      <c r="M32" s="41">
        <f t="shared" si="30"/>
        <v>0</v>
      </c>
      <c r="N32" s="41">
        <f t="shared" ca="1" si="30"/>
        <v>966620</v>
      </c>
      <c r="O32" s="41">
        <f t="shared" ca="1" si="29"/>
        <v>40.071967200202302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2412210</v>
      </c>
      <c r="M34" s="41">
        <f t="shared" si="32"/>
        <v>0</v>
      </c>
      <c r="N34" s="41">
        <f t="shared" ca="1" si="32"/>
        <v>966620</v>
      </c>
      <c r="O34" s="41">
        <f t="shared" ca="1" si="29"/>
        <v>40.071967200202302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4195545</v>
      </c>
      <c r="M37" s="57">
        <f t="shared" ca="1" si="33"/>
        <v>3375670</v>
      </c>
      <c r="N37" s="57">
        <f t="shared" ca="1" si="33"/>
        <v>2553782.92</v>
      </c>
      <c r="O37" s="58">
        <f t="shared" ca="1" si="29"/>
        <v>60.86891977085218</v>
      </c>
      <c r="P37" s="58">
        <f t="shared" ca="1" si="25"/>
        <v>75.652623627309538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758700</v>
      </c>
      <c r="M41" s="81">
        <f t="shared" ca="1" si="34"/>
        <v>569000</v>
      </c>
      <c r="N41" s="81">
        <f t="shared" ca="1" si="34"/>
        <v>497143.91</v>
      </c>
      <c r="O41" s="80">
        <f t="shared" ref="O41:O43" ca="1" si="35">IF(L41&gt;0,N41*100/L41,0)</f>
        <v>65.525755898246999</v>
      </c>
      <c r="P41" s="80">
        <f t="shared" ref="P41:P43" ca="1" si="36">IF(M41&gt;0,N41*100/M41,0)</f>
        <v>87.371513181019338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758700</v>
      </c>
      <c r="M43" s="81">
        <f t="shared" ca="1" si="38"/>
        <v>569000</v>
      </c>
      <c r="N43" s="81">
        <f t="shared" ca="1" si="38"/>
        <v>497143.91</v>
      </c>
      <c r="O43" s="80">
        <f t="shared" ca="1" si="35"/>
        <v>65.525755898246999</v>
      </c>
      <c r="P43" s="80">
        <f t="shared" ca="1" si="36"/>
        <v>87.371513181019338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758700</v>
      </c>
      <c r="M45" s="52">
        <f ca="1">IFERROR(__xludf.DUMMYFUNCTION("IMPORTRANGE(""https://docs.google.com/spreadsheets/d/1Yj_ptqi66GCucihVvJfMjLAmec39IyEx_6qawtMGysU/edit?usp=sharing"",""สบก!Q33"")"),569000)</f>
        <v>569000</v>
      </c>
      <c r="N45" s="52">
        <f ca="1">IFERROR(__xludf.DUMMYFUNCTION("IMPORTRANGE(""https://docs.google.com/spreadsheets/d/1Yj_ptqi66GCucihVvJfMjLAmec39IyEx_6qawtMGysU/edit?usp=sharing"",""สบก!R33"")"),497143.91)</f>
        <v>497143.91</v>
      </c>
      <c r="O45" s="41">
        <f ca="1">IF(L45&gt;0,N45*100/L45,0)</f>
        <v>65.525755898246999</v>
      </c>
      <c r="P45" s="41">
        <f ca="1">IF(M45&gt;0,N45*100/M45,0)</f>
        <v>87.371513181019338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IFERROR(__xludf.DUMMYFUNCTION("IMPORTRANGE(""https://docs.google.com/spreadsheets/d/1Yj_ptqi66GCucihVvJfMjLAmec39IyEx_6qawtMGysU/edit?usp=sharing"",""สบก!M33"")"),758700)</f>
        <v>758700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IFERROR(__xludf.DUMMYFUNCTION("IMPORTRANGE(""https://docs.google.com/spreadsheets/d/1Yj_ptqi66GCucihVvJfMjLAmec39IyEx_6qawtMGysU/edit?usp=sharing"",""สบก!N33"")"),0)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IFERROR(__xludf.DUMMYFUNCTION("IMPORTRANGE(""https://docs.google.com/spreadsheets/d/1Yj_ptqi66GCucihVvJfMjLAmec39IyEx_6qawtMGysU/edit?usp=sharing"",""สบก!O33"")"),0)</f>
        <v>0</v>
      </c>
      <c r="M49" s="52"/>
      <c r="N49" s="52">
        <f ca="1">IFERROR(__xludf.DUMMYFUNCTION("IMPORTRANGE(""https://docs.google.com/spreadsheets/d/1Yj_ptqi66GCucihVvJfMjLAmec39IyEx_6qawtMGysU/edit?usp=sharing"",""สบก!S33"")"),0)</f>
        <v>0</v>
      </c>
      <c r="O49" s="52">
        <f ca="1">IF(L49&gt;0,N49*100/L49,0)</f>
        <v>0</v>
      </c>
      <c r="P49" s="52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600000</v>
      </c>
      <c r="M53" s="123">
        <f t="shared" ca="1" si="39"/>
        <v>486050</v>
      </c>
      <c r="N53" s="123">
        <f t="shared" ca="1" si="39"/>
        <v>349281.25</v>
      </c>
      <c r="O53" s="122">
        <f t="shared" ref="O53:O55" ca="1" si="40">IF(L53&gt;0,N53*100/L53,0)</f>
        <v>58.213541666666664</v>
      </c>
      <c r="P53" s="122">
        <f t="shared" ref="P53:P55" ca="1" si="41">IF(M53&gt;0,N53*100/M53,0)</f>
        <v>71.861176833659087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600000</v>
      </c>
      <c r="M55" s="123">
        <f t="shared" ca="1" si="43"/>
        <v>486050</v>
      </c>
      <c r="N55" s="123">
        <f t="shared" ca="1" si="43"/>
        <v>349281.25</v>
      </c>
      <c r="O55" s="122">
        <f t="shared" ca="1" si="40"/>
        <v>58.213541666666664</v>
      </c>
      <c r="P55" s="122">
        <f t="shared" ca="1" si="41"/>
        <v>71.861176833659087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600000</v>
      </c>
      <c r="M57" s="52">
        <f ca="1">IFERROR(__xludf.DUMMYFUNCTION("IMPORTRANGE(""https://docs.google.com/spreadsheets/d/1Yj_ptqi66GCucihVvJfMjLAmec39IyEx_6qawtMGysU/edit?usp=sharing"",""สบก!Z33"")"),486050)</f>
        <v>486050</v>
      </c>
      <c r="N57" s="52">
        <f ca="1">IFERROR(__xludf.DUMMYFUNCTION("IMPORTRANGE(""https://docs.google.com/spreadsheets/d/1Yj_ptqi66GCucihVvJfMjLAmec39IyEx_6qawtMGysU/edit?usp=sharing"",""สบก!AA33"")"),349281.25)</f>
        <v>349281.25</v>
      </c>
      <c r="O57" s="41">
        <f ca="1">IF(L57&gt;0,N57*100/L57,0)</f>
        <v>58.213541666666664</v>
      </c>
      <c r="P57" s="41">
        <f ca="1">IF(M57&gt;0,N57*100/M57,0)</f>
        <v>71.861176833659087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IFERROR(__xludf.DUMMYFUNCTION("IMPORTRANGE(""https://docs.google.com/spreadsheets/d/1Yj_ptqi66GCucihVvJfMjLAmec39IyEx_6qawtMGysU/edit?usp=sharing"",""สบก!V33"")"),600000)</f>
        <v>600000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IFERROR(__xludf.DUMMYFUNCTION("IMPORTRANGE(""https://docs.google.com/spreadsheets/d/1Yj_ptqi66GCucihVvJfMjLAmec39IyEx_6qawtMGysU/edit?usp=sharing"",""สบก!W33"")"),0)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IFERROR(__xludf.DUMMYFUNCTION("IMPORTRANGE(""https://docs.google.com/spreadsheets/d/1Yj_ptqi66GCucihVvJfMjLAmec39IyEx_6qawtMGysU/edit?usp=sharing"",""สบก!X33"")"),0)</f>
        <v>0</v>
      </c>
      <c r="M61" s="52"/>
      <c r="N61" s="52">
        <f ca="1">IFERROR(__xludf.DUMMYFUNCTION("IMPORTRANGE(""https://docs.google.com/spreadsheets/d/1Yj_ptqi66GCucihVvJfMjLAmec39IyEx_6qawtMGysU/edit?usp=sharing"",""สบก!AB33"")"),0)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IFERROR(__xludf.DUMMYFUNCTION("IMPORTRANGE(""https://docs.google.com/spreadsheets/d/11923uPwbBZFjjGgGUA6NLw09EwE0CqkOc4q9oUmW1yo/edit?usp=sharing"",""ลำพูน!I9"")"),1)</f>
        <v>1</v>
      </c>
      <c r="J64" s="144">
        <f ca="1">IFERROR(__xludf.DUMMYFUNCTION("IMPORTRANGE(""https://docs.google.com/spreadsheets/d/11923uPwbBZFjjGgGUA6NLw09EwE0CqkOc4q9oUmW1yo/edit?usp=sharing"",""ลำพูน!J9"")"),1)</f>
        <v>1</v>
      </c>
      <c r="K64" s="145">
        <f t="shared" ref="K64:K65" ca="1" si="44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IFERROR(__xludf.DUMMYFUNCTION("IMPORTRANGE(""https://docs.google.com/spreadsheets/d/11923uPwbBZFjjGgGUA6NLw09EwE0CqkOc4q9oUmW1yo/edit?usp=sharing"",""ลำพูน!I10"")"),35)</f>
        <v>35</v>
      </c>
      <c r="J65" s="144">
        <f ca="1">IFERROR(__xludf.DUMMYFUNCTION("IMPORTRANGE(""https://docs.google.com/spreadsheets/d/11923uPwbBZFjjGgGUA6NLw09EwE0CqkOc4q9oUmW1yo/edit?usp=sharing"",""ลำพูน!J10"")"),35)</f>
        <v>35</v>
      </c>
      <c r="K65" s="145">
        <f t="shared" ca="1" si="44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591400</v>
      </c>
      <c r="M66" s="154">
        <f t="shared" ca="1" si="45"/>
        <v>480720</v>
      </c>
      <c r="N66" s="154">
        <f t="shared" ca="1" si="45"/>
        <v>374363</v>
      </c>
      <c r="O66" s="153">
        <f t="shared" ref="O66:O68" ca="1" si="46">IF(L66&gt;0,N66*100/L66,0)</f>
        <v>63.301149814000674</v>
      </c>
      <c r="P66" s="153">
        <f t="shared" ref="P66:P68" ca="1" si="47">IF(M66&gt;0,N66*100/M66,0)</f>
        <v>77.875478448993178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591400</v>
      </c>
      <c r="M68" s="90">
        <f t="shared" ca="1" si="49"/>
        <v>480720</v>
      </c>
      <c r="N68" s="90">
        <f t="shared" ca="1" si="49"/>
        <v>374363</v>
      </c>
      <c r="O68" s="158">
        <f t="shared" ca="1" si="46"/>
        <v>63.301149814000674</v>
      </c>
      <c r="P68" s="158">
        <f t="shared" ca="1" si="47"/>
        <v>77.875478448993178</v>
      </c>
    </row>
    <row r="69" spans="1:16" ht="21.75" customHeight="1">
      <c r="A69" s="159"/>
      <c r="B69" s="160"/>
      <c r="C69" s="160" t="s">
        <v>16</v>
      </c>
      <c r="D69" s="570" t="s">
        <v>20</v>
      </c>
      <c r="E69" s="565"/>
      <c r="F69" s="565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591400</v>
      </c>
      <c r="M70" s="169">
        <f ca="1">IFERROR(__xludf.DUMMYFUNCTION("IMPORTRANGE(""https://docs.google.com/spreadsheets/d/1Yj_ptqi66GCucihVvJfMjLAmec39IyEx_6qawtMGysU/edit?usp=sharing"",""สบก!AI33"")"),480720)</f>
        <v>480720</v>
      </c>
      <c r="N70" s="170">
        <f ca="1">IFERROR(__xludf.DUMMYFUNCTION("IMPORTRANGE(""https://docs.google.com/spreadsheets/d/1Yj_ptqi66GCucihVvJfMjLAmec39IyEx_6qawtMGysU/edit?usp=sharing"",""สบก!AJ33"")"),374363)</f>
        <v>374363</v>
      </c>
      <c r="O70" s="170">
        <f ca="1">IF(L70&gt;0,N70*100/L70,0)</f>
        <v>63.301149814000674</v>
      </c>
      <c r="P70" s="170">
        <f ca="1">IF(M70&gt;0,N70*100/M70,0)</f>
        <v>77.875478448993178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IFERROR(__xludf.DUMMYFUNCTION("IMPORTRANGE(""https://docs.google.com/spreadsheets/d/1Yj_ptqi66GCucihVvJfMjLAmec39IyEx_6qawtMGysU/edit?usp=sharing"",""สบก!AE33"")"),193400)</f>
        <v>193400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IFERROR(__xludf.DUMMYFUNCTION("IMPORTRANGE(""https://docs.google.com/spreadsheets/d/1Yj_ptqi66GCucihVvJfMjLAmec39IyEx_6qawtMGysU/edit?usp=sharing"",""สบก!AF33"")"),398000)</f>
        <v>398000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IFERROR(__xludf.DUMMYFUNCTION("IMPORTRANGE(""https://docs.google.com/spreadsheets/d/1Yj_ptqi66GCucihVvJfMjLAmec39IyEx_6qawtMGysU/edit?usp=sharing"",""สบก!AG33"")"),0)</f>
        <v>0</v>
      </c>
      <c r="M74" s="52"/>
      <c r="N74" s="52">
        <f ca="1">IFERROR(__xludf.DUMMYFUNCTION("IMPORTRANGE(""https://docs.google.com/spreadsheets/d/1Yj_ptqi66GCucihVvJfMjLAmec39IyEx_6qawtMGysU/edit?usp=sharing"",""สบก!AK33"")"),0)</f>
        <v>0</v>
      </c>
      <c r="O74" s="52">
        <f ca="1">IF(L74&gt;0,N74*100/L74,0)</f>
        <v>0</v>
      </c>
      <c r="P74" s="52"/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IFERROR(__xludf.DUMMYFUNCTION("IMPORTRANGE(""https://docs.google.com/spreadsheets/d/11923uPwbBZFjjGgGUA6NLw09EwE0CqkOc4q9oUmW1yo/edit?usp=sharing"",""ลำพูน!J16"")"),0)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IFERROR(__xludf.DUMMYFUNCTION("IMPORTRANGE(""https://docs.google.com/spreadsheets/d/11923uPwbBZFjjGgGUA6NLw09EwE0CqkOc4q9oUmW1yo/edit?usp=sharing"",""ลำพูน!J17"")"),1)</f>
        <v>1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IFERROR(__xludf.DUMMYFUNCTION("IMPORTRANGE(""https://docs.google.com/spreadsheets/d/11923uPwbBZFjjGgGUA6NLw09EwE0CqkOc4q9oUmW1yo/edit?usp=sharing"",""ลำพูน!J18"")"),1)</f>
        <v>1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IFERROR(__xludf.DUMMYFUNCTION("IMPORTRANGE(""https://docs.google.com/spreadsheets/d/11923uPwbBZFjjGgGUA6NLw09EwE0CqkOc4q9oUmW1yo/edit?usp=sharing"",""ลำพูน!J19"")"),1)</f>
        <v>1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IFERROR(__xludf.DUMMYFUNCTION("IMPORTRANGE(""https://docs.google.com/spreadsheets/d/11923uPwbBZFjjGgGUA6NLw09EwE0CqkOc4q9oUmW1yo/edit?usp=sharing"",""ลำพูน!I20"")"),1)</f>
        <v>1</v>
      </c>
      <c r="J80" s="202">
        <f ca="1">IFERROR(__xludf.DUMMYFUNCTION("IMPORTRANGE(""https://docs.google.com/spreadsheets/d/11923uPwbBZFjjGgGUA6NLw09EwE0CqkOc4q9oUmW1yo/edit?usp=sharing"",""ลำพูน!J20"")"),1)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IFERROR(__xludf.DUMMYFUNCTION("IMPORTRANGE(""https://docs.google.com/spreadsheets/d/11923uPwbBZFjjGgGUA6NLw09EwE0CqkOc4q9oUmW1yo/edit?usp=sharing"",""ลำพูน!I21"")"),35)</f>
        <v>35</v>
      </c>
      <c r="J81" s="202">
        <f ca="1">IFERROR(__xludf.DUMMYFUNCTION("IMPORTRANGE(""https://docs.google.com/spreadsheets/d/11923uPwbBZFjjGgGUA6NLw09EwE0CqkOc4q9oUmW1yo/edit?usp=sharing"",""ลำพูน!J21"")"),35)</f>
        <v>35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IFERROR(__xludf.DUMMYFUNCTION("IMPORTRANGE(""https://docs.google.com/spreadsheets/d/11923uPwbBZFjjGgGUA6NLw09EwE0CqkOc4q9oUmW1yo/edit?usp=sharing"",""ลำพูน!I22"")"),1)</f>
        <v>1</v>
      </c>
      <c r="J82" s="205">
        <f ca="1">IFERROR(__xludf.DUMMYFUNCTION("IMPORTRANGE(""https://docs.google.com/spreadsheets/d/11923uPwbBZFjjGgGUA6NLw09EwE0CqkOc4q9oUmW1yo/edit?usp=sharing"",""ลำพูน!J22"")"),1)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IFERROR(__xludf.DUMMYFUNCTION("IMPORTRANGE(""https://docs.google.com/spreadsheets/d/11923uPwbBZFjjGgGUA6NLw09EwE0CqkOc4q9oUmW1yo/edit?usp=sharing"",""ลำพูน!I23"")"),35)</f>
        <v>35</v>
      </c>
      <c r="J83" s="205">
        <f ca="1">IFERROR(__xludf.DUMMYFUNCTION("IMPORTRANGE(""https://docs.google.com/spreadsheets/d/11923uPwbBZFjjGgGUA6NLw09EwE0CqkOc4q9oUmW1yo/edit?usp=sharing"",""ลำพูน!J23"")"),35)</f>
        <v>35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IFERROR(__xludf.DUMMYFUNCTION("IMPORTRANGE(""https://docs.google.com/spreadsheets/d/11923uPwbBZFjjGgGUA6NLw09EwE0CqkOc4q9oUmW1yo/edit?usp=sharing"",""ลำพูน!I24"")"),0)</f>
        <v>0</v>
      </c>
      <c r="J84" s="190">
        <f ca="1">IFERROR(__xludf.DUMMYFUNCTION("IMPORTRANGE(""https://docs.google.com/spreadsheets/d/11923uPwbBZFjjGgGUA6NLw09EwE0CqkOc4q9oUmW1yo/edit?usp=sharing"",""ลำพูน!J24"")"),0)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IFERROR(__xludf.DUMMYFUNCTION("IMPORTRANGE(""https://docs.google.com/spreadsheets/d/11923uPwbBZFjjGgGUA6NLw09EwE0CqkOc4q9oUmW1yo/edit?usp=sharing"",""ลำพูน!I25"")"),0)</f>
        <v>0</v>
      </c>
      <c r="J85" s="190">
        <f ca="1">IFERROR(__xludf.DUMMYFUNCTION("IMPORTRANGE(""https://docs.google.com/spreadsheets/d/11923uPwbBZFjjGgGUA6NLw09EwE0CqkOc4q9oUmW1yo/edit?usp=sharing"",""ลำพูน!J25"")"),0)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IFERROR(__xludf.DUMMYFUNCTION("IMPORTRANGE(""https://docs.google.com/spreadsheets/d/11923uPwbBZFjjGgGUA6NLw09EwE0CqkOc4q9oUmW1yo/edit?usp=sharing"",""ลำพูน!I26"")"),0)</f>
        <v>0</v>
      </c>
      <c r="J86" s="205">
        <f ca="1">IFERROR(__xludf.DUMMYFUNCTION("IMPORTRANGE(""https://docs.google.com/spreadsheets/d/11923uPwbBZFjjGgGUA6NLw09EwE0CqkOc4q9oUmW1yo/edit?usp=sharing"",""ลำพูน!J26"")"),0)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IFERROR(__xludf.DUMMYFUNCTION("IMPORTRANGE(""https://docs.google.com/spreadsheets/d/11923uPwbBZFjjGgGUA6NLw09EwE0CqkOc4q9oUmW1yo/edit?usp=sharing"",""ลำพูน!I27"")"),0)</f>
        <v>0</v>
      </c>
      <c r="J87" s="205">
        <f ca="1">IFERROR(__xludf.DUMMYFUNCTION("IMPORTRANGE(""https://docs.google.com/spreadsheets/d/11923uPwbBZFjjGgGUA6NLw09EwE0CqkOc4q9oUmW1yo/edit?usp=sharing"",""ลำพูน!J27"")"),0)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IFERROR(__xludf.DUMMYFUNCTION("IMPORTRANGE(""https://docs.google.com/spreadsheets/d/11923uPwbBZFjjGgGUA6NLw09EwE0CqkOc4q9oUmW1yo/edit?usp=sharing"",""ลำพูน!I28"")"),35)</f>
        <v>35</v>
      </c>
      <c r="J88" s="205">
        <f ca="1">IFERROR(__xludf.DUMMYFUNCTION("IMPORTRANGE(""https://docs.google.com/spreadsheets/d/11923uPwbBZFjjGgGUA6NLw09EwE0CqkOc4q9oUmW1yo/edit?usp=sharing"",""ลำพูน!J28"")"),0)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IFERROR(__xludf.DUMMYFUNCTION("IMPORTRANGE(""https://docs.google.com/spreadsheets/d/11923uPwbBZFjjGgGUA6NLw09EwE0CqkOc4q9oUmW1yo/edit?usp=sharing"",""ลำพูน!J29"")"),0)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IFERROR(__xludf.DUMMYFUNCTION("IMPORTRANGE(""https://docs.google.com/spreadsheets/d/11923uPwbBZFjjGgGUA6NLw09EwE0CqkOc4q9oUmW1yo/edit?usp=sharing"",""ลำพูน!J30"")"),0)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IFERROR(__xludf.DUMMYFUNCTION("IMPORTRANGE(""https://docs.google.com/spreadsheets/d/11923uPwbBZFjjGgGUA6NLw09EwE0CqkOc4q9oUmW1yo/edit?usp=sharing"",""ลำพูน!I32"")"),0)</f>
        <v>0</v>
      </c>
      <c r="J92" s="144">
        <f ca="1">IFERROR(__xludf.DUMMYFUNCTION("IMPORTRANGE(""https://docs.google.com/spreadsheets/d/11923uPwbBZFjjGgGUA6NLw09EwE0CqkOc4q9oUmW1yo/edit?usp=sharing"",""ลำพูน!J32"")"),0)</f>
        <v>0</v>
      </c>
      <c r="K92" s="145">
        <f t="shared" ref="K92:K93" ca="1" si="51">IF(I92&gt;0,J92*100/I92,0)</f>
        <v>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IFERROR(__xludf.DUMMYFUNCTION("IMPORTRANGE(""https://docs.google.com/spreadsheets/d/11923uPwbBZFjjGgGUA6NLw09EwE0CqkOc4q9oUmW1yo/edit?usp=sharing"",""ลำพูน!I33"")"),0)</f>
        <v>0</v>
      </c>
      <c r="J93" s="144">
        <f ca="1">IFERROR(__xludf.DUMMYFUNCTION("IMPORTRANGE(""https://docs.google.com/spreadsheets/d/11923uPwbBZFjjGgGUA6NLw09EwE0CqkOc4q9oUmW1yo/edit?usp=sharing"",""ลำพูน!J33"")"),0)</f>
        <v>0</v>
      </c>
      <c r="K93" s="145">
        <f t="shared" ca="1" si="51"/>
        <v>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0</v>
      </c>
      <c r="M96" s="90">
        <f t="shared" ca="1" si="56"/>
        <v>0</v>
      </c>
      <c r="N96" s="90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59"/>
      <c r="B97" s="160"/>
      <c r="C97" s="160" t="s">
        <v>16</v>
      </c>
      <c r="D97" s="570" t="s">
        <v>20</v>
      </c>
      <c r="E97" s="565"/>
      <c r="F97" s="565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IFERROR(__xludf.DUMMYFUNCTION("IMPORTRANGE(""https://docs.google.com/spreadsheets/d/1Yj_ptqi66GCucihVvJfMjLAmec39IyEx_6qawtMGysU/edit?usp=sharing"",""สบก!AR33"")"),0)</f>
        <v>0</v>
      </c>
      <c r="N98" s="170">
        <f ca="1">IFERROR(__xludf.DUMMYFUNCTION("IMPORTRANGE(""https://docs.google.com/spreadsheets/d/1Yj_ptqi66GCucihVvJfMjLAmec39IyEx_6qawtMGysU/edit?usp=sharing"",""สบก!AS33"")"),0)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IFERROR(__xludf.DUMMYFUNCTION("IMPORTRANGE(""https://docs.google.com/spreadsheets/d/1Yj_ptqi66GCucihVvJfMjLAmec39IyEx_6qawtMGysU/edit?usp=sharing"",""สบก!AN33"")"),0)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IFERROR(__xludf.DUMMYFUNCTION("IMPORTRANGE(""https://docs.google.com/spreadsheets/d/1Yj_ptqi66GCucihVvJfMjLAmec39IyEx_6qawtMGysU/edit?usp=sharing"",""สบก!AO33"")"),0)</f>
        <v>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IFERROR(__xludf.DUMMYFUNCTION("IMPORTRANGE(""https://docs.google.com/spreadsheets/d/1Yj_ptqi66GCucihVvJfMjLAmec39IyEx_6qawtMGysU/edit?usp=sharing"",""สบก!AP33"")"),0)</f>
        <v>0</v>
      </c>
      <c r="M102" s="52"/>
      <c r="N102" s="52">
        <f ca="1">IFERROR(__xludf.DUMMYFUNCTION("IMPORTRANGE(""https://docs.google.com/spreadsheets/d/1Yj_ptqi66GCucihVvJfMjLAmec39IyEx_6qawtMGysU/edit?usp=sharing"",""สบก!AT33"")"),0)</f>
        <v>0</v>
      </c>
      <c r="O102" s="52">
        <f ca="1">IF(L102&gt;0,N102*100/L102,0)</f>
        <v>0</v>
      </c>
      <c r="P102" s="52"/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IFERROR(__xludf.DUMMYFUNCTION("IMPORTRANGE(""https://docs.google.com/spreadsheets/d/11923uPwbBZFjjGgGUA6NLw09EwE0CqkOc4q9oUmW1yo/edit?usp=sharing"",""ลำพูน!J39"")"),0)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IFERROR(__xludf.DUMMYFUNCTION("IMPORTRANGE(""https://docs.google.com/spreadsheets/d/11923uPwbBZFjjGgGUA6NLw09EwE0CqkOc4q9oUmW1yo/edit?usp=sharing"",""ลำพูน!J40"")"),0)</f>
        <v>0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IFERROR(__xludf.DUMMYFUNCTION("IMPORTRANGE(""https://docs.google.com/spreadsheets/d/11923uPwbBZFjjGgGUA6NLw09EwE0CqkOc4q9oUmW1yo/edit?usp=sharing"",""ลำพูน!J41"")"),0)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IFERROR(__xludf.DUMMYFUNCTION("IMPORTRANGE(""https://docs.google.com/spreadsheets/d/11923uPwbBZFjjGgGUA6NLw09EwE0CqkOc4q9oUmW1yo/edit?usp=sharing"",""ลำพูน!J42"")"),0)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IFERROR(__xludf.DUMMYFUNCTION("IMPORTRANGE(""https://docs.google.com/spreadsheets/d/11923uPwbBZFjjGgGUA6NLw09EwE0CqkOc4q9oUmW1yo/edit?usp=sharing"",""ลำพูน!I43"")"),0)</f>
        <v>0</v>
      </c>
      <c r="J108" s="205">
        <f ca="1">IFERROR(__xludf.DUMMYFUNCTION("IMPORTRANGE(""https://docs.google.com/spreadsheets/d/11923uPwbBZFjjGgGUA6NLw09EwE0CqkOc4q9oUmW1yo/edit?usp=sharing"",""ลำพูน!J43"")"),0)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IFERROR(__xludf.DUMMYFUNCTION("IMPORTRANGE(""https://docs.google.com/spreadsheets/d/11923uPwbBZFjjGgGUA6NLw09EwE0CqkOc4q9oUmW1yo/edit?usp=sharing"",""ลำพูน!I44"")"),0)</f>
        <v>0</v>
      </c>
      <c r="J109" s="205">
        <f ca="1">IFERROR(__xludf.DUMMYFUNCTION("IMPORTRANGE(""https://docs.google.com/spreadsheets/d/11923uPwbBZFjjGgGUA6NLw09EwE0CqkOc4q9oUmW1yo/edit?usp=sharing"",""ลำพูน!J44"")"),0)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IFERROR(__xludf.DUMMYFUNCTION("IMPORTRANGE(""https://docs.google.com/spreadsheets/d/11923uPwbBZFjjGgGUA6NLw09EwE0CqkOc4q9oUmW1yo/edit?usp=sharing"",""ลำพูน!I45"")"),0)</f>
        <v>0</v>
      </c>
      <c r="J110" s="205">
        <f ca="1">IFERROR(__xludf.DUMMYFUNCTION("IMPORTRANGE(""https://docs.google.com/spreadsheets/d/11923uPwbBZFjjGgGUA6NLw09EwE0CqkOc4q9oUmW1yo/edit?usp=sharing"",""ลำพูน!J45"")"),0)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IFERROR(__xludf.DUMMYFUNCTION("IMPORTRANGE(""https://docs.google.com/spreadsheets/d/11923uPwbBZFjjGgGUA6NLw09EwE0CqkOc4q9oUmW1yo/edit?usp=sharing"",""ลำพูน!I46"")"),0)</f>
        <v>0</v>
      </c>
      <c r="J111" s="205">
        <f ca="1">IFERROR(__xludf.DUMMYFUNCTION("IMPORTRANGE(""https://docs.google.com/spreadsheets/d/11923uPwbBZFjjGgGUA6NLw09EwE0CqkOc4q9oUmW1yo/edit?usp=sharing"",""ลำพูน!J46"")"),0)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IFERROR(__xludf.DUMMYFUNCTION("IMPORTRANGE(""https://docs.google.com/spreadsheets/d/11923uPwbBZFjjGgGUA6NLw09EwE0CqkOc4q9oUmW1yo/edit?usp=sharing"",""ลำพูน!I47"")"),0)</f>
        <v>0</v>
      </c>
      <c r="J112" s="205">
        <f ca="1">IFERROR(__xludf.DUMMYFUNCTION("IMPORTRANGE(""https://docs.google.com/spreadsheets/d/11923uPwbBZFjjGgGUA6NLw09EwE0CqkOc4q9oUmW1yo/edit?usp=sharing"",""ลำพูน!J47"")"),0)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IFERROR(__xludf.DUMMYFUNCTION("IMPORTRANGE(""https://docs.google.com/spreadsheets/d/11923uPwbBZFjjGgGUA6NLw09EwE0CqkOc4q9oUmW1yo/edit?usp=sharing"",""ลำพูน!I48"")"),0)</f>
        <v>0</v>
      </c>
      <c r="J113" s="205">
        <f ca="1">IFERROR(__xludf.DUMMYFUNCTION("IMPORTRANGE(""https://docs.google.com/spreadsheets/d/11923uPwbBZFjjGgGUA6NLw09EwE0CqkOc4q9oUmW1yo/edit?usp=sharing"",""ลำพูน!J48"")"),0)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IFERROR(__xludf.DUMMYFUNCTION("IMPORTRANGE(""https://docs.google.com/spreadsheets/d/11923uPwbBZFjjGgGUA6NLw09EwE0CqkOc4q9oUmW1yo/edit?usp=sharing"",""ลำพูน!J49"")"),0)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IFERROR(__xludf.DUMMYFUNCTION("IMPORTRANGE(""https://docs.google.com/spreadsheets/d/11923uPwbBZFjjGgGUA6NLw09EwE0CqkOc4q9oUmW1yo/edit?usp=sharing"",""ลำพูน!J50"")"),0)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IFERROR(__xludf.DUMMYFUNCTION("IMPORTRANGE(""https://docs.google.com/spreadsheets/d/11923uPwbBZFjjGgGUA6NLw09EwE0CqkOc4q9oUmW1yo/edit?usp=sharing"",""ลำพูน!I52"")"),20)</f>
        <v>20</v>
      </c>
      <c r="J117" s="144">
        <f ca="1">IFERROR(__xludf.DUMMYFUNCTION("IMPORTRANGE(""https://docs.google.com/spreadsheets/d/11923uPwbBZFjjGgGUA6NLw09EwE0CqkOc4q9oUmW1yo/edit?usp=sharing"",""ลำพูน!J52"")"),20)</f>
        <v>20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82440</v>
      </c>
      <c r="M118" s="154">
        <f t="shared" ca="1" si="58"/>
        <v>82440</v>
      </c>
      <c r="N118" s="154">
        <f t="shared" ca="1" si="58"/>
        <v>57380</v>
      </c>
      <c r="O118" s="153">
        <f t="shared" ref="O118:O120" ca="1" si="59">IF(L118&gt;0,N118*100/L118,0)</f>
        <v>69.602134885977677</v>
      </c>
      <c r="P118" s="153">
        <f t="shared" ref="P118:P120" ca="1" si="60">IF(M118&gt;0,N118*100/M118,0)</f>
        <v>69.602134885977677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82440</v>
      </c>
      <c r="M120" s="90">
        <f t="shared" ca="1" si="62"/>
        <v>82440</v>
      </c>
      <c r="N120" s="90">
        <f t="shared" ca="1" si="62"/>
        <v>57380</v>
      </c>
      <c r="O120" s="158">
        <f t="shared" ca="1" si="59"/>
        <v>69.602134885977677</v>
      </c>
      <c r="P120" s="158">
        <f t="shared" ca="1" si="60"/>
        <v>69.602134885977677</v>
      </c>
    </row>
    <row r="121" spans="1:16" ht="21.75" customHeight="1">
      <c r="A121" s="159"/>
      <c r="B121" s="160"/>
      <c r="C121" s="160" t="s">
        <v>16</v>
      </c>
      <c r="D121" s="570" t="s">
        <v>20</v>
      </c>
      <c r="E121" s="565"/>
      <c r="F121" s="565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IFERROR(__xludf.DUMMYFUNCTION("IMPORTRANGE(""https://docs.google.com/spreadsheets/d/1Yj_ptqi66GCucihVvJfMjLAmec39IyEx_6qawtMGysU/edit?usp=sharing"",""สบก!BA33"")"),82440)</f>
        <v>82440</v>
      </c>
      <c r="N122" s="170">
        <f ca="1">IFERROR(__xludf.DUMMYFUNCTION("IMPORTRANGE(""https://docs.google.com/spreadsheets/d/1Yj_ptqi66GCucihVvJfMjLAmec39IyEx_6qawtMGysU/edit?usp=sharing"",""สบก!BB33"")"),57380)</f>
        <v>57380</v>
      </c>
      <c r="O122" s="170">
        <f ca="1">IF(L122&gt;0,N122*100/L122,0)</f>
        <v>69.602134885977677</v>
      </c>
      <c r="P122" s="170">
        <f ca="1">IF(M122&gt;0,N122*100/M122,0)</f>
        <v>69.602134885977677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IFERROR(__xludf.DUMMYFUNCTION("IMPORTRANGE(""https://docs.google.com/spreadsheets/d/1Yj_ptqi66GCucihVvJfMjLAmec39IyEx_6qawtMGysU/edit?usp=sharing"",""สบก!AW33"")"),0)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IFERROR(__xludf.DUMMYFUNCTION("IMPORTRANGE(""https://docs.google.com/spreadsheets/d/1Yj_ptqi66GCucihVvJfMjLAmec39IyEx_6qawtMGysU/edit?usp=sharing"",""สบก!AX33"")"),82440)</f>
        <v>82440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IFERROR(__xludf.DUMMYFUNCTION("IMPORTRANGE(""https://docs.google.com/spreadsheets/d/1Yj_ptqi66GCucihVvJfMjLAmec39IyEx_6qawtMGysU/edit?usp=sharing"",""สบก!AY33"")"),0)</f>
        <v>0</v>
      </c>
      <c r="M126" s="52"/>
      <c r="N126" s="52">
        <f ca="1">IFERROR(__xludf.DUMMYFUNCTION("IMPORTRANGE(""https://docs.google.com/spreadsheets/d/1Yj_ptqi66GCucihVvJfMjLAmec39IyEx_6qawtMGysU/edit?usp=sharing"",""สบก!BC33"")"),0)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287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IFERROR(__xludf.DUMMYFUNCTION("IMPORTRANGE(""https://docs.google.com/spreadsheets/d/11923uPwbBZFjjGgGUA6NLw09EwE0CqkOc4q9oUmW1yo/edit?usp=sharing"",""ลำพูน!J58"")"),0)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IFERROR(__xludf.DUMMYFUNCTION("IMPORTRANGE(""https://docs.google.com/spreadsheets/d/11923uPwbBZFjjGgGUA6NLw09EwE0CqkOc4q9oUmW1yo/edit?usp=sharing"",""ลำพูน!J59"")"),1)</f>
        <v>1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IFERROR(__xludf.DUMMYFUNCTION("IMPORTRANGE(""https://docs.google.com/spreadsheets/d/11923uPwbBZFjjGgGUA6NLw09EwE0CqkOc4q9oUmW1yo/edit?usp=sharing"",""ลำพูน!J60"")"),1)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IFERROR(__xludf.DUMMYFUNCTION("IMPORTRANGE(""https://docs.google.com/spreadsheets/d/11923uPwbBZFjjGgGUA6NLw09EwE0CqkOc4q9oUmW1yo/edit?usp=sharing"",""ลำพูน!J61"")"),1)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IFERROR(__xludf.DUMMYFUNCTION("IMPORTRANGE(""https://docs.google.com/spreadsheets/d/11923uPwbBZFjjGgGUA6NLw09EwE0CqkOc4q9oUmW1yo/edit?usp=sharing"",""ลำพูน!I62"")"),20)</f>
        <v>20</v>
      </c>
      <c r="J132" s="205">
        <f ca="1">IFERROR(__xludf.DUMMYFUNCTION("IMPORTRANGE(""https://docs.google.com/spreadsheets/d/11923uPwbBZFjjGgGUA6NLw09EwE0CqkOc4q9oUmW1yo/edit?usp=sharing"",""ลำพูน!J62"")"),20)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IFERROR(__xludf.DUMMYFUNCTION("IMPORTRANGE(""https://docs.google.com/spreadsheets/d/11923uPwbBZFjjGgGUA6NLw09EwE0CqkOc4q9oUmW1yo/edit?usp=sharing"",""ลำพูน!I63"")"),20)</f>
        <v>20</v>
      </c>
      <c r="J133" s="205">
        <f ca="1">IFERROR(__xludf.DUMMYFUNCTION("IMPORTRANGE(""https://docs.google.com/spreadsheets/d/11923uPwbBZFjjGgGUA6NLw09EwE0CqkOc4q9oUmW1yo/edit?usp=sharing"",""ลำพูน!J63"")"),20)</f>
        <v>20</v>
      </c>
      <c r="K133" s="225">
        <f t="shared" ca="1" si="63"/>
        <v>100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IFERROR(__xludf.DUMMYFUNCTION("IMPORTRANGE(""https://docs.google.com/spreadsheets/d/11923uPwbBZFjjGgGUA6NLw09EwE0CqkOc4q9oUmW1yo/edit?usp=sharing"",""ลำพูน!J64"")"),0)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IFERROR(__xludf.DUMMYFUNCTION("IMPORTRANGE(""https://docs.google.com/spreadsheets/d/11923uPwbBZFjjGgGUA6NLw09EwE0CqkOc4q9oUmW1yo/edit?usp=sharing"",""ลำพูน!J65"")"),0)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IFERROR(__xludf.DUMMYFUNCTION("IMPORTRANGE(""https://docs.google.com/spreadsheets/d/11923uPwbBZFjjGgGUA6NLw09EwE0CqkOc4q9oUmW1yo/edit?usp=sharing"",""ลำพูน!I68"")"),150)</f>
        <v>150</v>
      </c>
      <c r="J138" s="268">
        <f ca="1">IFERROR(__xludf.DUMMYFUNCTION("IMPORTRANGE(""https://docs.google.com/spreadsheets/d/11923uPwbBZFjjGgGUA6NLw09EwE0CqkOc4q9oUmW1yo/edit?usp=sharing"",""ลำพูน!J68"")"),150)</f>
        <v>150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1352900</v>
      </c>
      <c r="M140" s="154">
        <f t="shared" ca="1" si="64"/>
        <v>1130925</v>
      </c>
      <c r="N140" s="154">
        <f t="shared" ca="1" si="64"/>
        <v>863942.76</v>
      </c>
      <c r="O140" s="153">
        <f t="shared" ref="O140:O142" ca="1" si="65">IF(L140&gt;0,N140*100/L140,0)</f>
        <v>63.858582304678841</v>
      </c>
      <c r="P140" s="153">
        <f t="shared" ref="P140:P142" ca="1" si="66">IF(M140&gt;0,N140*100/M140,0)</f>
        <v>76.392577757145702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1352900</v>
      </c>
      <c r="M142" s="90">
        <f t="shared" ca="1" si="68"/>
        <v>1130925</v>
      </c>
      <c r="N142" s="90">
        <f t="shared" ca="1" si="68"/>
        <v>863942.76</v>
      </c>
      <c r="O142" s="158">
        <f t="shared" ca="1" si="65"/>
        <v>63.858582304678841</v>
      </c>
      <c r="P142" s="158">
        <f t="shared" ca="1" si="66"/>
        <v>76.392577757145702</v>
      </c>
    </row>
    <row r="143" spans="1:16" ht="21.75" customHeight="1">
      <c r="A143" s="159"/>
      <c r="B143" s="160"/>
      <c r="C143" s="160" t="s">
        <v>16</v>
      </c>
      <c r="D143" s="570" t="s">
        <v>20</v>
      </c>
      <c r="E143" s="565"/>
      <c r="F143" s="565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1114900</v>
      </c>
      <c r="M144" s="169">
        <f ca="1">IFERROR(__xludf.DUMMYFUNCTION("IMPORTRANGE(""https://docs.google.com/spreadsheets/d/1Yj_ptqi66GCucihVvJfMjLAmec39IyEx_6qawtMGysU/edit?usp=sharing"",""สบก!BJ33"")"),892925)</f>
        <v>892925</v>
      </c>
      <c r="N144" s="170">
        <f ca="1">IFERROR(__xludf.DUMMYFUNCTION("IMPORTRANGE(""https://docs.google.com/spreadsheets/d/1Yj_ptqi66GCucihVvJfMjLAmec39IyEx_6qawtMGysU/edit?usp=sharing"",""สบก!BK33"")"),625942.76)</f>
        <v>625942.76</v>
      </c>
      <c r="O144" s="170">
        <f ca="1">IF(L144&gt;0,N144*100/L144,0)</f>
        <v>56.143399408018659</v>
      </c>
      <c r="P144" s="170">
        <f ca="1">IF(M144&gt;0,N144*100/M144,0)</f>
        <v>70.100261500125995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IFERROR(__xludf.DUMMYFUNCTION("IMPORTRANGE(""https://docs.google.com/spreadsheets/d/1Yj_ptqi66GCucihVvJfMjLAmec39IyEx_6qawtMGysU/edit?usp=sharing"",""สบก!BF33"")"),264000)</f>
        <v>264000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IFERROR(__xludf.DUMMYFUNCTION("IMPORTRANGE(""https://docs.google.com/spreadsheets/d/1Yj_ptqi66GCucihVvJfMjLAmec39IyEx_6qawtMGysU/edit?usp=sharing"",""สบก!BG33"")"),850900)</f>
        <v>850900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IFERROR(__xludf.DUMMYFUNCTION("IMPORTRANGE(""https://docs.google.com/spreadsheets/d/1Yj_ptqi66GCucihVvJfMjLAmec39IyEx_6qawtMGysU/edit?usp=sharing"",""สบก!BH33"")"),238000)</f>
        <v>238000</v>
      </c>
      <c r="M148" s="52">
        <f ca="1">L148</f>
        <v>238000</v>
      </c>
      <c r="N148" s="52">
        <f ca="1">IFERROR(__xludf.DUMMYFUNCTION("IMPORTRANGE(""https://docs.google.com/spreadsheets/d/1Yj_ptqi66GCucihVvJfMjLAmec39IyEx_6qawtMGysU/edit?usp=sharing"",""สบก!BL33"")"),238000)</f>
        <v>238000</v>
      </c>
      <c r="O148" s="52">
        <f ca="1">IF(L148&gt;0,N148*100/L148,0)</f>
        <v>100</v>
      </c>
      <c r="P148" s="52">
        <f ca="1">IF(M148&gt;0,N148*100/M148,0)</f>
        <v>100</v>
      </c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IFERROR(__xludf.DUMMYFUNCTION("IMPORTRANGE(""https://docs.google.com/spreadsheets/d/11923uPwbBZFjjGgGUA6NLw09EwE0CqkOc4q9oUmW1yo/edit?usp=sharing"",""ลำพูน!I74"")"),4)</f>
        <v>4</v>
      </c>
      <c r="J149" s="276">
        <f ca="1">IFERROR(__xludf.DUMMYFUNCTION("IMPORTRANGE(""https://docs.google.com/spreadsheets/d/11923uPwbBZFjjGgGUA6NLw09EwE0CqkOc4q9oUmW1yo/edit?usp=sharing"",""ลำพูน!J74"")"),2)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IFERROR(__xludf.DUMMYFUNCTION("IMPORTRANGE(""https://docs.google.com/spreadsheets/d/11923uPwbBZFjjGgGUA6NLw09EwE0CqkOc4q9oUmW1yo/edit?usp=sharing"",""ลำพูน!J79"")"),0)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IFERROR(__xludf.DUMMYFUNCTION("IMPORTRANGE(""https://docs.google.com/spreadsheets/d/11923uPwbBZFjjGgGUA6NLw09EwE0CqkOc4q9oUmW1yo/edit?usp=sharing"",""ลำพูน!J80"")"),1)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IFERROR(__xludf.DUMMYFUNCTION("IMPORTRANGE(""https://docs.google.com/spreadsheets/d/11923uPwbBZFjjGgGUA6NLw09EwE0CqkOc4q9oUmW1yo/edit?usp=sharing"",""ลำพูน!J81"")"),1)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IFERROR(__xludf.DUMMYFUNCTION("IMPORTRANGE(""https://docs.google.com/spreadsheets/d/11923uPwbBZFjjGgGUA6NLw09EwE0CqkOc4q9oUmW1yo/edit?usp=sharing"",""ลำพูน!J82"")"),1)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IFERROR(__xludf.DUMMYFUNCTION("IMPORTRANGE(""https://docs.google.com/spreadsheets/d/11923uPwbBZFjjGgGUA6NLw09EwE0CqkOc4q9oUmW1yo/edit?usp=sharing"",""ลำพูน!I83"")"),4)</f>
        <v>4</v>
      </c>
      <c r="J158" s="190">
        <f ca="1">IFERROR(__xludf.DUMMYFUNCTION("IMPORTRANGE(""https://docs.google.com/spreadsheets/d/11923uPwbBZFjjGgGUA6NLw09EwE0CqkOc4q9oUmW1yo/edit?usp=sharing"",""ลำพูน!J83"")"),2)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IFERROR(__xludf.DUMMYFUNCTION("IMPORTRANGE(""https://docs.google.com/spreadsheets/d/11923uPwbBZFjjGgGUA6NLw09EwE0CqkOc4q9oUmW1yo/edit?usp=sharing"",""ลำพูน!J84"")"),119)</f>
        <v>119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IFERROR(__xludf.DUMMYFUNCTION("IMPORTRANGE(""https://docs.google.com/spreadsheets/d/11923uPwbBZFjjGgGUA6NLw09EwE0CqkOc4q9oUmW1yo/edit?usp=sharing"",""ลำพูน!J85"")"),119)</f>
        <v>119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IFERROR(__xludf.DUMMYFUNCTION("IMPORTRANGE(""https://docs.google.com/spreadsheets/d/11923uPwbBZFjjGgGUA6NLw09EwE0CqkOc4q9oUmW1yo/edit?usp=sharing"",""ลำพูน!J86"")"),0)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IFERROR(__xludf.DUMMYFUNCTION("IMPORTRANGE(""https://docs.google.com/spreadsheets/d/11923uPwbBZFjjGgGUA6NLw09EwE0CqkOc4q9oUmW1yo/edit?usp=sharing"",""ลำพูน!J87"")"),0)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IFERROR(__xludf.DUMMYFUNCTION("IMPORTRANGE(""https://docs.google.com/spreadsheets/d/11923uPwbBZFjjGgGUA6NLw09EwE0CqkOc4q9oUmW1yo/edit?usp=sharing"",""ลำพูน!J88"")"),0)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IFERROR(__xludf.DUMMYFUNCTION("IMPORTRANGE(""https://docs.google.com/spreadsheets/d/11923uPwbBZFjjGgGUA6NLw09EwE0CqkOc4q9oUmW1yo/edit?usp=sharing"",""ลำพูน!I89"")"),2)</f>
        <v>2</v>
      </c>
      <c r="J164" s="285">
        <f ca="1">IFERROR(__xludf.DUMMYFUNCTION("IMPORTRANGE(""https://docs.google.com/spreadsheets/d/11923uPwbBZFjjGgGUA6NLw09EwE0CqkOc4q9oUmW1yo/edit?usp=sharing"",""ลำพูน!J89"")"),2)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IFERROR(__xludf.DUMMYFUNCTION("IMPORTRANGE(""https://docs.google.com/spreadsheets/d/11923uPwbBZFjjGgGUA6NLw09EwE0CqkOc4q9oUmW1yo/edit?usp=sharing"",""ลำพูน!J94"")"),0)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IFERROR(__xludf.DUMMYFUNCTION("IMPORTRANGE(""https://docs.google.com/spreadsheets/d/11923uPwbBZFjjGgGUA6NLw09EwE0CqkOc4q9oUmW1yo/edit?usp=sharing"",""ลำพูน!J95"")"),1)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IFERROR(__xludf.DUMMYFUNCTION("IMPORTRANGE(""https://docs.google.com/spreadsheets/d/11923uPwbBZFjjGgGUA6NLw09EwE0CqkOc4q9oUmW1yo/edit?usp=sharing"",""ลำพูน!J96"")"),1)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IFERROR(__xludf.DUMMYFUNCTION("IMPORTRANGE(""https://docs.google.com/spreadsheets/d/11923uPwbBZFjjGgGUA6NLw09EwE0CqkOc4q9oUmW1yo/edit?usp=sharing"",""ลำพูน!J97"")"),0)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IFERROR(__xludf.DUMMYFUNCTION("IMPORTRANGE(""https://docs.google.com/spreadsheets/d/11923uPwbBZFjjGgGUA6NLw09EwE0CqkOc4q9oUmW1yo/edit?usp=sharing"",""ลำพูน!I98"")"),2)</f>
        <v>2</v>
      </c>
      <c r="J173" s="190">
        <f ca="1">IFERROR(__xludf.DUMMYFUNCTION("IMPORTRANGE(""https://docs.google.com/spreadsheets/d/11923uPwbBZFjjGgGUA6NLw09EwE0CqkOc4q9oUmW1yo/edit?usp=sharing"",""ลำพูน!J98"")"),2)</f>
        <v>2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IFERROR(__xludf.DUMMYFUNCTION("IMPORTRANGE(""https://docs.google.com/spreadsheets/d/11923uPwbBZFjjGgGUA6NLw09EwE0CqkOc4q9oUmW1yo/edit?usp=sharing"",""ลำพูน!J99"")"),0)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IFERROR(__xludf.DUMMYFUNCTION("IMPORTRANGE(""https://docs.google.com/spreadsheets/d/11923uPwbBZFjjGgGUA6NLw09EwE0CqkOc4q9oUmW1yo/edit?usp=sharing"",""ลำพูน!J100"")"),0)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IFERROR(__xludf.DUMMYFUNCTION("IMPORTRANGE(""https://docs.google.com/spreadsheets/d/11923uPwbBZFjjGgGUA6NLw09EwE0CqkOc4q9oUmW1yo/edit?usp=sharing"",""ลำพูน!I101"")"),0)</f>
        <v>0</v>
      </c>
      <c r="J176" s="285">
        <f ca="1">IFERROR(__xludf.DUMMYFUNCTION("IMPORTRANGE(""https://docs.google.com/spreadsheets/d/11923uPwbBZFjjGgGUA6NLw09EwE0CqkOc4q9oUmW1yo/edit?usp=sharing"",""ลำพูน!J101"")"),0)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IFERROR(__xludf.DUMMYFUNCTION("IMPORTRANGE(""https://docs.google.com/spreadsheets/d/11923uPwbBZFjjGgGUA6NLw09EwE0CqkOc4q9oUmW1yo/edit?usp=sharing"",""ลำพูน!J106"")"),0)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IFERROR(__xludf.DUMMYFUNCTION("IMPORTRANGE(""https://docs.google.com/spreadsheets/d/11923uPwbBZFjjGgGUA6NLw09EwE0CqkOc4q9oUmW1yo/edit?usp=sharing"",""ลำพูน!J107"")"),0)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IFERROR(__xludf.DUMMYFUNCTION("IMPORTRANGE(""https://docs.google.com/spreadsheets/d/11923uPwbBZFjjGgGUA6NLw09EwE0CqkOc4q9oUmW1yo/edit?usp=sharing"",""ลำพูน!J108"")"),0)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IFERROR(__xludf.DUMMYFUNCTION("IMPORTRANGE(""https://docs.google.com/spreadsheets/d/11923uPwbBZFjjGgGUA6NLw09EwE0CqkOc4q9oUmW1yo/edit?usp=sharing"",""ลำพูน!J109"")"),0)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IFERROR(__xludf.DUMMYFUNCTION("IMPORTRANGE(""https://docs.google.com/spreadsheets/d/11923uPwbBZFjjGgGUA6NLw09EwE0CqkOc4q9oUmW1yo/edit?usp=sharing"",""ลำพูน!I110"")"),0)</f>
        <v>0</v>
      </c>
      <c r="J185" s="205">
        <f ca="1">IFERROR(__xludf.DUMMYFUNCTION("IMPORTRANGE(""https://docs.google.com/spreadsheets/d/11923uPwbBZFjjGgGUA6NLw09EwE0CqkOc4q9oUmW1yo/edit?usp=sharing"",""ลำพูน!J110"")"),0)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IFERROR(__xludf.DUMMYFUNCTION("IMPORTRANGE(""https://docs.google.com/spreadsheets/d/11923uPwbBZFjjGgGUA6NLw09EwE0CqkOc4q9oUmW1yo/edit?usp=sharing"",""ลำพูน!I111"")"),0)</f>
        <v>0</v>
      </c>
      <c r="J186" s="205">
        <f ca="1">IFERROR(__xludf.DUMMYFUNCTION("IMPORTRANGE(""https://docs.google.com/spreadsheets/d/11923uPwbBZFjjGgGUA6NLw09EwE0CqkOc4q9oUmW1yo/edit?usp=sharing"",""ลำพูน!J111"")"),0)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IFERROR(__xludf.DUMMYFUNCTION("IMPORTRANGE(""https://docs.google.com/spreadsheets/d/11923uPwbBZFjjGgGUA6NLw09EwE0CqkOc4q9oUmW1yo/edit?usp=sharing"",""ลำพูน!J112"")"),0)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IFERROR(__xludf.DUMMYFUNCTION("IMPORTRANGE(""https://docs.google.com/spreadsheets/d/11923uPwbBZFjjGgGUA6NLw09EwE0CqkOc4q9oUmW1yo/edit?usp=sharing"",""ลำพูน!J113"")"),0)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IFERROR(__xludf.DUMMYFUNCTION("IMPORTRANGE(""https://docs.google.com/spreadsheets/d/11923uPwbBZFjjGgGUA6NLw09EwE0CqkOc4q9oUmW1yo/edit?usp=sharing"",""ลำพูน!I114"")"),100000)</f>
        <v>100000</v>
      </c>
      <c r="J189" s="285">
        <f ca="1">IFERROR(__xludf.DUMMYFUNCTION("IMPORTRANGE(""https://docs.google.com/spreadsheets/d/11923uPwbBZFjjGgGUA6NLw09EwE0CqkOc4q9oUmW1yo/edit?usp=sharing"",""ลำพูน!J114"")"),0)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IFERROR(__xludf.DUMMYFUNCTION("IMPORTRANGE(""https://docs.google.com/spreadsheets/d/11923uPwbBZFjjGgGUA6NLw09EwE0CqkOc4q9oUmW1yo/edit?usp=sharing"",""ลำพูน!J119"")"),1)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IFERROR(__xludf.DUMMYFUNCTION("IMPORTRANGE(""https://docs.google.com/spreadsheets/d/11923uPwbBZFjjGgGUA6NLw09EwE0CqkOc4q9oUmW1yo/edit?usp=sharing"",""ลำพูน!J120"")"),0)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IFERROR(__xludf.DUMMYFUNCTION("IMPORTRANGE(""https://docs.google.com/spreadsheets/d/11923uPwbBZFjjGgGUA6NLw09EwE0CqkOc4q9oUmW1yo/edit?usp=sharing"",""ลำพูน!J121"")"),0)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IFERROR(__xludf.DUMMYFUNCTION("IMPORTRANGE(""https://docs.google.com/spreadsheets/d/11923uPwbBZFjjGgGUA6NLw09EwE0CqkOc4q9oUmW1yo/edit?usp=sharing"",""ลำพูน!J122"")"),0)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IFERROR(__xludf.DUMMYFUNCTION("IMPORTRANGE(""https://docs.google.com/spreadsheets/d/11923uPwbBZFjjGgGUA6NLw09EwE0CqkOc4q9oUmW1yo/edit?usp=sharing"",""ลำพูน!I124"")"),100000)</f>
        <v>100000</v>
      </c>
      <c r="J199" s="190">
        <f ca="1">IFERROR(__xludf.DUMMYFUNCTION("IMPORTRANGE(""https://docs.google.com/spreadsheets/d/11923uPwbBZFjjGgGUA6NLw09EwE0CqkOc4q9oUmW1yo/edit?usp=sharing"",""ลำพูน!J124"")"),0)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IFERROR(__xludf.DUMMYFUNCTION("IMPORTRANGE(""https://docs.google.com/spreadsheets/d/11923uPwbBZFjjGgGUA6NLw09EwE0CqkOc4q9oUmW1yo/edit?usp=sharing"",""ลำพูน!I125"")"),100000)</f>
        <v>100000</v>
      </c>
      <c r="J200" s="190">
        <f ca="1">IFERROR(__xludf.DUMMYFUNCTION("IMPORTRANGE(""https://docs.google.com/spreadsheets/d/11923uPwbBZFjjGgGUA6NLw09EwE0CqkOc4q9oUmW1yo/edit?usp=sharing"",""ลำพูน!J125"")"),0)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IFERROR(__xludf.DUMMYFUNCTION("IMPORTRANGE(""https://docs.google.com/spreadsheets/d/11923uPwbBZFjjGgGUA6NLw09EwE0CqkOc4q9oUmW1yo/edit?usp=sharing"",""ลำพูน!I126"")"),0)</f>
        <v>0</v>
      </c>
      <c r="J201" s="190">
        <f ca="1">IFERROR(__xludf.DUMMYFUNCTION("IMPORTRANGE(""https://docs.google.com/spreadsheets/d/11923uPwbBZFjjGgGUA6NLw09EwE0CqkOc4q9oUmW1yo/edit?usp=sharing"",""ลำพูน!J126"")"),0)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IFERROR(__xludf.DUMMYFUNCTION("IMPORTRANGE(""https://docs.google.com/spreadsheets/d/11923uPwbBZFjjGgGUA6NLw09EwE0CqkOc4q9oUmW1yo/edit?usp=sharing"",""ลำพูน!J127"")"),0)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IFERROR(__xludf.DUMMYFUNCTION("IMPORTRANGE(""https://docs.google.com/spreadsheets/d/11923uPwbBZFjjGgGUA6NLw09EwE0CqkOc4q9oUmW1yo/edit?usp=sharing"",""ลำพูน!J128"")"),0)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IFERROR(__xludf.DUMMYFUNCTION("IMPORTRANGE(""https://docs.google.com/spreadsheets/d/11923uPwbBZFjjGgGUA6NLw09EwE0CqkOc4q9oUmW1yo/edit?usp=sharing"",""ลำพูน!I129"")"),150)</f>
        <v>150</v>
      </c>
      <c r="J204" s="285">
        <f ca="1">IFERROR(__xludf.DUMMYFUNCTION("IMPORTRANGE(""https://docs.google.com/spreadsheets/d/11923uPwbBZFjjGgGUA6NLw09EwE0CqkOc4q9oUmW1yo/edit?usp=sharing"",""ลำพูน!J129"")"),150)</f>
        <v>150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IFERROR(__xludf.DUMMYFUNCTION("IMPORTRANGE(""https://docs.google.com/spreadsheets/d/11923uPwbBZFjjGgGUA6NLw09EwE0CqkOc4q9oUmW1yo/edit?usp=sharing"",""ลำพูน!J134"")"),0)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IFERROR(__xludf.DUMMYFUNCTION("IMPORTRANGE(""https://docs.google.com/spreadsheets/d/11923uPwbBZFjjGgGUA6NLw09EwE0CqkOc4q9oUmW1yo/edit?usp=sharing"",""ลำพูน!J135"")"),1)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IFERROR(__xludf.DUMMYFUNCTION("IMPORTRANGE(""https://docs.google.com/spreadsheets/d/11923uPwbBZFjjGgGUA6NLw09EwE0CqkOc4q9oUmW1yo/edit?usp=sharing"",""ลำพูน!J136"")"),0)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IFERROR(__xludf.DUMMYFUNCTION("IMPORTRANGE(""https://docs.google.com/spreadsheets/d/11923uPwbBZFjjGgGUA6NLw09EwE0CqkOc4q9oUmW1yo/edit?usp=sharing"",""ลำพูน!J137"")"),1)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IFERROR(__xludf.DUMMYFUNCTION("IMPORTRANGE(""https://docs.google.com/spreadsheets/d/11923uPwbBZFjjGgGUA6NLw09EwE0CqkOc4q9oUmW1yo/edit?usp=sharing"",""ลำพูน!I138"")"),150)</f>
        <v>150</v>
      </c>
      <c r="J213" s="205">
        <f ca="1">IFERROR(__xludf.DUMMYFUNCTION("IMPORTRANGE(""https://docs.google.com/spreadsheets/d/11923uPwbBZFjjGgGUA6NLw09EwE0CqkOc4q9oUmW1yo/edit?usp=sharing"",""ลำพูน!J138"")"),150)</f>
        <v>150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IFERROR(__xludf.DUMMYFUNCTION("IMPORTRANGE(""https://docs.google.com/spreadsheets/d/11923uPwbBZFjjGgGUA6NLw09EwE0CqkOc4q9oUmW1yo/edit?usp=sharing"",""ลำพูน!I140"")"),0)</f>
        <v>0</v>
      </c>
      <c r="J215" s="205">
        <f ca="1">IFERROR(__xludf.DUMMYFUNCTION("IMPORTRANGE(""https://docs.google.com/spreadsheets/d/11923uPwbBZFjjGgGUA6NLw09EwE0CqkOc4q9oUmW1yo/edit?usp=sharing"",""ลำพูน!J140"")"),0)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IFERROR(__xludf.DUMMYFUNCTION("IMPORTRANGE(""https://docs.google.com/spreadsheets/d/11923uPwbBZFjjGgGUA6NLw09EwE0CqkOc4q9oUmW1yo/edit?usp=sharing"",""ลำพูน!I141"")"),3)</f>
        <v>3</v>
      </c>
      <c r="J216" s="205">
        <f ca="1">IFERROR(__xludf.DUMMYFUNCTION("IMPORTRANGE(""https://docs.google.com/spreadsheets/d/11923uPwbBZFjjGgGUA6NLw09EwE0CqkOc4q9oUmW1yo/edit?usp=sharing"",""ลำพูน!J141"")"),0)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IFERROR(__xludf.DUMMYFUNCTION("IMPORTRANGE(""https://docs.google.com/spreadsheets/d/11923uPwbBZFjjGgGUA6NLw09EwE0CqkOc4q9oUmW1yo/edit?usp=sharing"",""ลำพูน!J142"")"),0)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IFERROR(__xludf.DUMMYFUNCTION("IMPORTRANGE(""https://docs.google.com/spreadsheets/d/11923uPwbBZFjjGgGUA6NLw09EwE0CqkOc4q9oUmW1yo/edit?usp=sharing"",""ลำพูน!J143"")"),0)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IFERROR(__xludf.DUMMYFUNCTION("IMPORTRANGE(""https://docs.google.com/spreadsheets/d/11923uPwbBZFjjGgGUA6NLw09EwE0CqkOc4q9oUmW1yo/edit?usp=sharing"",""ลำพูน!I144"")"),15)</f>
        <v>15</v>
      </c>
      <c r="J219" s="268">
        <f ca="1">IFERROR(__xludf.DUMMYFUNCTION("IMPORTRANGE(""https://docs.google.com/spreadsheets/d/11923uPwbBZFjjGgGUA6NLw09EwE0CqkOc4q9oUmW1yo/edit?usp=sharing"",""ลำพูน!J144"")"),15)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21125</v>
      </c>
      <c r="M222" s="90">
        <f t="shared" ca="1" si="76"/>
        <v>21125</v>
      </c>
      <c r="N222" s="90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59"/>
      <c r="B223" s="160"/>
      <c r="C223" s="160" t="s">
        <v>16</v>
      </c>
      <c r="D223" s="570" t="s">
        <v>20</v>
      </c>
      <c r="E223" s="565"/>
      <c r="F223" s="565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IFERROR(__xludf.DUMMYFUNCTION("IMPORTRANGE(""https://docs.google.com/spreadsheets/d/1Yj_ptqi66GCucihVvJfMjLAmec39IyEx_6qawtMGysU/edit?usp=sharing"",""สบก!BS33"")"),21125)</f>
        <v>21125</v>
      </c>
      <c r="N224" s="170">
        <f ca="1">IFERROR(__xludf.DUMMYFUNCTION("IMPORTRANGE(""https://docs.google.com/spreadsheets/d/1Yj_ptqi66GCucihVvJfMjLAmec39IyEx_6qawtMGysU/edit?usp=sharing"",""สบก!BT33"")"),21125)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IFERROR(__xludf.DUMMYFUNCTION("IMPORTRANGE(""https://docs.google.com/spreadsheets/d/1Yj_ptqi66GCucihVvJfMjLAmec39IyEx_6qawtMGysU/edit?usp=sharing"",""สบก!BO33"")"),0)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IFERROR(__xludf.DUMMYFUNCTION("IMPORTRANGE(""https://docs.google.com/spreadsheets/d/1Yj_ptqi66GCucihVvJfMjLAmec39IyEx_6qawtMGysU/edit?usp=sharing"",""สบก!BP33"")"),21125)</f>
        <v>21125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IFERROR(__xludf.DUMMYFUNCTION("IMPORTRANGE(""https://docs.google.com/spreadsheets/d/1Yj_ptqi66GCucihVvJfMjLAmec39IyEx_6qawtMGysU/edit?usp=sharing"",""สบก!BQ33"")"),0)</f>
        <v>0</v>
      </c>
      <c r="M228" s="52"/>
      <c r="N228" s="52">
        <f ca="1">IFERROR(__xludf.DUMMYFUNCTION("IMPORTRANGE(""https://docs.google.com/spreadsheets/d/1Yj_ptqi66GCucihVvJfMjLAmec39IyEx_6qawtMGysU/edit?usp=sharing"",""สบก!BU33"")"),0)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IFERROR(__xludf.DUMMYFUNCTION("IMPORTRANGE(""https://docs.google.com/spreadsheets/d/11923uPwbBZFjjGgGUA6NLw09EwE0CqkOc4q9oUmW1yo/edit?usp=sharing"",""ลำพูน!I149"")"),15)</f>
        <v>15</v>
      </c>
      <c r="J229" s="268">
        <f ca="1">IFERROR(__xludf.DUMMYFUNCTION("IMPORTRANGE(""https://docs.google.com/spreadsheets/d/11923uPwbBZFjjGgGUA6NLw09EwE0CqkOc4q9oUmW1yo/edit?usp=sharing"",""ลำพูน!J149"")"),15)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IFERROR(__xludf.DUMMYFUNCTION("IMPORTRANGE(""https://docs.google.com/spreadsheets/d/11923uPwbBZFjjGgGUA6NLw09EwE0CqkOc4q9oUmW1yo/edit?usp=sharing"",""ลำพูน!J151"")"),0)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IFERROR(__xludf.DUMMYFUNCTION("IMPORTRANGE(""https://docs.google.com/spreadsheets/d/11923uPwbBZFjjGgGUA6NLw09EwE0CqkOc4q9oUmW1yo/edit?usp=sharing"",""ลำพูน!J152"")"),1)</f>
        <v>1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IFERROR(__xludf.DUMMYFUNCTION("IMPORTRANGE(""https://docs.google.com/spreadsheets/d/11923uPwbBZFjjGgGUA6NLw09EwE0CqkOc4q9oUmW1yo/edit?usp=sharing"",""ลำพูน!J153"")"),1)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IFERROR(__xludf.DUMMYFUNCTION("IMPORTRANGE(""https://docs.google.com/spreadsheets/d/11923uPwbBZFjjGgGUA6NLw09EwE0CqkOc4q9oUmW1yo/edit?usp=sharing"",""ลำพูน!J154"")"),1)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IFERROR(__xludf.DUMMYFUNCTION("IMPORTRANGE(""https://docs.google.com/spreadsheets/d/11923uPwbBZFjjGgGUA6NLw09EwE0CqkOc4q9oUmW1yo/edit?usp=sharing"",""ลำพูน!I155"")"),15)</f>
        <v>15</v>
      </c>
      <c r="J235" s="190">
        <f ca="1">IFERROR(__xludf.DUMMYFUNCTION("IMPORTRANGE(""https://docs.google.com/spreadsheets/d/11923uPwbBZFjjGgGUA6NLw09EwE0CqkOc4q9oUmW1yo/edit?usp=sharing"",""ลำพูน!J155"")"),15)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IFERROR(__xludf.DUMMYFUNCTION("IMPORTRANGE(""https://docs.google.com/spreadsheets/d/11923uPwbBZFjjGgGUA6NLw09EwE0CqkOc4q9oUmW1yo/edit?usp=sharing"",""ลำพูน!J156"")"),0)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IFERROR(__xludf.DUMMYFUNCTION("IMPORTRANGE(""https://docs.google.com/spreadsheets/d/11923uPwbBZFjjGgGUA6NLw09EwE0CqkOc4q9oUmW1yo/edit?usp=sharing"",""ลำพูน!J157"")"),0)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IFERROR(__xludf.DUMMYFUNCTION("IMPORTRANGE(""https://docs.google.com/spreadsheets/d/11923uPwbBZFjjGgGUA6NLw09EwE0CqkOc4q9oUmW1yo/edit?usp=sharing"",""ลำพูน!I158"")"),0)</f>
        <v>0</v>
      </c>
      <c r="J238" s="268">
        <f ca="1">IFERROR(__xludf.DUMMYFUNCTION("IMPORTRANGE(""https://docs.google.com/spreadsheets/d/11923uPwbBZFjjGgGUA6NLw09EwE0CqkOc4q9oUmW1yo/edit?usp=sharing"",""ลำพูน!J158"")"),0)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IFERROR(__xludf.DUMMYFUNCTION("IMPORTRANGE(""https://docs.google.com/spreadsheets/d/11923uPwbBZFjjGgGUA6NLw09EwE0CqkOc4q9oUmW1yo/edit?usp=sharing"",""ลำพูน!J159"")"),"")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IFERROR(__xludf.DUMMYFUNCTION("IMPORTRANGE(""https://docs.google.com/spreadsheets/d/11923uPwbBZFjjGgGUA6NLw09EwE0CqkOc4q9oUmW1yo/edit?usp=sharing"",""ลำพูน!J161"")"),0)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IFERROR(__xludf.DUMMYFUNCTION("IMPORTRANGE(""https://docs.google.com/spreadsheets/d/11923uPwbBZFjjGgGUA6NLw09EwE0CqkOc4q9oUmW1yo/edit?usp=sharing"",""ลำพูน!J162"")"),0)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IFERROR(__xludf.DUMMYFUNCTION("IMPORTRANGE(""https://docs.google.com/spreadsheets/d/11923uPwbBZFjjGgGUA6NLw09EwE0CqkOc4q9oUmW1yo/edit?usp=sharing"",""ลำพูน!J163"")"),0)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IFERROR(__xludf.DUMMYFUNCTION("IMPORTRANGE(""https://docs.google.com/spreadsheets/d/11923uPwbBZFjjGgGUA6NLw09EwE0CqkOc4q9oUmW1yo/edit?usp=sharing"",""ลำพูน!I164"")"),0)</f>
        <v>0</v>
      </c>
      <c r="J244" s="189">
        <f ca="1">IFERROR(__xludf.DUMMYFUNCTION("IMPORTRANGE(""https://docs.google.com/spreadsheets/d/11923uPwbBZFjjGgGUA6NLw09EwE0CqkOc4q9oUmW1yo/edit?usp=sharing"",""ลำพูน!J164"")"),0)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IFERROR(__xludf.DUMMYFUNCTION("IMPORTRANGE(""https://docs.google.com/spreadsheets/d/11923uPwbBZFjjGgGUA6NLw09EwE0CqkOc4q9oUmW1yo/edit?usp=sharing"",""ลำพูน!J165"")"),0)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IFERROR(__xludf.DUMMYFUNCTION("IMPORTRANGE(""https://docs.google.com/spreadsheets/d/11923uPwbBZFjjGgGUA6NLw09EwE0CqkOc4q9oUmW1yo/edit?usp=sharing"",""ลำพูน!J166"")"),0)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IFERROR(__xludf.DUMMYFUNCTION("IMPORTRANGE(""https://docs.google.com/spreadsheets/d/11923uPwbBZFjjGgGUA6NLw09EwE0CqkOc4q9oUmW1yo/edit?usp=sharing"",""ลำพูน!I169"")"),0)</f>
        <v>0</v>
      </c>
      <c r="J249" s="317">
        <f ca="1">IFERROR(__xludf.DUMMYFUNCTION("IMPORTRANGE(""https://docs.google.com/spreadsheets/d/11923uPwbBZFjjGgGUA6NLw09EwE0CqkOc4q9oUmW1yo/edit?usp=sharing"",""ลำพูน!J169"")"),0)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0</v>
      </c>
      <c r="M252" s="90">
        <f t="shared" ca="1" si="81"/>
        <v>0</v>
      </c>
      <c r="N252" s="90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59"/>
      <c r="B253" s="160"/>
      <c r="C253" s="160" t="s">
        <v>16</v>
      </c>
      <c r="D253" s="570" t="s">
        <v>20</v>
      </c>
      <c r="E253" s="565"/>
      <c r="F253" s="565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IFERROR(__xludf.DUMMYFUNCTION("IMPORTRANGE(""https://docs.google.com/spreadsheets/d/1Yj_ptqi66GCucihVvJfMjLAmec39IyEx_6qawtMGysU/edit?usp=sharing"",""สบก!CB33"")"),0)</f>
        <v>0</v>
      </c>
      <c r="N254" s="170">
        <f ca="1">IFERROR(__xludf.DUMMYFUNCTION("IMPORTRANGE(""https://docs.google.com/spreadsheets/d/1Yj_ptqi66GCucihVvJfMjLAmec39IyEx_6qawtMGysU/edit?usp=sharing"",""สบก!CC33"")"),0)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IFERROR(__xludf.DUMMYFUNCTION("IMPORTRANGE(""https://docs.google.com/spreadsheets/d/1Yj_ptqi66GCucihVvJfMjLAmec39IyEx_6qawtMGysU/edit?usp=sharing"",""สบก!BX33"")"),0)</f>
        <v>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IFERROR(__xludf.DUMMYFUNCTION("IMPORTRANGE(""https://docs.google.com/spreadsheets/d/1Yj_ptqi66GCucihVvJfMjLAmec39IyEx_6qawtMGysU/edit?usp=sharing"",""สบก!BY33"")"),0)</f>
        <v>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IFERROR(__xludf.DUMMYFUNCTION("IMPORTRANGE(""https://docs.google.com/spreadsheets/d/1Yj_ptqi66GCucihVvJfMjLAmec39IyEx_6qawtMGysU/edit?usp=sharing"",""สบก!BZ33"")"),0)</f>
        <v>0</v>
      </c>
      <c r="M258" s="52"/>
      <c r="N258" s="52">
        <f ca="1">IFERROR(__xludf.DUMMYFUNCTION("IMPORTRANGE(""https://docs.google.com/spreadsheets/d/1Yj_ptqi66GCucihVvJfMjLAmec39IyEx_6qawtMGysU/edit?usp=sharing"",""สบก!CD33"")"),0)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IFERROR(__xludf.DUMMYFUNCTION("IMPORTRANGE(""https://docs.google.com/spreadsheets/d/11923uPwbBZFjjGgGUA6NLw09EwE0CqkOc4q9oUmW1yo/edit?usp=sharing"",""ลำพูน!J175"")"),0)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IFERROR(__xludf.DUMMYFUNCTION("IMPORTRANGE(""https://docs.google.com/spreadsheets/d/11923uPwbBZFjjGgGUA6NLw09EwE0CqkOc4q9oUmW1yo/edit?usp=sharing"",""ลำพูน!J176"")"),0)</f>
        <v>0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IFERROR(__xludf.DUMMYFUNCTION("IMPORTRANGE(""https://docs.google.com/spreadsheets/d/11923uPwbBZFjjGgGUA6NLw09EwE0CqkOc4q9oUmW1yo/edit?usp=sharing"",""ลำพูน!J177"")"),0)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IFERROR(__xludf.DUMMYFUNCTION("IMPORTRANGE(""https://docs.google.com/spreadsheets/d/11923uPwbBZFjjGgGUA6NLw09EwE0CqkOc4q9oUmW1yo/edit?usp=sharing"",""ลำพูน!J178"")"),0)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IFERROR(__xludf.DUMMYFUNCTION("IMPORTRANGE(""https://docs.google.com/spreadsheets/d/11923uPwbBZFjjGgGUA6NLw09EwE0CqkOc4q9oUmW1yo/edit?usp=sharing"",""ลำพูน!I179"")"),0)</f>
        <v>0</v>
      </c>
      <c r="J264" s="190">
        <f ca="1">IFERROR(__xludf.DUMMYFUNCTION("IMPORTRANGE(""https://docs.google.com/spreadsheets/d/11923uPwbBZFjjGgGUA6NLw09EwE0CqkOc4q9oUmW1yo/edit?usp=sharing"",""ลำพูน!J179"")"),0)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IFERROR(__xludf.DUMMYFUNCTION("IMPORTRANGE(""https://docs.google.com/spreadsheets/d/11923uPwbBZFjjGgGUA6NLw09EwE0CqkOc4q9oUmW1yo/edit?usp=sharing"",""ลำพูน!I180"")"),0)</f>
        <v>0</v>
      </c>
      <c r="J265" s="190">
        <f ca="1">IFERROR(__xludf.DUMMYFUNCTION("IMPORTRANGE(""https://docs.google.com/spreadsheets/d/11923uPwbBZFjjGgGUA6NLw09EwE0CqkOc4q9oUmW1yo/edit?usp=sharing"",""ลำพูน!J180"")"),0)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IFERROR(__xludf.DUMMYFUNCTION("IMPORTRANGE(""https://docs.google.com/spreadsheets/d/11923uPwbBZFjjGgGUA6NLw09EwE0CqkOc4q9oUmW1yo/edit?usp=sharing"",""ลำพูน!I181"")"),0)</f>
        <v>0</v>
      </c>
      <c r="J266" s="190">
        <f ca="1">IFERROR(__xludf.DUMMYFUNCTION("IMPORTRANGE(""https://docs.google.com/spreadsheets/d/11923uPwbBZFjjGgGUA6NLw09EwE0CqkOc4q9oUmW1yo/edit?usp=sharing"",""ลำพูน!J181"")"),0)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IFERROR(__xludf.DUMMYFUNCTION("IMPORTRANGE(""https://docs.google.com/spreadsheets/d/11923uPwbBZFjjGgGUA6NLw09EwE0CqkOc4q9oUmW1yo/edit?usp=sharing"",""ลำพูน!I182"")"),0)</f>
        <v>0</v>
      </c>
      <c r="J267" s="190">
        <f ca="1">IFERROR(__xludf.DUMMYFUNCTION("IMPORTRANGE(""https://docs.google.com/spreadsheets/d/11923uPwbBZFjjGgGUA6NLw09EwE0CqkOc4q9oUmW1yo/edit?usp=sharing"",""ลำพูน!J182"")"),0)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IFERROR(__xludf.DUMMYFUNCTION("IMPORTRANGE(""https://docs.google.com/spreadsheets/d/11923uPwbBZFjjGgGUA6NLw09EwE0CqkOc4q9oUmW1yo/edit?usp=sharing"",""ลำพูน!J183"")"),0)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IFERROR(__xludf.DUMMYFUNCTION("IMPORTRANGE(""https://docs.google.com/spreadsheets/d/11923uPwbBZFjjGgGUA6NLw09EwE0CqkOc4q9oUmW1yo/edit?usp=sharing"",""ลำพูน!J184"")"),0)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IFERROR(__xludf.DUMMYFUNCTION("IMPORTRANGE(""https://docs.google.com/spreadsheets/d/11923uPwbBZFjjGgGUA6NLw09EwE0CqkOc4q9oUmW1yo/edit?usp=sharing"",""ลำพูน!I185"")"),15)</f>
        <v>15</v>
      </c>
      <c r="J270" s="317">
        <f ca="1">IFERROR(__xludf.DUMMYFUNCTION("IMPORTRANGE(""https://docs.google.com/spreadsheets/d/11923uPwbBZFjjGgGUA6NLw09EwE0CqkOc4q9oUmW1yo/edit?usp=sharing"",""ลำพูน!J185"")"),15)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28115</v>
      </c>
      <c r="O271" s="153">
        <f t="shared" ref="O271:O273" ca="1" si="84">IF(L271&gt;0,N271*100/L271,0)</f>
        <v>50.93297101449275</v>
      </c>
      <c r="P271" s="153">
        <f t="shared" ref="P271:P273" ca="1" si="85">IF(M271&gt;0,N271*100/M271,0)</f>
        <v>87.178294573643413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55200</v>
      </c>
      <c r="M273" s="90">
        <f t="shared" ca="1" si="87"/>
        <v>32250</v>
      </c>
      <c r="N273" s="90">
        <f t="shared" ca="1" si="87"/>
        <v>28115</v>
      </c>
      <c r="O273" s="158">
        <f t="shared" ca="1" si="84"/>
        <v>50.93297101449275</v>
      </c>
      <c r="P273" s="158">
        <f t="shared" ca="1" si="85"/>
        <v>87.178294573643413</v>
      </c>
    </row>
    <row r="274" spans="1:16" ht="21.75" customHeight="1">
      <c r="A274" s="159"/>
      <c r="B274" s="160"/>
      <c r="C274" s="160" t="s">
        <v>16</v>
      </c>
      <c r="D274" s="570" t="s">
        <v>20</v>
      </c>
      <c r="E274" s="565"/>
      <c r="F274" s="565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IFERROR(__xludf.DUMMYFUNCTION("IMPORTRANGE(""https://docs.google.com/spreadsheets/d/1Yj_ptqi66GCucihVvJfMjLAmec39IyEx_6qawtMGysU/edit?usp=sharing"",""สบก!CK33"")"),32250)</f>
        <v>32250</v>
      </c>
      <c r="N275" s="170">
        <f ca="1">IFERROR(__xludf.DUMMYFUNCTION("IMPORTRANGE(""https://docs.google.com/spreadsheets/d/1Yj_ptqi66GCucihVvJfMjLAmec39IyEx_6qawtMGysU/edit?usp=sharing"",""สบก!CL33"")"),28115)</f>
        <v>28115</v>
      </c>
      <c r="O275" s="170">
        <f ca="1">IF(L275&gt;0,N275*100/L275,0)</f>
        <v>50.93297101449275</v>
      </c>
      <c r="P275" s="170">
        <f ca="1">IF(M275&gt;0,N275*100/M275,0)</f>
        <v>87.178294573643413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IFERROR(__xludf.DUMMYFUNCTION("IMPORTRANGE(""https://docs.google.com/spreadsheets/d/1Yj_ptqi66GCucihVvJfMjLAmec39IyEx_6qawtMGysU/edit?usp=sharing"",""สบก!CG33"")"),0)</f>
        <v>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IFERROR(__xludf.DUMMYFUNCTION("IMPORTRANGE(""https://docs.google.com/spreadsheets/d/1Yj_ptqi66GCucihVvJfMjLAmec39IyEx_6qawtMGysU/edit?usp=sharing"",""สบก!CH33"")"),55200)</f>
        <v>55200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IFERROR(__xludf.DUMMYFUNCTION("IMPORTRANGE(""https://docs.google.com/spreadsheets/d/1Yj_ptqi66GCucihVvJfMjLAmec39IyEx_6qawtMGysU/edit?usp=sharing"",""สบก!CI33"")"),0)</f>
        <v>0</v>
      </c>
      <c r="M279" s="52"/>
      <c r="N279" s="52">
        <f ca="1">IFERROR(__xludf.DUMMYFUNCTION("IMPORTRANGE(""https://docs.google.com/spreadsheets/d/1Yj_ptqi66GCucihVvJfMjLAmec39IyEx_6qawtMGysU/edit?usp=sharing"",""สบก!CM33"")"),0)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IFERROR(__xludf.DUMMYFUNCTION("IMPORTRANGE(""https://docs.google.com/spreadsheets/d/11923uPwbBZFjjGgGUA6NLw09EwE0CqkOc4q9oUmW1yo/edit?usp=sharing"",""ลำพูน!J191"")"),0)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IFERROR(__xludf.DUMMYFUNCTION("IMPORTRANGE(""https://docs.google.com/spreadsheets/d/11923uPwbBZFjjGgGUA6NLw09EwE0CqkOc4q9oUmW1yo/edit?usp=sharing"",""ลำพูน!J192"")"),1)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IFERROR(__xludf.DUMMYFUNCTION("IMPORTRANGE(""https://docs.google.com/spreadsheets/d/11923uPwbBZFjjGgGUA6NLw09EwE0CqkOc4q9oUmW1yo/edit?usp=sharing"",""ลำพูน!J193"")"),1)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IFERROR(__xludf.DUMMYFUNCTION("IMPORTRANGE(""https://docs.google.com/spreadsheets/d/11923uPwbBZFjjGgGUA6NLw09EwE0CqkOc4q9oUmW1yo/edit?usp=sharing"",""ลำพูน!J194"")"),1)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IFERROR(__xludf.DUMMYFUNCTION("IMPORTRANGE(""https://docs.google.com/spreadsheets/d/11923uPwbBZFjjGgGUA6NLw09EwE0CqkOc4q9oUmW1yo/edit?usp=sharing"",""ลำพูน!I195"")"),15)</f>
        <v>15</v>
      </c>
      <c r="J285" s="190">
        <f ca="1">IFERROR(__xludf.DUMMYFUNCTION("IMPORTRANGE(""https://docs.google.com/spreadsheets/d/11923uPwbBZFjjGgGUA6NLw09EwE0CqkOc4q9oUmW1yo/edit?usp=sharing"",""ลำพูน!J195"")"),15)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IFERROR(__xludf.DUMMYFUNCTION("IMPORTRANGE(""https://docs.google.com/spreadsheets/d/11923uPwbBZFjjGgGUA6NLw09EwE0CqkOc4q9oUmW1yo/edit?usp=sharing"",""ลำพูน!J196"")"),0)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IFERROR(__xludf.DUMMYFUNCTION("IMPORTRANGE(""https://docs.google.com/spreadsheets/d/11923uPwbBZFjjGgGUA6NLw09EwE0CqkOc4q9oUmW1yo/edit?usp=sharing"",""ลำพูน!J197"")"),0)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IFERROR(__xludf.DUMMYFUNCTION("IMPORTRANGE(""https://docs.google.com/spreadsheets/d/11923uPwbBZFjjGgGUA6NLw09EwE0CqkOc4q9oUmW1yo/edit?usp=sharing"",""ลำพูน!I199"")"),0)</f>
        <v>0</v>
      </c>
      <c r="J289" s="317">
        <f ca="1">IFERROR(__xludf.DUMMYFUNCTION("IMPORTRANGE(""https://docs.google.com/spreadsheets/d/11923uPwbBZFjjGgGUA6NLw09EwE0CqkOc4q9oUmW1yo/edit?usp=sharing"",""ลำพูน!J199"")"),0)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0</v>
      </c>
      <c r="M292" s="90">
        <f t="shared" ca="1" si="92"/>
        <v>0</v>
      </c>
      <c r="N292" s="90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59"/>
      <c r="B293" s="160"/>
      <c r="C293" s="160" t="s">
        <v>16</v>
      </c>
      <c r="D293" s="570" t="s">
        <v>20</v>
      </c>
      <c r="E293" s="565"/>
      <c r="F293" s="565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IFERROR(__xludf.DUMMYFUNCTION("IMPORTRANGE(""https://docs.google.com/spreadsheets/d/1Yj_ptqi66GCucihVvJfMjLAmec39IyEx_6qawtMGysU/edit?usp=sharing"",""สบก!CT33"")"),0)</f>
        <v>0</v>
      </c>
      <c r="N294" s="170">
        <f ca="1">IFERROR(__xludf.DUMMYFUNCTION("IMPORTRANGE(""https://docs.google.com/spreadsheets/d/1Yj_ptqi66GCucihVvJfMjLAmec39IyEx_6qawtMGysU/edit?usp=sharing"",""สบก!CU33"")"),0)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IFERROR(__xludf.DUMMYFUNCTION("IMPORTRANGE(""https://docs.google.com/spreadsheets/d/1Yj_ptqi66GCucihVvJfMjLAmec39IyEx_6qawtMGysU/edit?usp=sharing"",""สบก!CP33"")"),0)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IFERROR(__xludf.DUMMYFUNCTION("IMPORTRANGE(""https://docs.google.com/spreadsheets/d/1Yj_ptqi66GCucihVvJfMjLAmec39IyEx_6qawtMGysU/edit?usp=sharing"",""สบก!CQ33"")"),0)</f>
        <v>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IFERROR(__xludf.DUMMYFUNCTION("IMPORTRANGE(""https://docs.google.com/spreadsheets/d/1Yj_ptqi66GCucihVvJfMjLAmec39IyEx_6qawtMGysU/edit?usp=sharing"",""สบก!CR33"")"),0)</f>
        <v>0</v>
      </c>
      <c r="M298" s="52"/>
      <c r="N298" s="52">
        <f ca="1">IFERROR(__xludf.DUMMYFUNCTION("IMPORTRANGE(""https://docs.google.com/spreadsheets/d/1Yj_ptqi66GCucihVvJfMjLAmec39IyEx_6qawtMGysU/edit?usp=sharing"",""สบก!CV33"")"),0)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IFERROR(__xludf.DUMMYFUNCTION("IMPORTRANGE(""https://docs.google.com/spreadsheets/d/11923uPwbBZFjjGgGUA6NLw09EwE0CqkOc4q9oUmW1yo/edit?usp=sharing"",""ลำพูน!J205"")"),0)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IFERROR(__xludf.DUMMYFUNCTION("IMPORTRANGE(""https://docs.google.com/spreadsheets/d/11923uPwbBZFjjGgGUA6NLw09EwE0CqkOc4q9oUmW1yo/edit?usp=sharing"",""ลำพูน!J206"")"),0)</f>
        <v>0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IFERROR(__xludf.DUMMYFUNCTION("IMPORTRANGE(""https://docs.google.com/spreadsheets/d/11923uPwbBZFjjGgGUA6NLw09EwE0CqkOc4q9oUmW1yo/edit?usp=sharing"",""ลำพูน!J207"")"),0)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IFERROR(__xludf.DUMMYFUNCTION("IMPORTRANGE(""https://docs.google.com/spreadsheets/d/11923uPwbBZFjjGgGUA6NLw09EwE0CqkOc4q9oUmW1yo/edit?usp=sharing"",""ลำพูน!J208"")"),0)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IFERROR(__xludf.DUMMYFUNCTION("IMPORTRANGE(""https://docs.google.com/spreadsheets/d/11923uPwbBZFjjGgGUA6NLw09EwE0CqkOc4q9oUmW1yo/edit?usp=sharing"",""ลำพูน!I209"")"),0)</f>
        <v>0</v>
      </c>
      <c r="J304" s="205">
        <f ca="1">IFERROR(__xludf.DUMMYFUNCTION("IMPORTRANGE(""https://docs.google.com/spreadsheets/d/11923uPwbBZFjjGgGUA6NLw09EwE0CqkOc4q9oUmW1yo/edit?usp=sharing"",""ลำพูน!J209"")"),0)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IFERROR(__xludf.DUMMYFUNCTION("IMPORTRANGE(""https://docs.google.com/spreadsheets/d/11923uPwbBZFjjGgGUA6NLw09EwE0CqkOc4q9oUmW1yo/edit?usp=sharing"",""ลำพูน!I211"")"),0)</f>
        <v>0</v>
      </c>
      <c r="J306" s="205">
        <f ca="1">IFERROR(__xludf.DUMMYFUNCTION("IMPORTRANGE(""https://docs.google.com/spreadsheets/d/11923uPwbBZFjjGgGUA6NLw09EwE0CqkOc4q9oUmW1yo/edit?usp=sharing"",""ลำพูน!J211"")"),0)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IFERROR(__xludf.DUMMYFUNCTION("IMPORTRANGE(""https://docs.google.com/spreadsheets/d/11923uPwbBZFjjGgGUA6NLw09EwE0CqkOc4q9oUmW1yo/edit?usp=sharing"",""ลำพูน!J212"")"),0)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IFERROR(__xludf.DUMMYFUNCTION("IMPORTRANGE(""https://docs.google.com/spreadsheets/d/11923uPwbBZFjjGgGUA6NLw09EwE0CqkOc4q9oUmW1yo/edit?usp=sharing"",""ลำพูน!J213"")"),0)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IFERROR(__xludf.DUMMYFUNCTION("IMPORTRANGE(""https://docs.google.com/spreadsheets/d/11923uPwbBZFjjGgGUA6NLw09EwE0CqkOc4q9oUmW1yo/edit?usp=sharing"",""ลำพูน!I214"")"),0)</f>
        <v>0</v>
      </c>
      <c r="J309" s="334">
        <f ca="1">IFERROR(__xludf.DUMMYFUNCTION("IMPORTRANGE(""https://docs.google.com/spreadsheets/d/11923uPwbBZFjjGgGUA6NLw09EwE0CqkOc4q9oUmW1yo/edit?usp=sharing"",""ลำพูน!J214"")"),0)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0</v>
      </c>
      <c r="M312" s="90">
        <f t="shared" ca="1" si="97"/>
        <v>0</v>
      </c>
      <c r="N312" s="90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59"/>
      <c r="B313" s="160"/>
      <c r="C313" s="160" t="s">
        <v>16</v>
      </c>
      <c r="D313" s="570" t="s">
        <v>20</v>
      </c>
      <c r="E313" s="565"/>
      <c r="F313" s="565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IFERROR(__xludf.DUMMYFUNCTION("IMPORTRANGE(""https://docs.google.com/spreadsheets/d/1Yj_ptqi66GCucihVvJfMjLAmec39IyEx_6qawtMGysU/edit?usp=sharing"",""สบก!DC33"")"),0)</f>
        <v>0</v>
      </c>
      <c r="N314" s="170">
        <f ca="1">IFERROR(__xludf.DUMMYFUNCTION("IMPORTRANGE(""https://docs.google.com/spreadsheets/d/1Yj_ptqi66GCucihVvJfMjLAmec39IyEx_6qawtMGysU/edit?usp=sharing"",""สบก!DD33"")"),0)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IFERROR(__xludf.DUMMYFUNCTION("IMPORTRANGE(""https://docs.google.com/spreadsheets/d/1Yj_ptqi66GCucihVvJfMjLAmec39IyEx_6qawtMGysU/edit?usp=sharing"",""สบก!CY33"")"),0)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IFERROR(__xludf.DUMMYFUNCTION("IMPORTRANGE(""https://docs.google.com/spreadsheets/d/1Yj_ptqi66GCucihVvJfMjLAmec39IyEx_6qawtMGysU/edit?usp=sharing"",""สบก!CZ33"")"),0)</f>
        <v>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IFERROR(__xludf.DUMMYFUNCTION("IMPORTRANGE(""https://docs.google.com/spreadsheets/d/1Yj_ptqi66GCucihVvJfMjLAmec39IyEx_6qawtMGysU/edit?usp=sharing"",""สบก!DA33"")"),0)</f>
        <v>0</v>
      </c>
      <c r="M318" s="52"/>
      <c r="N318" s="52">
        <f ca="1">IFERROR(__xludf.DUMMYFUNCTION("IMPORTRANGE(""https://docs.google.com/spreadsheets/d/1Yj_ptqi66GCucihVvJfMjLAmec39IyEx_6qawtMGysU/edit?usp=sharing"",""สบก!DE33"")"),0)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IFERROR(__xludf.DUMMYFUNCTION("IMPORTRANGE(""https://docs.google.com/spreadsheets/d/11923uPwbBZFjjGgGUA6NLw09EwE0CqkOc4q9oUmW1yo/edit?usp=sharing"",""ลำพูน!J220"")"),0)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IFERROR(__xludf.DUMMYFUNCTION("IMPORTRANGE(""https://docs.google.com/spreadsheets/d/11923uPwbBZFjjGgGUA6NLw09EwE0CqkOc4q9oUmW1yo/edit?usp=sharing"",""ลำพูน!J221"")"),0)</f>
        <v>0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IFERROR(__xludf.DUMMYFUNCTION("IMPORTRANGE(""https://docs.google.com/spreadsheets/d/11923uPwbBZFjjGgGUA6NLw09EwE0CqkOc4q9oUmW1yo/edit?usp=sharing"",""ลำพูน!J222"")"),0)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IFERROR(__xludf.DUMMYFUNCTION("IMPORTRANGE(""https://docs.google.com/spreadsheets/d/11923uPwbBZFjjGgGUA6NLw09EwE0CqkOc4q9oUmW1yo/edit?usp=sharing"",""ลำพูน!J223"")"),0)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IFERROR(__xludf.DUMMYFUNCTION("IMPORTRANGE(""https://docs.google.com/spreadsheets/d/11923uPwbBZFjjGgGUA6NLw09EwE0CqkOc4q9oUmW1yo/edit?usp=sharing"",""ลำพูน!I224"")"),0)</f>
        <v>0</v>
      </c>
      <c r="J324" s="205">
        <f ca="1">IFERROR(__xludf.DUMMYFUNCTION("IMPORTRANGE(""https://docs.google.com/spreadsheets/d/11923uPwbBZFjjGgGUA6NLw09EwE0CqkOc4q9oUmW1yo/edit?usp=sharing"",""ลำพูน!J224"")"),0)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IFERROR(__xludf.DUMMYFUNCTION("IMPORTRANGE(""https://docs.google.com/spreadsheets/d/11923uPwbBZFjjGgGUA6NLw09EwE0CqkOc4q9oUmW1yo/edit?usp=sharing"",""ลำพูน!J225"")"),0)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IFERROR(__xludf.DUMMYFUNCTION("IMPORTRANGE(""https://docs.google.com/spreadsheets/d/11923uPwbBZFjjGgGUA6NLw09EwE0CqkOc4q9oUmW1yo/edit?usp=sharing"",""ลำพูน!J226"")"),0)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IFERROR(__xludf.DUMMYFUNCTION("IMPORTRANGE(""https://docs.google.com/spreadsheets/d/11923uPwbBZFjjGgGUA6NLw09EwE0CqkOc4q9oUmW1yo/edit?usp=sharing"",""ลำพูน!I228"")"),342)</f>
        <v>342</v>
      </c>
      <c r="J328" s="340">
        <f ca="1">IFERROR(__xludf.DUMMYFUNCTION("IMPORTRANGE(""https://docs.google.com/spreadsheets/d/11923uPwbBZFjjGgGUA6NLw09EwE0CqkOc4q9oUmW1yo/edit?usp=sharing"",""ลำพูน!J228"")"),100)</f>
        <v>100</v>
      </c>
      <c r="K328" s="318">
        <f ca="1">IF(I328&gt;0,J328*100/I328,0)</f>
        <v>29.239766081871345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733780</v>
      </c>
      <c r="M329" s="154">
        <f t="shared" ca="1" si="98"/>
        <v>573160</v>
      </c>
      <c r="N329" s="154">
        <f t="shared" ca="1" si="98"/>
        <v>362432</v>
      </c>
      <c r="O329" s="153">
        <f t="shared" ref="O329:O331" ca="1" si="99">IF(L329&gt;0,N329*100/L329,0)</f>
        <v>49.392460955599773</v>
      </c>
      <c r="P329" s="153">
        <f t="shared" ref="P329:P331" ca="1" si="100">IF(M329&gt;0,N329*100/M329,0)</f>
        <v>63.234000977039571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733780</v>
      </c>
      <c r="M331" s="90">
        <f t="shared" ca="1" si="102"/>
        <v>573160</v>
      </c>
      <c r="N331" s="90">
        <f t="shared" ca="1" si="102"/>
        <v>362432</v>
      </c>
      <c r="O331" s="158">
        <f t="shared" ca="1" si="99"/>
        <v>49.392460955599773</v>
      </c>
      <c r="P331" s="158">
        <f t="shared" ca="1" si="100"/>
        <v>63.234000977039571</v>
      </c>
    </row>
    <row r="332" spans="1:16" ht="21.75" customHeight="1">
      <c r="A332" s="159"/>
      <c r="B332" s="160"/>
      <c r="C332" s="160" t="s">
        <v>16</v>
      </c>
      <c r="D332" s="570" t="s">
        <v>20</v>
      </c>
      <c r="E332" s="565"/>
      <c r="F332" s="565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722380</v>
      </c>
      <c r="M333" s="169">
        <f ca="1">IFERROR(__xludf.DUMMYFUNCTION("IMPORTRANGE(""https://docs.google.com/spreadsheets/d/1Yj_ptqi66GCucihVvJfMjLAmec39IyEx_6qawtMGysU/edit?usp=sharing"",""สบก!DL33"")"),561760)</f>
        <v>561760</v>
      </c>
      <c r="N333" s="170">
        <f ca="1">IFERROR(__xludf.DUMMYFUNCTION("IMPORTRANGE(""https://docs.google.com/spreadsheets/d/1Yj_ptqi66GCucihVvJfMjLAmec39IyEx_6qawtMGysU/edit?usp=sharing"",""สบก!DM33"")"),351032)</f>
        <v>351032</v>
      </c>
      <c r="O333" s="170">
        <f ca="1">IF(L333&gt;0,N333*100/L333,0)</f>
        <v>48.593814889670256</v>
      </c>
      <c r="P333" s="170">
        <f ca="1">IF(M333&gt;0,N333*100/M333,0)</f>
        <v>62.487895186556536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IFERROR(__xludf.DUMMYFUNCTION("IMPORTRANGE(""https://docs.google.com/spreadsheets/d/1Yj_ptqi66GCucihVvJfMjLAmec39IyEx_6qawtMGysU/edit?usp=sharing"",""สบก!DH33"")"),417600)</f>
        <v>417600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IFERROR(__xludf.DUMMYFUNCTION("IMPORTRANGE(""https://docs.google.com/spreadsheets/d/1Yj_ptqi66GCucihVvJfMjLAmec39IyEx_6qawtMGysU/edit?usp=sharing"",""สบก!DI33"")"),304780)</f>
        <v>304780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IFERROR(__xludf.DUMMYFUNCTION("IMPORTRANGE(""https://docs.google.com/spreadsheets/d/1Yj_ptqi66GCucihVvJfMjLAmec39IyEx_6qawtMGysU/edit?usp=sharing"",""สบก!DJ33"")"),11400)</f>
        <v>11400</v>
      </c>
      <c r="M337" s="52">
        <f ca="1">L337</f>
        <v>11400</v>
      </c>
      <c r="N337" s="52">
        <f ca="1">IFERROR(__xludf.DUMMYFUNCTION("IMPORTRANGE(""https://docs.google.com/spreadsheets/d/1Yj_ptqi66GCucihVvJfMjLAmec39IyEx_6qawtMGysU/edit?usp=sharing"",""สบก!DN33"")"),11400)</f>
        <v>11400</v>
      </c>
      <c r="O337" s="52">
        <f ca="1">IF(L337&gt;0,N337*100/L337,0)</f>
        <v>100</v>
      </c>
      <c r="P337" s="52">
        <f ca="1">IF(M337&gt;0,N337*100/M337,0)</f>
        <v>100</v>
      </c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IFERROR(__xludf.DUMMYFUNCTION("IMPORTRANGE(""https://docs.google.com/spreadsheets/d/11923uPwbBZFjjGgGUA6NLw09EwE0CqkOc4q9oUmW1yo/edit?usp=sharing"",""ลำพูน!I234"")"),0)</f>
        <v>0</v>
      </c>
      <c r="J339" s="189">
        <f ca="1">IFERROR(__xludf.DUMMYFUNCTION("IMPORTRANGE(""https://docs.google.com/spreadsheets/d/11923uPwbBZFjjGgGUA6NLw09EwE0CqkOc4q9oUmW1yo/edit?usp=sharing"",""ลำพูน!J234"")"),84)</f>
        <v>84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IFERROR(__xludf.DUMMYFUNCTION("IMPORTRANGE(""https://docs.google.com/spreadsheets/d/11923uPwbBZFjjGgGUA6NLw09EwE0CqkOc4q9oUmW1yo/edit?usp=sharing"",""ลำพูน!I235"")"),700)</f>
        <v>700</v>
      </c>
      <c r="J340" s="189">
        <f ca="1">IFERROR(__xludf.DUMMYFUNCTION("IMPORTRANGE(""https://docs.google.com/spreadsheets/d/11923uPwbBZFjjGgGUA6NLw09EwE0CqkOc4q9oUmW1yo/edit?usp=sharing"",""ลำพูน!J235"")"),333.67)</f>
        <v>333.67</v>
      </c>
      <c r="K340" s="343">
        <f t="shared" ca="1" si="103"/>
        <v>47.667142857142856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IFERROR(__xludf.DUMMYFUNCTION("IMPORTRANGE(""https://docs.google.com/spreadsheets/d/11923uPwbBZFjjGgGUA6NLw09EwE0CqkOc4q9oUmW1yo/edit?usp=sharing"",""ลำพูน!I236"")"),342)</f>
        <v>342</v>
      </c>
      <c r="J341" s="189">
        <f ca="1">IFERROR(__xludf.DUMMYFUNCTION("IMPORTRANGE(""https://docs.google.com/spreadsheets/d/11923uPwbBZFjjGgGUA6NLw09EwE0CqkOc4q9oUmW1yo/edit?usp=sharing"",""ลำพูน!J236"")"),155)</f>
        <v>155</v>
      </c>
      <c r="K341" s="343">
        <f t="shared" ca="1" si="103"/>
        <v>45.321637426900587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IFERROR(__xludf.DUMMYFUNCTION("IMPORTRANGE(""https://docs.google.com/spreadsheets/d/11923uPwbBZFjjGgGUA6NLw09EwE0CqkOc4q9oUmW1yo/edit?usp=sharing"",""ลำพูน!I237"")"),0)</f>
        <v>0</v>
      </c>
      <c r="J342" s="189">
        <f ca="1">IFERROR(__xludf.DUMMYFUNCTION("IMPORTRANGE(""https://docs.google.com/spreadsheets/d/11923uPwbBZFjjGgGUA6NLw09EwE0CqkOc4q9oUmW1yo/edit?usp=sharing"",""ลำพูน!J237"")"),923.04)</f>
        <v>923.04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IFERROR(__xludf.DUMMYFUNCTION("IMPORTRANGE(""https://docs.google.com/spreadsheets/d/11923uPwbBZFjjGgGUA6NLw09EwE0CqkOc4q9oUmW1yo/edit?usp=sharing"",""ลำพูน!I238"")"),342)</f>
        <v>342</v>
      </c>
      <c r="J343" s="189">
        <f ca="1">IFERROR(__xludf.DUMMYFUNCTION("IMPORTRANGE(""https://docs.google.com/spreadsheets/d/11923uPwbBZFjjGgGUA6NLw09EwE0CqkOc4q9oUmW1yo/edit?usp=sharing"",""ลำพูน!J238"")"),0)</f>
        <v>0</v>
      </c>
      <c r="K343" s="343">
        <f t="shared" ca="1" si="103"/>
        <v>0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IFERROR(__xludf.DUMMYFUNCTION("IMPORTRANGE(""https://docs.google.com/spreadsheets/d/11923uPwbBZFjjGgGUA6NLw09EwE0CqkOc4q9oUmW1yo/edit?usp=sharing"",""ลำพูน!I239"")"),0)</f>
        <v>0</v>
      </c>
      <c r="J344" s="189">
        <f ca="1">IFERROR(__xludf.DUMMYFUNCTION("IMPORTRANGE(""https://docs.google.com/spreadsheets/d/11923uPwbBZFjjGgGUA6NLw09EwE0CqkOc4q9oUmW1yo/edit?usp=sharing"",""ลำพูน!J239"")"),0)</f>
        <v>0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IFERROR(__xludf.DUMMYFUNCTION("IMPORTRANGE(""https://docs.google.com/spreadsheets/d/11923uPwbBZFjjGgGUA6NLw09EwE0CqkOc4q9oUmW1yo/edit?usp=sharing"",""ลำพูน!I240"")"),342)</f>
        <v>342</v>
      </c>
      <c r="J345" s="189">
        <f ca="1">IFERROR(__xludf.DUMMYFUNCTION("IMPORTRANGE(""https://docs.google.com/spreadsheets/d/11923uPwbBZFjjGgGUA6NLw09EwE0CqkOc4q9oUmW1yo/edit?usp=sharing"",""ลำพูน!J240"")"),100)</f>
        <v>100</v>
      </c>
      <c r="K345" s="343">
        <f t="shared" ca="1" si="103"/>
        <v>29.239766081871345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IFERROR(__xludf.DUMMYFUNCTION("IMPORTRANGE(""https://docs.google.com/spreadsheets/d/11923uPwbBZFjjGgGUA6NLw09EwE0CqkOc4q9oUmW1yo/edit?usp=sharing"",""ลำพูน!I241"")"),0)</f>
        <v>0</v>
      </c>
      <c r="J346" s="189">
        <f ca="1">IFERROR(__xludf.DUMMYFUNCTION("IMPORTRANGE(""https://docs.google.com/spreadsheets/d/11923uPwbBZFjjGgGUA6NLw09EwE0CqkOc4q9oUmW1yo/edit?usp=sharing"",""ลำพูน!J241"")"),663.87)</f>
        <v>663.87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IFERROR(__xludf.DUMMYFUNCTION("IMPORTRANGE(""https://docs.google.com/spreadsheets/d/11923uPwbBZFjjGgGUA6NLw09EwE0CqkOc4q9oUmW1yo/edit?usp=sharing"",""ลำพูน!L242"")"),2412210)</f>
        <v>2412210</v>
      </c>
      <c r="M347" s="359"/>
      <c r="N347" s="359">
        <f ca="1">IFERROR(__xludf.DUMMYFUNCTION("IMPORTRANGE(""https://docs.google.com/spreadsheets/d/11923uPwbBZFjjGgGUA6NLw09EwE0CqkOc4q9oUmW1yo/edit?usp=sharing"",""ลำพูน!M242"")"),966620)</f>
        <v>966620</v>
      </c>
      <c r="O347" s="359">
        <f ca="1">+IF(L347&gt;0,N347*100/L347,0)</f>
        <v>40.071967200202302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IFERROR(__xludf.DUMMYFUNCTION("IMPORTRANGE(""https://docs.google.com/spreadsheets/d/11923uPwbBZFjjGgGUA6NLw09EwE0CqkOc4q9oUmW1yo/edit?usp=sharing"",""ลำพูน!I244"")"),200)</f>
        <v>200</v>
      </c>
      <c r="J349" s="372">
        <f ca="1">IFERROR(__xludf.DUMMYFUNCTION("IMPORTRANGE(""https://docs.google.com/spreadsheets/d/11923uPwbBZFjjGgGUA6NLw09EwE0CqkOc4q9oUmW1yo/edit?usp=sharing"",""ลำพูน!J244"")"),200)</f>
        <v>200</v>
      </c>
      <c r="K349" s="373">
        <f t="shared" ref="K349:K350" ca="1" si="104">IF(I349&gt;0,J349*100/I349,0)</f>
        <v>100</v>
      </c>
      <c r="L349" s="374">
        <f ca="1">IFERROR(__xludf.DUMMYFUNCTION("IMPORTRANGE(""https://docs.google.com/spreadsheets/d/11923uPwbBZFjjGgGUA6NLw09EwE0CqkOc4q9oUmW1yo/edit?usp=sharing"",""ลำพูน!L244"")"),459380)</f>
        <v>459380</v>
      </c>
      <c r="M349" s="374"/>
      <c r="N349" s="374">
        <f ca="1">IFERROR(__xludf.DUMMYFUNCTION("IMPORTRANGE(""https://docs.google.com/spreadsheets/d/11923uPwbBZFjjGgGUA6NLw09EwE0CqkOc4q9oUmW1yo/edit?usp=sharing"",""ลำพูน!M244"")"),323820)</f>
        <v>323820</v>
      </c>
      <c r="O349" s="374">
        <f ca="1">+IF(L349&gt;0,N349*100/L349,0)</f>
        <v>70.490661326135225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IFERROR(__xludf.DUMMYFUNCTION("IMPORTRANGE(""https://docs.google.com/spreadsheets/d/11923uPwbBZFjjGgGUA6NLw09EwE0CqkOc4q9oUmW1yo/edit?usp=sharing"",""ลำพูน!I245"")"),70)</f>
        <v>70</v>
      </c>
      <c r="J350" s="372">
        <f ca="1">IFERROR(__xludf.DUMMYFUNCTION("IMPORTRANGE(""https://docs.google.com/spreadsheets/d/11923uPwbBZFjjGgGUA6NLw09EwE0CqkOc4q9oUmW1yo/edit?usp=sharing"",""ลำพูน!J245"")"),70)</f>
        <v>70</v>
      </c>
      <c r="K350" s="373">
        <f t="shared" ca="1" si="104"/>
        <v>100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IFERROR(__xludf.DUMMYFUNCTION("IMPORTRANGE(""https://docs.google.com/spreadsheets/d/11923uPwbBZFjjGgGUA6NLw09EwE0CqkOc4q9oUmW1yo/edit?usp=sharing"",""ลำพูน!L246"")"),0)</f>
        <v>0</v>
      </c>
      <c r="M351" s="166"/>
      <c r="N351" s="166">
        <f ca="1">IFERROR(__xludf.DUMMYFUNCTION("IMPORTRANGE(""https://docs.google.com/spreadsheets/d/11923uPwbBZFjjGgGUA6NLw09EwE0CqkOc4q9oUmW1yo/edit?usp=sharing"",""ลำพูน!M246"")"),0)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IFERROR(__xludf.DUMMYFUNCTION("IMPORTRANGE(""https://docs.google.com/spreadsheets/d/11923uPwbBZFjjGgGUA6NLw09EwE0CqkOc4q9oUmW1yo/edit?usp=sharing"",""ลำพูน!L247"")"),459380)</f>
        <v>459380</v>
      </c>
      <c r="M352" s="167"/>
      <c r="N352" s="166">
        <f ca="1">IFERROR(__xludf.DUMMYFUNCTION("IMPORTRANGE(""https://docs.google.com/spreadsheets/d/11923uPwbBZFjjGgGUA6NLw09EwE0CqkOc4q9oUmW1yo/edit?usp=sharing"",""ลำพูน!M247"")"),323820)</f>
        <v>323820</v>
      </c>
      <c r="O352" s="167">
        <f t="shared" ca="1" si="105"/>
        <v>70.490661326135225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IFERROR(__xludf.DUMMYFUNCTION("IMPORTRANGE(""https://docs.google.com/spreadsheets/d/11923uPwbBZFjjGgGUA6NLw09EwE0CqkOc4q9oUmW1yo/edit?usp=sharing"",""ลำพูน!L248"")"),0)</f>
        <v>0</v>
      </c>
      <c r="M353" s="170"/>
      <c r="N353" s="170">
        <f ca="1">IFERROR(__xludf.DUMMYFUNCTION("IMPORTRANGE(""https://docs.google.com/spreadsheets/d/11923uPwbBZFjjGgGUA6NLw09EwE0CqkOc4q9oUmW1yo/edit?usp=sharing"",""ลำพูน!M248"")"),0)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IFERROR(__xludf.DUMMYFUNCTION("IMPORTRANGE(""https://docs.google.com/spreadsheets/d/11923uPwbBZFjjGgGUA6NLw09EwE0CqkOc4q9oUmW1yo/edit?usp=sharing"",""ลำพูน!L249"")"),459380)</f>
        <v>459380</v>
      </c>
      <c r="M354" s="170"/>
      <c r="N354" s="169">
        <f ca="1">IFERROR(__xludf.DUMMYFUNCTION("IMPORTRANGE(""https://docs.google.com/spreadsheets/d/11923uPwbBZFjjGgGUA6NLw09EwE0CqkOc4q9oUmW1yo/edit?usp=sharing"",""ลำพูน!M249"")"),323820)</f>
        <v>323820</v>
      </c>
      <c r="O354" s="170">
        <f t="shared" ca="1" si="105"/>
        <v>70.490661326135225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IFERROR(__xludf.DUMMYFUNCTION("IMPORTRANGE(""https://docs.google.com/spreadsheets/d/11923uPwbBZFjjGgGUA6NLw09EwE0CqkOc4q9oUmW1yo/edit?usp=sharing"",""ลำพูน!M250"")"),84600)</f>
        <v>84600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IFERROR(__xludf.DUMMYFUNCTION("IMPORTRANGE(""https://docs.google.com/spreadsheets/d/11923uPwbBZFjjGgGUA6NLw09EwE0CqkOc4q9oUmW1yo/edit?usp=sharing"",""ลำพูน!M251"")"),183800)</f>
        <v>183800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IFERROR(__xludf.DUMMYFUNCTION("IMPORTRANGE(""https://docs.google.com/spreadsheets/d/11923uPwbBZFjjGgGUA6NLw09EwE0CqkOc4q9oUmW1yo/edit?usp=sharing"",""ลำพูน!M252"")"),42935)</f>
        <v>42935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IFERROR(__xludf.DUMMYFUNCTION("IMPORTRANGE(""https://docs.google.com/spreadsheets/d/11923uPwbBZFjjGgGUA6NLw09EwE0CqkOc4q9oUmW1yo/edit?usp=sharing"",""ลำพูน!M253"")"),12485)</f>
        <v>12485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IFERROR(__xludf.DUMMYFUNCTION("IMPORTRANGE(""https://docs.google.com/spreadsheets/d/11923uPwbBZFjjGgGUA6NLw09EwE0CqkOc4q9oUmW1yo/edit?usp=sharing"",""ลำพูน!J255"")"),0)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IFERROR(__xludf.DUMMYFUNCTION("IMPORTRANGE(""https://docs.google.com/spreadsheets/d/11923uPwbBZFjjGgGUA6NLw09EwE0CqkOc4q9oUmW1yo/edit?usp=sharing"",""ลำพูน!J256"")"),1)</f>
        <v>1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IFERROR(__xludf.DUMMYFUNCTION("IMPORTRANGE(""https://docs.google.com/spreadsheets/d/11923uPwbBZFjjGgGUA6NLw09EwE0CqkOc4q9oUmW1yo/edit?usp=sharing"",""ลำพูน!J257"")"),1)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IFERROR(__xludf.DUMMYFUNCTION("IMPORTRANGE(""https://docs.google.com/spreadsheets/d/11923uPwbBZFjjGgGUA6NLw09EwE0CqkOc4q9oUmW1yo/edit?usp=sharing"",""ลำพูน!J258"")"),0)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IFERROR(__xludf.DUMMYFUNCTION("IMPORTRANGE(""https://docs.google.com/spreadsheets/d/11923uPwbBZFjjGgGUA6NLw09EwE0CqkOc4q9oUmW1yo/edit?usp=sharing"",""ลำพูน!J166"")"),0)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IFERROR(__xludf.DUMMYFUNCTION("IMPORTRANGE(""https://docs.google.com/spreadsheets/d/11923uPwbBZFjjGgGUA6NLw09EwE0CqkOc4q9oUmW1yo/edit?usp=sharing"",""ลำพูน!J166"")"),0)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IFERROR(__xludf.DUMMYFUNCTION("IMPORTRANGE(""https://docs.google.com/spreadsheets/d/11923uPwbBZFjjGgGUA6NLw09EwE0CqkOc4q9oUmW1yo/edit?usp=sharing"",""ลำพูน!J166"")"),0)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IFERROR(__xludf.DUMMYFUNCTION("IMPORTRANGE(""https://docs.google.com/spreadsheets/d/11923uPwbBZFjjGgGUA6NLw09EwE0CqkOc4q9oUmW1yo/edit?usp=sharing"",""ลำพูน!J166"")"),0)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IFERROR(__xludf.DUMMYFUNCTION("IMPORTRANGE(""https://docs.google.com/spreadsheets/d/11923uPwbBZFjjGgGUA6NLw09EwE0CqkOc4q9oUmW1yo/edit?usp=sharing"",""ลำพูน!I263"")"),70)</f>
        <v>70</v>
      </c>
      <c r="J368" s="189">
        <f ca="1">IFERROR(__xludf.DUMMYFUNCTION("IMPORTRANGE(""https://docs.google.com/spreadsheets/d/11923uPwbBZFjjGgGUA6NLw09EwE0CqkOc4q9oUmW1yo/edit?usp=sharing"",""ลำพูน!J263"")"),70)</f>
        <v>70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IFERROR(__xludf.DUMMYFUNCTION("IMPORTRANGE(""https://docs.google.com/spreadsheets/d/11923uPwbBZFjjGgGUA6NLw09EwE0CqkOc4q9oUmW1yo/edit?usp=sharing"",""ลำพูน!I164"")"),0)</f>
        <v>0</v>
      </c>
      <c r="J369" s="205">
        <f ca="1">IFERROR(__xludf.DUMMYFUNCTION("IMPORTRANGE(""https://docs.google.com/spreadsheets/d/11923uPwbBZFjjGgGUA6NLw09EwE0CqkOc4q9oUmW1yo/edit?usp=sharing"",""ลำพูน!J164"")"),0)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IFERROR(__xludf.DUMMYFUNCTION("IMPORTRANGE(""https://docs.google.com/spreadsheets/d/11923uPwbBZFjjGgGUA6NLw09EwE0CqkOc4q9oUmW1yo/edit?usp=sharing"",""ลำพูน!I265"")"),70)</f>
        <v>70</v>
      </c>
      <c r="J370" s="205">
        <f ca="1">IFERROR(__xludf.DUMMYFUNCTION("IMPORTRANGE(""https://docs.google.com/spreadsheets/d/11923uPwbBZFjjGgGUA6NLw09EwE0CqkOc4q9oUmW1yo/edit?usp=sharing"",""ลำพูน!J265"")"),70)</f>
        <v>70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IFERROR(__xludf.DUMMYFUNCTION("IMPORTRANGE(""https://docs.google.com/spreadsheets/d/11923uPwbBZFjjGgGUA6NLw09EwE0CqkOc4q9oUmW1yo/edit?usp=sharing"",""ลำพูน!I164"")"),0)</f>
        <v>0</v>
      </c>
      <c r="J371" s="190">
        <f ca="1">IFERROR(__xludf.DUMMYFUNCTION("IMPORTRANGE(""https://docs.google.com/spreadsheets/d/11923uPwbBZFjjGgGUA6NLw09EwE0CqkOc4q9oUmW1yo/edit?usp=sharing"",""ลำพูน!J164"")"),0)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IFERROR(__xludf.DUMMYFUNCTION("IMPORTRANGE(""https://docs.google.com/spreadsheets/d/11923uPwbBZFjjGgGUA6NLw09EwE0CqkOc4q9oUmW1yo/edit?usp=sharing"",""ลำพูน!I267"")"),70)</f>
        <v>70</v>
      </c>
      <c r="J372" s="190">
        <f ca="1">IFERROR(__xludf.DUMMYFUNCTION("IMPORTRANGE(""https://docs.google.com/spreadsheets/d/11923uPwbBZFjjGgGUA6NLw09EwE0CqkOc4q9oUmW1yo/edit?usp=sharing"",""ลำพูน!J267"")"),70)</f>
        <v>70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IFERROR(__xludf.DUMMYFUNCTION("IMPORTRANGE(""https://docs.google.com/spreadsheets/d/11923uPwbBZFjjGgGUA6NLw09EwE0CqkOc4q9oUmW1yo/edit?usp=sharing"",""ลำพูน!I164"")"),0)</f>
        <v>0</v>
      </c>
      <c r="J373" s="205">
        <f ca="1">IFERROR(__xludf.DUMMYFUNCTION("IMPORTRANGE(""https://docs.google.com/spreadsheets/d/11923uPwbBZFjjGgGUA6NLw09EwE0CqkOc4q9oUmW1yo/edit?usp=sharing"",""ลำพูน!J164"")"),0)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IFERROR(__xludf.DUMMYFUNCTION("IMPORTRANGE(""https://docs.google.com/spreadsheets/d/11923uPwbBZFjjGgGUA6NLw09EwE0CqkOc4q9oUmW1yo/edit?usp=sharing"",""ลำพูน!I164"")"),0)</f>
        <v>0</v>
      </c>
      <c r="J374" s="189">
        <f ca="1">IFERROR(__xludf.DUMMYFUNCTION("IMPORTRANGE(""https://docs.google.com/spreadsheets/d/11923uPwbBZFjjGgGUA6NLw09EwE0CqkOc4q9oUmW1yo/edit?usp=sharing"",""ลำพูน!J164"")"),0)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IFERROR(__xludf.DUMMYFUNCTION("IMPORTRANGE(""https://docs.google.com/spreadsheets/d/11923uPwbBZFjjGgGUA6NLw09EwE0CqkOc4q9oUmW1yo/edit?usp=sharing"",""ลำพูน!I270"")"),200)</f>
        <v>200</v>
      </c>
      <c r="J375" s="189">
        <f ca="1">IFERROR(__xludf.DUMMYFUNCTION("IMPORTRANGE(""https://docs.google.com/spreadsheets/d/11923uPwbBZFjjGgGUA6NLw09EwE0CqkOc4q9oUmW1yo/edit?usp=sharing"",""ลำพูน!J270"")"),200)</f>
        <v>200</v>
      </c>
      <c r="K375" s="165">
        <f t="shared" ref="K375:K377" ca="1" si="107">IF(I375&gt;0,J375*100/I375,0)</f>
        <v>100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IFERROR(__xludf.DUMMYFUNCTION("IMPORTRANGE(""https://docs.google.com/spreadsheets/d/11923uPwbBZFjjGgGUA6NLw09EwE0CqkOc4q9oUmW1yo/edit?usp=sharing"",""ลำพูน!I271"")"),100)</f>
        <v>100</v>
      </c>
      <c r="J376" s="190">
        <f ca="1">IFERROR(__xludf.DUMMYFUNCTION("IMPORTRANGE(""https://docs.google.com/spreadsheets/d/11923uPwbBZFjjGgGUA6NLw09EwE0CqkOc4q9oUmW1yo/edit?usp=sharing"",""ลำพูน!J271"")"),100)</f>
        <v>100</v>
      </c>
      <c r="K376" s="165">
        <f t="shared" ca="1" si="107"/>
        <v>100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IFERROR(__xludf.DUMMYFUNCTION("IMPORTRANGE(""https://docs.google.com/spreadsheets/d/11923uPwbBZFjjGgGUA6NLw09EwE0CqkOc4q9oUmW1yo/edit?usp=sharing"",""ลำพูน!I272"")"),100)</f>
        <v>100</v>
      </c>
      <c r="J377" s="205">
        <f ca="1">IFERROR(__xludf.DUMMYFUNCTION("IMPORTRANGE(""https://docs.google.com/spreadsheets/d/11923uPwbBZFjjGgGUA6NLw09EwE0CqkOc4q9oUmW1yo/edit?usp=sharing"",""ลำพูน!J272"")"),100)</f>
        <v>100</v>
      </c>
      <c r="K377" s="165">
        <f t="shared" ca="1" si="107"/>
        <v>100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IFERROR(__xludf.DUMMYFUNCTION("IMPORTRANGE(""https://docs.google.com/spreadsheets/d/11923uPwbBZFjjGgGUA6NLw09EwE0CqkOc4q9oUmW1yo/edit?usp=sharing"",""ลำพูน!J273"")"),1)</f>
        <v>1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IFERROR(__xludf.DUMMYFUNCTION("IMPORTRANGE(""https://docs.google.com/spreadsheets/d/11923uPwbBZFjjGgGUA6NLw09EwE0CqkOc4q9oUmW1yo/edit?usp=sharing"",""ลำพูน!J274"")"),0)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IFERROR(__xludf.DUMMYFUNCTION("IMPORTRANGE(""https://docs.google.com/spreadsheets/d/11923uPwbBZFjjGgGUA6NLw09EwE0CqkOc4q9oUmW1yo/edit?usp=sharing"",""ลำพูน!I275"")"),1000)</f>
        <v>1000</v>
      </c>
      <c r="J380" s="372">
        <f ca="1">IFERROR(__xludf.DUMMYFUNCTION("IMPORTRANGE(""https://docs.google.com/spreadsheets/d/11923uPwbBZFjjGgGUA6NLw09EwE0CqkOc4q9oUmW1yo/edit?usp=sharing"",""ลำพูน!J275"")"),0)</f>
        <v>0</v>
      </c>
      <c r="K380" s="373">
        <f t="shared" ref="K380:K381" ca="1" si="108">IF(I380&gt;0,J380*100/I380,0)</f>
        <v>0</v>
      </c>
      <c r="L380" s="374">
        <f ca="1">IFERROR(__xludf.DUMMYFUNCTION("IMPORTRANGE(""https://docs.google.com/spreadsheets/d/11923uPwbBZFjjGgGUA6NLw09EwE0CqkOc4q9oUmW1yo/edit?usp=sharing"",""ลำพูน!L275"")"),1028520)</f>
        <v>1028520</v>
      </c>
      <c r="M380" s="374"/>
      <c r="N380" s="374">
        <f ca="1">IFERROR(__xludf.DUMMYFUNCTION("IMPORTRANGE(""https://docs.google.com/spreadsheets/d/11923uPwbBZFjjGgGUA6NLw09EwE0CqkOc4q9oUmW1yo/edit?usp=sharing"",""ลำพูน!M275"")"),274467)</f>
        <v>274467</v>
      </c>
      <c r="O380" s="374">
        <f ca="1">+IF(L380&gt;0,N380*100/L380,0)</f>
        <v>26.685625947964066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IFERROR(__xludf.DUMMYFUNCTION("IMPORTRANGE(""https://docs.google.com/spreadsheets/d/11923uPwbBZFjjGgGUA6NLw09EwE0CqkOc4q9oUmW1yo/edit?usp=sharing"",""ลำพูน!I276"")"),100)</f>
        <v>100</v>
      </c>
      <c r="J381" s="372">
        <f ca="1">IFERROR(__xludf.DUMMYFUNCTION("IMPORTRANGE(""https://docs.google.com/spreadsheets/d/11923uPwbBZFjjGgGUA6NLw09EwE0CqkOc4q9oUmW1yo/edit?usp=sharing"",""ลำพูน!J276"")"),100)</f>
        <v>100</v>
      </c>
      <c r="K381" s="373">
        <f t="shared" ca="1" si="108"/>
        <v>100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IFERROR(__xludf.DUMMYFUNCTION("IMPORTRANGE(""https://docs.google.com/spreadsheets/d/11923uPwbBZFjjGgGUA6NLw09EwE0CqkOc4q9oUmW1yo/edit?usp=sharing"",""ลำพูน!L277"")"),0)</f>
        <v>0</v>
      </c>
      <c r="M382" s="166"/>
      <c r="N382" s="166">
        <f ca="1">IFERROR(__xludf.DUMMYFUNCTION("IMPORTRANGE(""https://docs.google.com/spreadsheets/d/11923uPwbBZFjjGgGUA6NLw09EwE0CqkOc4q9oUmW1yo/edit?usp=sharing"",""ลำพูน!M277"")"),0)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IFERROR(__xludf.DUMMYFUNCTION("IMPORTRANGE(""https://docs.google.com/spreadsheets/d/11923uPwbBZFjjGgGUA6NLw09EwE0CqkOc4q9oUmW1yo/edit?usp=sharing"",""ลำพูน!L278"")"),1028520)</f>
        <v>1028520</v>
      </c>
      <c r="M383" s="167"/>
      <c r="N383" s="167">
        <f ca="1">IFERROR(__xludf.DUMMYFUNCTION("IMPORTRANGE(""https://docs.google.com/spreadsheets/d/11923uPwbBZFjjGgGUA6NLw09EwE0CqkOc4q9oUmW1yo/edit?usp=sharing"",""ลำพูน!M278"")"),274467)</f>
        <v>274467</v>
      </c>
      <c r="O383" s="167">
        <f t="shared" ca="1" si="109"/>
        <v>26.685625947964066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IFERROR(__xludf.DUMMYFUNCTION("IMPORTRANGE(""https://docs.google.com/spreadsheets/d/11923uPwbBZFjjGgGUA6NLw09EwE0CqkOc4q9oUmW1yo/edit?usp=sharing"",""ลำพูน!L279"")"),0)</f>
        <v>0</v>
      </c>
      <c r="M384" s="170"/>
      <c r="N384" s="170">
        <f ca="1">IFERROR(__xludf.DUMMYFUNCTION("IMPORTRANGE(""https://docs.google.com/spreadsheets/d/11923uPwbBZFjjGgGUA6NLw09EwE0CqkOc4q9oUmW1yo/edit?usp=sharing"",""ลำพูน!M279"")"),0)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IFERROR(__xludf.DUMMYFUNCTION("IMPORTRANGE(""https://docs.google.com/spreadsheets/d/11923uPwbBZFjjGgGUA6NLw09EwE0CqkOc4q9oUmW1yo/edit?usp=sharing"",""ลำพูน!L280"")"),1028520)</f>
        <v>1028520</v>
      </c>
      <c r="M385" s="170"/>
      <c r="N385" s="169">
        <f ca="1">IFERROR(__xludf.DUMMYFUNCTION("IMPORTRANGE(""https://docs.google.com/spreadsheets/d/11923uPwbBZFjjGgGUA6NLw09EwE0CqkOc4q9oUmW1yo/edit?usp=sharing"",""ลำพูน!M280"")"),274467)</f>
        <v>274467</v>
      </c>
      <c r="O385" s="170">
        <f t="shared" ca="1" si="109"/>
        <v>26.685625947964066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IFERROR(__xludf.DUMMYFUNCTION("IMPORTRANGE(""https://docs.google.com/spreadsheets/d/11923uPwbBZFjjGgGUA6NLw09EwE0CqkOc4q9oUmW1yo/edit?usp=sharing"",""ลำพูน!M281"")"),190300)</f>
        <v>190300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IFERROR(__xludf.DUMMYFUNCTION("IMPORTRANGE(""https://docs.google.com/spreadsheets/d/11923uPwbBZFjjGgGUA6NLw09EwE0CqkOc4q9oUmW1yo/edit?usp=sharing"",""ลำพูน!M282"")"),0)</f>
        <v>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IFERROR(__xludf.DUMMYFUNCTION("IMPORTRANGE(""https://docs.google.com/spreadsheets/d/11923uPwbBZFjjGgGUA6NLw09EwE0CqkOc4q9oUmW1yo/edit?usp=sharing"",""ลำพูน!M283"")"),63467)</f>
        <v>63467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IFERROR(__xludf.DUMMYFUNCTION("IMPORTRANGE(""https://docs.google.com/spreadsheets/d/11923uPwbBZFjjGgGUA6NLw09EwE0CqkOc4q9oUmW1yo/edit?usp=sharing"",""ลำพูน!M284"")"),20700)</f>
        <v>20700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IFERROR(__xludf.DUMMYFUNCTION("IMPORTRANGE(""https://docs.google.com/spreadsheets/d/11923uPwbBZFjjGgGUA6NLw09EwE0CqkOc4q9oUmW1yo/edit?usp=sharing"",""ลำพูน!J286"")"),0)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IFERROR(__xludf.DUMMYFUNCTION("IMPORTRANGE(""https://docs.google.com/spreadsheets/d/11923uPwbBZFjjGgGUA6NLw09EwE0CqkOc4q9oUmW1yo/edit?usp=sharing"",""ลำพูน!J287"")"),1)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IFERROR(__xludf.DUMMYFUNCTION("IMPORTRANGE(""https://docs.google.com/spreadsheets/d/11923uPwbBZFjjGgGUA6NLw09EwE0CqkOc4q9oUmW1yo/edit?usp=sharing"",""ลำพูน!J288"")"),1)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IFERROR(__xludf.DUMMYFUNCTION("IMPORTRANGE(""https://docs.google.com/spreadsheets/d/11923uPwbBZFjjGgGUA6NLw09EwE0CqkOc4q9oUmW1yo/edit?usp=sharing"",""ลำพูน!J289"")"),1)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IFERROR(__xludf.DUMMYFUNCTION("IMPORTRANGE(""https://docs.google.com/spreadsheets/d/11923uPwbBZFjjGgGUA6NLw09EwE0CqkOc4q9oUmW1yo/edit?usp=sharing"",""ลำพูน!I291"")"),100)</f>
        <v>100</v>
      </c>
      <c r="J396" s="199">
        <f ca="1">IFERROR(__xludf.DUMMYFUNCTION("IMPORTRANGE(""https://docs.google.com/spreadsheets/d/11923uPwbBZFjjGgGUA6NLw09EwE0CqkOc4q9oUmW1yo/edit?usp=sharing"",""ลำพูน!J291"")"),100)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IFERROR(__xludf.DUMMYFUNCTION("IMPORTRANGE(""https://docs.google.com/spreadsheets/d/11923uPwbBZFjjGgGUA6NLw09EwE0CqkOc4q9oUmW1yo/edit?usp=sharing"",""ลำพูน!I292"")"),1000)</f>
        <v>1000</v>
      </c>
      <c r="J397" s="199">
        <f ca="1">IFERROR(__xludf.DUMMYFUNCTION("IMPORTRANGE(""https://docs.google.com/spreadsheets/d/11923uPwbBZFjjGgGUA6NLw09EwE0CqkOc4q9oUmW1yo/edit?usp=sharing"",""ลำพูน!J292"")"),0)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IFERROR(__xludf.DUMMYFUNCTION("IMPORTRANGE(""https://docs.google.com/spreadsheets/d/11923uPwbBZFjjGgGUA6NLw09EwE0CqkOc4q9oUmW1yo/edit?usp=sharing"",""ลำพูน!I293"")"),100)</f>
        <v>100</v>
      </c>
      <c r="J398" s="199">
        <f ca="1">IFERROR(__xludf.DUMMYFUNCTION("IMPORTRANGE(""https://docs.google.com/spreadsheets/d/11923uPwbBZFjjGgGUA6NLw09EwE0CqkOc4q9oUmW1yo/edit?usp=sharing"",""ลำพูน!J293"")"),0)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IFERROR(__xludf.DUMMYFUNCTION("IMPORTRANGE(""https://docs.google.com/spreadsheets/d/11923uPwbBZFjjGgGUA6NLw09EwE0CqkOc4q9oUmW1yo/edit?usp=sharing"",""ลำพูน!J294"")"),0)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IFERROR(__xludf.DUMMYFUNCTION("IMPORTRANGE(""https://docs.google.com/spreadsheets/d/11923uPwbBZFjjGgGUA6NLw09EwE0CqkOc4q9oUmW1yo/edit?usp=sharing"",""ลำพูน!J295"")"),0)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IFERROR(__xludf.DUMMYFUNCTION("IMPORTRANGE(""https://docs.google.com/spreadsheets/d/11923uPwbBZFjjGgGUA6NLw09EwE0CqkOc4q9oUmW1yo/edit?usp=sharing"",""ลำพูน!I296"")"),165)</f>
        <v>165</v>
      </c>
      <c r="J401" s="372">
        <f ca="1">IFERROR(__xludf.DUMMYFUNCTION("IMPORTRANGE(""https://docs.google.com/spreadsheets/d/11923uPwbBZFjjGgGUA6NLw09EwE0CqkOc4q9oUmW1yo/edit?usp=sharing"",""ลำพูน!J296"")"),165)</f>
        <v>165</v>
      </c>
      <c r="K401" s="373">
        <f t="shared" ref="K401:K402" ca="1" si="111">IF(I401&gt;0,J401*100/I401,0)</f>
        <v>100</v>
      </c>
      <c r="L401" s="374">
        <f ca="1">IFERROR(__xludf.DUMMYFUNCTION("IMPORTRANGE(""https://docs.google.com/spreadsheets/d/11923uPwbBZFjjGgGUA6NLw09EwE0CqkOc4q9oUmW1yo/edit?usp=sharing"",""ลำพูน!L296"")"),188190)</f>
        <v>188190</v>
      </c>
      <c r="M401" s="374"/>
      <c r="N401" s="374">
        <f ca="1">IFERROR(__xludf.DUMMYFUNCTION("IMPORTRANGE(""https://docs.google.com/spreadsheets/d/11923uPwbBZFjjGgGUA6NLw09EwE0CqkOc4q9oUmW1yo/edit?usp=sharing"",""ลำพูน!M296"")"),84405)</f>
        <v>84405</v>
      </c>
      <c r="O401" s="374">
        <f ca="1">+IF(L401&gt;0,N401*100/L401,0)</f>
        <v>44.850948509485093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IFERROR(__xludf.DUMMYFUNCTION("IMPORTRANGE(""https://docs.google.com/spreadsheets/d/11923uPwbBZFjjGgGUA6NLw09EwE0CqkOc4q9oUmW1yo/edit?usp=sharing"",""ลำพูน!I297"")"),55)</f>
        <v>55</v>
      </c>
      <c r="J402" s="372">
        <f ca="1">IFERROR(__xludf.DUMMYFUNCTION("IMPORTRANGE(""https://docs.google.com/spreadsheets/d/11923uPwbBZFjjGgGUA6NLw09EwE0CqkOc4q9oUmW1yo/edit?usp=sharing"",""ลำพูน!J297"")"),20)</f>
        <v>20</v>
      </c>
      <c r="K402" s="373">
        <f t="shared" ca="1" si="111"/>
        <v>36.363636363636367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IFERROR(__xludf.DUMMYFUNCTION("IMPORTRANGE(""https://docs.google.com/spreadsheets/d/11923uPwbBZFjjGgGUA6NLw09EwE0CqkOc4q9oUmW1yo/edit?usp=sharing"",""ลำพูน!L298"")"),0)</f>
        <v>0</v>
      </c>
      <c r="M403" s="166"/>
      <c r="N403" s="170">
        <f ca="1">IFERROR(__xludf.DUMMYFUNCTION("IMPORTRANGE(""https://docs.google.com/spreadsheets/d/11923uPwbBZFjjGgGUA6NLw09EwE0CqkOc4q9oUmW1yo/edit?usp=sharing"",""ลำพูน!M298"")"),0)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IFERROR(__xludf.DUMMYFUNCTION("IMPORTRANGE(""https://docs.google.com/spreadsheets/d/11923uPwbBZFjjGgGUA6NLw09EwE0CqkOc4q9oUmW1yo/edit?usp=sharing"",""ลำพูน!L299"")"),188190)</f>
        <v>188190</v>
      </c>
      <c r="M404" s="167"/>
      <c r="N404" s="170">
        <f ca="1">IFERROR(__xludf.DUMMYFUNCTION("IMPORTRANGE(""https://docs.google.com/spreadsheets/d/11923uPwbBZFjjGgGUA6NLw09EwE0CqkOc4q9oUmW1yo/edit?usp=sharing"",""ลำพูน!M299"")"),84405)</f>
        <v>84405</v>
      </c>
      <c r="O404" s="170">
        <f t="shared" ca="1" si="112"/>
        <v>44.850948509485093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IFERROR(__xludf.DUMMYFUNCTION("IMPORTRANGE(""https://docs.google.com/spreadsheets/d/11923uPwbBZFjjGgGUA6NLw09EwE0CqkOc4q9oUmW1yo/edit?usp=sharing"",""ลำพูน!L300"")"),0)</f>
        <v>0</v>
      </c>
      <c r="M405" s="170"/>
      <c r="N405" s="170">
        <f ca="1">IFERROR(__xludf.DUMMYFUNCTION("IMPORTRANGE(""https://docs.google.com/spreadsheets/d/11923uPwbBZFjjGgGUA6NLw09EwE0CqkOc4q9oUmW1yo/edit?usp=sharing"",""ลำพูน!M300"")"),0)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IFERROR(__xludf.DUMMYFUNCTION("IMPORTRANGE(""https://docs.google.com/spreadsheets/d/11923uPwbBZFjjGgGUA6NLw09EwE0CqkOc4q9oUmW1yo/edit?usp=sharing"",""ลำพูน!L301"")"),188190)</f>
        <v>188190</v>
      </c>
      <c r="M406" s="170"/>
      <c r="N406" s="170">
        <f ca="1">IFERROR(__xludf.DUMMYFUNCTION("IMPORTRANGE(""https://docs.google.com/spreadsheets/d/11923uPwbBZFjjGgGUA6NLw09EwE0CqkOc4q9oUmW1yo/edit?usp=sharing"",""ลำพูน!M301"")"),84405)</f>
        <v>84405</v>
      </c>
      <c r="O406" s="170">
        <f t="shared" ca="1" si="112"/>
        <v>44.850948509485093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IFERROR(__xludf.DUMMYFUNCTION("IMPORTRANGE(""https://docs.google.com/spreadsheets/d/11923uPwbBZFjjGgGUA6NLw09EwE0CqkOc4q9oUmW1yo/edit?usp=sharing"",""ลำพูน!M302"")"),84405)</f>
        <v>84405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IFERROR(__xludf.DUMMYFUNCTION("IMPORTRANGE(""https://docs.google.com/spreadsheets/d/11923uPwbBZFjjGgGUA6NLw09EwE0CqkOc4q9oUmW1yo/edit?usp=sharing"",""ลำพูน!M303"")"),0)</f>
        <v>0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IFERROR(__xludf.DUMMYFUNCTION("IMPORTRANGE(""https://docs.google.com/spreadsheets/d/11923uPwbBZFjjGgGUA6NLw09EwE0CqkOc4q9oUmW1yo/edit?usp=sharing"",""ลำพูน!M304"")"),0)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IFERROR(__xludf.DUMMYFUNCTION("IMPORTRANGE(""https://docs.google.com/spreadsheets/d/11923uPwbBZFjjGgGUA6NLw09EwE0CqkOc4q9oUmW1yo/edit?usp=sharing"",""ลำพูน!M305"")"),0)</f>
        <v>0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IFERROR(__xludf.DUMMYFUNCTION("IMPORTRANGE(""https://docs.google.com/spreadsheets/d/11923uPwbBZFjjGgGUA6NLw09EwE0CqkOc4q9oUmW1yo/edit?usp=sharing"",""ลำพูน!J307"")"),0)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IFERROR(__xludf.DUMMYFUNCTION("IMPORTRANGE(""https://docs.google.com/spreadsheets/d/11923uPwbBZFjjGgGUA6NLw09EwE0CqkOc4q9oUmW1yo/edit?usp=sharing"",""ลำพูน!J308"")"),1)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IFERROR(__xludf.DUMMYFUNCTION("IMPORTRANGE(""https://docs.google.com/spreadsheets/d/11923uPwbBZFjjGgGUA6NLw09EwE0CqkOc4q9oUmW1yo/edit?usp=sharing"",""ลำพูน!J309"")"),1)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IFERROR(__xludf.DUMMYFUNCTION("IMPORTRANGE(""https://docs.google.com/spreadsheets/d/11923uPwbBZFjjGgGUA6NLw09EwE0CqkOc4q9oUmW1yo/edit?usp=sharing"",""ลำพูน!J310"")"),1)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IFERROR(__xludf.DUMMYFUNCTION("IMPORTRANGE(""https://docs.google.com/spreadsheets/d/11923uPwbBZFjjGgGUA6NLw09EwE0CqkOc4q9oUmW1yo/edit?usp=sharing"",""ลำพูน!I311"")"),55)</f>
        <v>55</v>
      </c>
      <c r="J416" s="202">
        <f ca="1">IFERROR(__xludf.DUMMYFUNCTION("IMPORTRANGE(""https://docs.google.com/spreadsheets/d/11923uPwbBZFjjGgGUA6NLw09EwE0CqkOc4q9oUmW1yo/edit?usp=sharing"",""ลำพูน!J311"")"),20)</f>
        <v>20</v>
      </c>
      <c r="K416" s="203">
        <f t="shared" ref="K416:K432" ca="1" si="113">IF(I416&gt;0,J416*100/I416,0)</f>
        <v>36.363636363636367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IFERROR(__xludf.DUMMYFUNCTION("IMPORTRANGE(""https://docs.google.com/spreadsheets/d/11923uPwbBZFjjGgGUA6NLw09EwE0CqkOc4q9oUmW1yo/edit?usp=sharing"",""ลำพูน!I312"")"),10)</f>
        <v>10</v>
      </c>
      <c r="J417" s="393">
        <f ca="1">IFERROR(__xludf.DUMMYFUNCTION("IMPORTRANGE(""https://docs.google.com/spreadsheets/d/11923uPwbBZFjjGgGUA6NLw09EwE0CqkOc4q9oUmW1yo/edit?usp=sharing"",""ลำพูน!J312"")"),10)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IFERROR(__xludf.DUMMYFUNCTION("IMPORTRANGE(""https://docs.google.com/spreadsheets/d/11923uPwbBZFjjGgGUA6NLw09EwE0CqkOc4q9oUmW1yo/edit?usp=sharing"",""ลำพูน!I313"")"),30)</f>
        <v>30</v>
      </c>
      <c r="J418" s="394">
        <f ca="1">IFERROR(__xludf.DUMMYFUNCTION("IMPORTRANGE(""https://docs.google.com/spreadsheets/d/11923uPwbBZFjjGgGUA6NLw09EwE0CqkOc4q9oUmW1yo/edit?usp=sharing"",""ลำพูน!J313"")"),30)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IFERROR(__xludf.DUMMYFUNCTION("IMPORTRANGE(""https://docs.google.com/spreadsheets/d/11923uPwbBZFjjGgGUA6NLw09EwE0CqkOc4q9oUmW1yo/edit?usp=sharing"",""ลำพูน!I314"")"),10)</f>
        <v>10</v>
      </c>
      <c r="J419" s="395">
        <f ca="1">IFERROR(__xludf.DUMMYFUNCTION("IMPORTRANGE(""https://docs.google.com/spreadsheets/d/11923uPwbBZFjjGgGUA6NLw09EwE0CqkOc4q9oUmW1yo/edit?usp=sharing"",""ลำพูน!J314"")"),10)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IFERROR(__xludf.DUMMYFUNCTION("IMPORTRANGE(""https://docs.google.com/spreadsheets/d/11923uPwbBZFjjGgGUA6NLw09EwE0CqkOc4q9oUmW1yo/edit?usp=sharing"",""ลำพูน!I315"")"),10)</f>
        <v>10</v>
      </c>
      <c r="J420" s="395">
        <f ca="1">IFERROR(__xludf.DUMMYFUNCTION("IMPORTRANGE(""https://docs.google.com/spreadsheets/d/11923uPwbBZFjjGgGUA6NLw09EwE0CqkOc4q9oUmW1yo/edit?usp=sharing"",""ลำพูน!J315"")"),10)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IFERROR(__xludf.DUMMYFUNCTION("IMPORTRANGE(""https://docs.google.com/spreadsheets/d/11923uPwbBZFjjGgGUA6NLw09EwE0CqkOc4q9oUmW1yo/edit?usp=sharing"",""ลำพูน!I316"")"),35)</f>
        <v>35</v>
      </c>
      <c r="J421" s="393">
        <f ca="1">IFERROR(__xludf.DUMMYFUNCTION("IMPORTRANGE(""https://docs.google.com/spreadsheets/d/11923uPwbBZFjjGgGUA6NLw09EwE0CqkOc4q9oUmW1yo/edit?usp=sharing"",""ลำพูน!J316"")"),0)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IFERROR(__xludf.DUMMYFUNCTION("IMPORTRANGE(""https://docs.google.com/spreadsheets/d/11923uPwbBZFjjGgGUA6NLw09EwE0CqkOc4q9oUmW1yo/edit?usp=sharing"",""ลำพูน!I317"")"),105)</f>
        <v>105</v>
      </c>
      <c r="J422" s="394">
        <f ca="1">IFERROR(__xludf.DUMMYFUNCTION("IMPORTRANGE(""https://docs.google.com/spreadsheets/d/11923uPwbBZFjjGgGUA6NLw09EwE0CqkOc4q9oUmW1yo/edit?usp=sharing"",""ลำพูน!J317"")"),105)</f>
        <v>105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IFERROR(__xludf.DUMMYFUNCTION("IMPORTRANGE(""https://docs.google.com/spreadsheets/d/11923uPwbBZFjjGgGUA6NLw09EwE0CqkOc4q9oUmW1yo/edit?usp=sharing"",""ลำพูน!I318"")"),35)</f>
        <v>35</v>
      </c>
      <c r="J423" s="395">
        <f ca="1">IFERROR(__xludf.DUMMYFUNCTION("IMPORTRANGE(""https://docs.google.com/spreadsheets/d/11923uPwbBZFjjGgGUA6NLw09EwE0CqkOc4q9oUmW1yo/edit?usp=sharing"",""ลำพูน!J318"")"),35)</f>
        <v>35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IFERROR(__xludf.DUMMYFUNCTION("IMPORTRANGE(""https://docs.google.com/spreadsheets/d/11923uPwbBZFjjGgGUA6NLw09EwE0CqkOc4q9oUmW1yo/edit?usp=sharing"",""ลำพูน!I319"")"),35)</f>
        <v>35</v>
      </c>
      <c r="J424" s="395">
        <f ca="1">IFERROR(__xludf.DUMMYFUNCTION("IMPORTRANGE(""https://docs.google.com/spreadsheets/d/11923uPwbBZFjjGgGUA6NLw09EwE0CqkOc4q9oUmW1yo/edit?usp=sharing"",""ลำพูน!J319"")"),0)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IFERROR(__xludf.DUMMYFUNCTION("IMPORTRANGE(""https://docs.google.com/spreadsheets/d/11923uPwbBZFjjGgGUA6NLw09EwE0CqkOc4q9oUmW1yo/edit?usp=sharing"",""ลำพูน!I320"")"),35)</f>
        <v>35</v>
      </c>
      <c r="J425" s="395">
        <f ca="1">IFERROR(__xludf.DUMMYFUNCTION("IMPORTRANGE(""https://docs.google.com/spreadsheets/d/11923uPwbBZFjjGgGUA6NLw09EwE0CqkOc4q9oUmW1yo/edit?usp=sharing"",""ลำพูน!J320"")"),0)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IFERROR(__xludf.DUMMYFUNCTION("IMPORTRANGE(""https://docs.google.com/spreadsheets/d/11923uPwbBZFjjGgGUA6NLw09EwE0CqkOc4q9oUmW1yo/edit?usp=sharing"",""ลำพูน!I321"")"),10)</f>
        <v>10</v>
      </c>
      <c r="J426" s="393">
        <f ca="1">IFERROR(__xludf.DUMMYFUNCTION("IMPORTRANGE(""https://docs.google.com/spreadsheets/d/11923uPwbBZFjjGgGUA6NLw09EwE0CqkOc4q9oUmW1yo/edit?usp=sharing"",""ลำพูน!J321"")"),10)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IFERROR(__xludf.DUMMYFUNCTION("IMPORTRANGE(""https://docs.google.com/spreadsheets/d/11923uPwbBZFjjGgGUA6NLw09EwE0CqkOc4q9oUmW1yo/edit?usp=sharing"",""ลำพูน!I322"")"),30)</f>
        <v>30</v>
      </c>
      <c r="J427" s="394">
        <f ca="1">IFERROR(__xludf.DUMMYFUNCTION("IMPORTRANGE(""https://docs.google.com/spreadsheets/d/11923uPwbBZFjjGgGUA6NLw09EwE0CqkOc4q9oUmW1yo/edit?usp=sharing"",""ลำพูน!J322"")"),30)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IFERROR(__xludf.DUMMYFUNCTION("IMPORTRANGE(""https://docs.google.com/spreadsheets/d/11923uPwbBZFjjGgGUA6NLw09EwE0CqkOc4q9oUmW1yo/edit?usp=sharing"",""ลำพูน!I323"")"),10)</f>
        <v>10</v>
      </c>
      <c r="J428" s="395">
        <f ca="1">IFERROR(__xludf.DUMMYFUNCTION("IMPORTRANGE(""https://docs.google.com/spreadsheets/d/11923uPwbBZFjjGgGUA6NLw09EwE0CqkOc4q9oUmW1yo/edit?usp=sharing"",""ลำพูน!J323"")"),10)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IFERROR(__xludf.DUMMYFUNCTION("IMPORTRANGE(""https://docs.google.com/spreadsheets/d/11923uPwbBZFjjGgGUA6NLw09EwE0CqkOc4q9oUmW1yo/edit?usp=sharing"",""ลำพูน!I324"")"),10)</f>
        <v>10</v>
      </c>
      <c r="J429" s="395">
        <f ca="1">IFERROR(__xludf.DUMMYFUNCTION("IMPORTRANGE(""https://docs.google.com/spreadsheets/d/11923uPwbBZFjjGgGUA6NLw09EwE0CqkOc4q9oUmW1yo/edit?usp=sharing"",""ลำพูน!J324"")"),10)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IFERROR(__xludf.DUMMYFUNCTION("IMPORTRANGE(""https://docs.google.com/spreadsheets/d/11923uPwbBZFjjGgGUA6NLw09EwE0CqkOc4q9oUmW1yo/edit?usp=sharing"",""ลำพูน!I325"")"),45)</f>
        <v>45</v>
      </c>
      <c r="J430" s="393">
        <f ca="1">IFERROR(__xludf.DUMMYFUNCTION("IMPORTRANGE(""https://docs.google.com/spreadsheets/d/11923uPwbBZFjjGgGUA6NLw09EwE0CqkOc4q9oUmW1yo/edit?usp=sharing"",""ลำพูน!J325"")"),10)</f>
        <v>10</v>
      </c>
      <c r="K430" s="203">
        <f t="shared" ca="1" si="113"/>
        <v>22.222222222222221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IFERROR(__xludf.DUMMYFUNCTION("IMPORTRANGE(""https://docs.google.com/spreadsheets/d/11923uPwbBZFjjGgGUA6NLw09EwE0CqkOc4q9oUmW1yo/edit?usp=sharing"",""ลำพูน!I326"")"),10)</f>
        <v>10</v>
      </c>
      <c r="J431" s="395">
        <f ca="1">IFERROR(__xludf.DUMMYFUNCTION("IMPORTRANGE(""https://docs.google.com/spreadsheets/d/11923uPwbBZFjjGgGUA6NLw09EwE0CqkOc4q9oUmW1yo/edit?usp=sharing"",""ลำพูน!J326"")"),10)</f>
        <v>10</v>
      </c>
      <c r="K431" s="165">
        <f t="shared" ca="1" si="113"/>
        <v>100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IFERROR(__xludf.DUMMYFUNCTION("IMPORTRANGE(""https://docs.google.com/spreadsheets/d/11923uPwbBZFjjGgGUA6NLw09EwE0CqkOc4q9oUmW1yo/edit?usp=sharing"",""ลำพูน!I327"")"),35)</f>
        <v>35</v>
      </c>
      <c r="J432" s="395">
        <f ca="1">IFERROR(__xludf.DUMMYFUNCTION("IMPORTRANGE(""https://docs.google.com/spreadsheets/d/11923uPwbBZFjjGgGUA6NLw09EwE0CqkOc4q9oUmW1yo/edit?usp=sharing"",""ลำพูน!J327"")"),0)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IFERROR(__xludf.DUMMYFUNCTION("IMPORTRANGE(""https://docs.google.com/spreadsheets/d/11923uPwbBZFjjGgGUA6NLw09EwE0CqkOc4q9oUmW1yo/edit?usp=sharing"",""ลำพูน!J328"")"),0)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IFERROR(__xludf.DUMMYFUNCTION("IMPORTRANGE(""https://docs.google.com/spreadsheets/d/11923uPwbBZFjjGgGUA6NLw09EwE0CqkOc4q9oUmW1yo/edit?usp=sharing"",""ลำพูน!J329"")"),0)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IFERROR(__xludf.DUMMYFUNCTION("IMPORTRANGE(""https://docs.google.com/spreadsheets/d/11923uPwbBZFjjGgGUA6NLw09EwE0CqkOc4q9oUmW1yo/edit?usp=sharing"",""ลำพูน!I330"")"),20)</f>
        <v>20</v>
      </c>
      <c r="J435" s="411">
        <f ca="1">IFERROR(__xludf.DUMMYFUNCTION("IMPORTRANGE(""https://docs.google.com/spreadsheets/d/11923uPwbBZFjjGgGUA6NLw09EwE0CqkOc4q9oUmW1yo/edit?usp=sharing"",""ลำพูน!J330"")"),20)</f>
        <v>20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IFERROR(__xludf.DUMMYFUNCTION("IMPORTRANGE(""https://docs.google.com/spreadsheets/d/11923uPwbBZFjjGgGUA6NLw09EwE0CqkOc4q9oUmW1yo/edit?usp=sharing"",""ลำพูน!L330"")"),118000)</f>
        <v>118000</v>
      </c>
      <c r="M435" s="413"/>
      <c r="N435" s="413">
        <f ca="1">IFERROR(__xludf.DUMMYFUNCTION("IMPORTRANGE(""https://docs.google.com/spreadsheets/d/11923uPwbBZFjjGgGUA6NLw09EwE0CqkOc4q9oUmW1yo/edit?usp=sharing"",""ลำพูน!M330"")"),41220)</f>
        <v>41220</v>
      </c>
      <c r="O435" s="413">
        <f t="shared" ref="O435:O439" ca="1" si="114">+IF(L435&gt;0,N435*100/L435,0)</f>
        <v>34.932203389830505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IFERROR(__xludf.DUMMYFUNCTION("IMPORTRANGE(""https://docs.google.com/spreadsheets/d/11923uPwbBZFjjGgGUA6NLw09EwE0CqkOc4q9oUmW1yo/edit?usp=sharing"",""ลำพูน!L331"")"),0)</f>
        <v>0</v>
      </c>
      <c r="M436" s="166"/>
      <c r="N436" s="170">
        <f ca="1">IFERROR(__xludf.DUMMYFUNCTION("IMPORTRANGE(""https://docs.google.com/spreadsheets/d/11923uPwbBZFjjGgGUA6NLw09EwE0CqkOc4q9oUmW1yo/edit?usp=sharing"",""ลำพูน!M331"")"),0)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IFERROR(__xludf.DUMMYFUNCTION("IMPORTRANGE(""https://docs.google.com/spreadsheets/d/11923uPwbBZFjjGgGUA6NLw09EwE0CqkOc4q9oUmW1yo/edit?usp=sharing"",""ลำพูน!L332"")"),118000)</f>
        <v>118000</v>
      </c>
      <c r="M437" s="167"/>
      <c r="N437" s="170">
        <f ca="1">IFERROR(__xludf.DUMMYFUNCTION("IMPORTRANGE(""https://docs.google.com/spreadsheets/d/11923uPwbBZFjjGgGUA6NLw09EwE0CqkOc4q9oUmW1yo/edit?usp=sharing"",""ลำพูน!M332"")"),41220)</f>
        <v>41220</v>
      </c>
      <c r="O437" s="170">
        <f t="shared" ca="1" si="114"/>
        <v>34.932203389830505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IFERROR(__xludf.DUMMYFUNCTION("IMPORTRANGE(""https://docs.google.com/spreadsheets/d/11923uPwbBZFjjGgGUA6NLw09EwE0CqkOc4q9oUmW1yo/edit?usp=sharing"",""ลำพูน!L333"")"),0)</f>
        <v>0</v>
      </c>
      <c r="M438" s="170"/>
      <c r="N438" s="170">
        <f ca="1">IFERROR(__xludf.DUMMYFUNCTION("IMPORTRANGE(""https://docs.google.com/spreadsheets/d/11923uPwbBZFjjGgGUA6NLw09EwE0CqkOc4q9oUmW1yo/edit?usp=sharing"",""ลำพูน!M333"")"),0)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IFERROR(__xludf.DUMMYFUNCTION("IMPORTRANGE(""https://docs.google.com/spreadsheets/d/11923uPwbBZFjjGgGUA6NLw09EwE0CqkOc4q9oUmW1yo/edit?usp=sharing"",""ลำพูน!L334"")"),118000)</f>
        <v>118000</v>
      </c>
      <c r="M439" s="170"/>
      <c r="N439" s="170">
        <f ca="1">IFERROR(__xludf.DUMMYFUNCTION("IMPORTRANGE(""https://docs.google.com/spreadsheets/d/11923uPwbBZFjjGgGUA6NLw09EwE0CqkOc4q9oUmW1yo/edit?usp=sharing"",""ลำพูน!M334"")"),41220)</f>
        <v>41220</v>
      </c>
      <c r="O439" s="170">
        <f t="shared" ca="1" si="114"/>
        <v>34.932203389830505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IFERROR(__xludf.DUMMYFUNCTION("IMPORTRANGE(""https://docs.google.com/spreadsheets/d/11923uPwbBZFjjGgGUA6NLw09EwE0CqkOc4q9oUmW1yo/edit?usp=sharing"",""ลำพูน!M335"")"),41220)</f>
        <v>41220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IFERROR(__xludf.DUMMYFUNCTION("IMPORTRANGE(""https://docs.google.com/spreadsheets/d/11923uPwbBZFjjGgGUA6NLw09EwE0CqkOc4q9oUmW1yo/edit?usp=sharing"",""ลำพูน!M336"")"),0)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IFERROR(__xludf.DUMMYFUNCTION("IMPORTRANGE(""https://docs.google.com/spreadsheets/d/11923uPwbBZFjjGgGUA6NLw09EwE0CqkOc4q9oUmW1yo/edit?usp=sharing"",""ลำพูน!M337"")"),0)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IFERROR(__xludf.DUMMYFUNCTION("IMPORTRANGE(""https://docs.google.com/spreadsheets/d/11923uPwbBZFjjGgGUA6NLw09EwE0CqkOc4q9oUmW1yo/edit?usp=sharing"",""ลำพูน!M338"")"),0)</f>
        <v>0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IFERROR(__xludf.DUMMYFUNCTION("IMPORTRANGE(""https://docs.google.com/spreadsheets/d/11923uPwbBZFjjGgGUA6NLw09EwE0CqkOc4q9oUmW1yo/edit?usp=sharing"",""ลำพูน!J340"")"),0)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IFERROR(__xludf.DUMMYFUNCTION("IMPORTRANGE(""https://docs.google.com/spreadsheets/d/11923uPwbBZFjjGgGUA6NLw09EwE0CqkOc4q9oUmW1yo/edit?usp=sharing"",""ลำพูน!J341"")"),1)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IFERROR(__xludf.DUMMYFUNCTION("IMPORTRANGE(""https://docs.google.com/spreadsheets/d/11923uPwbBZFjjGgGUA6NLw09EwE0CqkOc4q9oUmW1yo/edit?usp=sharing"",""ลำพูน!J342"")"),1)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IFERROR(__xludf.DUMMYFUNCTION("IMPORTRANGE(""https://docs.google.com/spreadsheets/d/11923uPwbBZFjjGgGUA6NLw09EwE0CqkOc4q9oUmW1yo/edit?usp=sharing"",""ลำพูน!J343"")"),1)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IFERROR(__xludf.DUMMYFUNCTION("IMPORTRANGE(""https://docs.google.com/spreadsheets/d/11923uPwbBZFjjGgGUA6NLw09EwE0CqkOc4q9oUmW1yo/edit?usp=sharing"",""ลำพูน!I344"")"),20)</f>
        <v>20</v>
      </c>
      <c r="J449" s="202">
        <f ca="1">IFERROR(__xludf.DUMMYFUNCTION("IMPORTRANGE(""https://docs.google.com/spreadsheets/d/11923uPwbBZFjjGgGUA6NLw09EwE0CqkOc4q9oUmW1yo/edit?usp=sharing"",""ลำพูน!J344"")"),20)</f>
        <v>20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IFERROR(__xludf.DUMMYFUNCTION("IMPORTRANGE(""https://docs.google.com/spreadsheets/d/11923uPwbBZFjjGgGUA6NLw09EwE0CqkOc4q9oUmW1yo/edit?usp=sharing"",""ลำพูน!I345"")"),20)</f>
        <v>20</v>
      </c>
      <c r="J450" s="190">
        <f ca="1">IFERROR(__xludf.DUMMYFUNCTION("IMPORTRANGE(""https://docs.google.com/spreadsheets/d/11923uPwbBZFjjGgGUA6NLw09EwE0CqkOc4q9oUmW1yo/edit?usp=sharing"",""ลำพูน!J345"")"),20)</f>
        <v>20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IFERROR(__xludf.DUMMYFUNCTION("IMPORTRANGE(""https://docs.google.com/spreadsheets/d/11923uPwbBZFjjGgGUA6NLw09EwE0CqkOc4q9oUmW1yo/edit?usp=sharing"",""ลำพูน!I346"")"),0)</f>
        <v>0</v>
      </c>
      <c r="J451" s="189">
        <f ca="1">IFERROR(__xludf.DUMMYFUNCTION("IMPORTRANGE(""https://docs.google.com/spreadsheets/d/11923uPwbBZFjjGgGUA6NLw09EwE0CqkOc4q9oUmW1yo/edit?usp=sharing"",""ลำพูน!J346"")"),0)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hidden="1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IFERROR(__xludf.DUMMYFUNCTION("IMPORTRANGE(""https://docs.google.com/spreadsheets/d/11923uPwbBZFjjGgGUA6NLw09EwE0CqkOc4q9oUmW1yo/edit?usp=sharing"",""ลำพูน!I347"")"),0)</f>
        <v>0</v>
      </c>
      <c r="J452" s="189">
        <f ca="1">IFERROR(__xludf.DUMMYFUNCTION("IMPORTRANGE(""https://docs.google.com/spreadsheets/d/11923uPwbBZFjjGgGUA6NLw09EwE0CqkOc4q9oUmW1yo/edit?usp=sharing"",""ลำพูน!J347"")"),0)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IFERROR(__xludf.DUMMYFUNCTION("IMPORTRANGE(""https://docs.google.com/spreadsheets/d/11923uPwbBZFjjGgGUA6NLw09EwE0CqkOc4q9oUmW1yo/edit?usp=sharing"",""ลำพูน!J348"")"),0)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IFERROR(__xludf.DUMMYFUNCTION("IMPORTRANGE(""https://docs.google.com/spreadsheets/d/11923uPwbBZFjjGgGUA6NLw09EwE0CqkOc4q9oUmW1yo/edit?usp=sharing"",""ลำพูน!J349"")"),0)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IFERROR(__xludf.DUMMYFUNCTION("IMPORTRANGE(""https://docs.google.com/spreadsheets/d/11923uPwbBZFjjGgGUA6NLw09EwE0CqkOc4q9oUmW1yo/edit?usp=sharing"",""ลำพูน!I350"")"),41345)</f>
        <v>41345</v>
      </c>
      <c r="J455" s="372">
        <f ca="1">IFERROR(__xludf.DUMMYFUNCTION("IMPORTRANGE(""https://docs.google.com/spreadsheets/d/11923uPwbBZFjjGgGUA6NLw09EwE0CqkOc4q9oUmW1yo/edit?usp=sharing"",""ลำพูน!J350"")"),0)</f>
        <v>0</v>
      </c>
      <c r="K455" s="373">
        <f ca="1">IF(I455&gt;0,J455*100/I455,0)</f>
        <v>0</v>
      </c>
      <c r="L455" s="374">
        <f ca="1">IFERROR(__xludf.DUMMYFUNCTION("IMPORTRANGE(""https://docs.google.com/spreadsheets/d/11923uPwbBZFjjGgGUA6NLw09EwE0CqkOc4q9oUmW1yo/edit?usp=sharing"",""ลำพูน!L350"")"),452350)</f>
        <v>452350</v>
      </c>
      <c r="M455" s="374"/>
      <c r="N455" s="374">
        <f ca="1">IFERROR(__xludf.DUMMYFUNCTION("IMPORTRANGE(""https://docs.google.com/spreadsheets/d/11923uPwbBZFjjGgGUA6NLw09EwE0CqkOc4q9oUmW1yo/edit?usp=sharing"",""ลำพูน!M350"")"),175584)</f>
        <v>175584</v>
      </c>
      <c r="O455" s="374">
        <f t="shared" ref="O455:O459" ca="1" si="116">+IF(L455&gt;0,N455*100/L455,0)</f>
        <v>38.815961092074723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IFERROR(__xludf.DUMMYFUNCTION("IMPORTRANGE(""https://docs.google.com/spreadsheets/d/11923uPwbBZFjjGgGUA6NLw09EwE0CqkOc4q9oUmW1yo/edit?usp=sharing"",""ลำพูน!L351"")"),0)</f>
        <v>0</v>
      </c>
      <c r="M456" s="166"/>
      <c r="N456" s="170">
        <f ca="1">IFERROR(__xludf.DUMMYFUNCTION("IMPORTRANGE(""https://docs.google.com/spreadsheets/d/11923uPwbBZFjjGgGUA6NLw09EwE0CqkOc4q9oUmW1yo/edit?usp=sharing"",""ลำพูน!M351"")"),0)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IFERROR(__xludf.DUMMYFUNCTION("IMPORTRANGE(""https://docs.google.com/spreadsheets/d/11923uPwbBZFjjGgGUA6NLw09EwE0CqkOc4q9oUmW1yo/edit?usp=sharing"",""ลำพูน!L352"")"),452350)</f>
        <v>452350</v>
      </c>
      <c r="M457" s="167"/>
      <c r="N457" s="170">
        <f ca="1">IFERROR(__xludf.DUMMYFUNCTION("IMPORTRANGE(""https://docs.google.com/spreadsheets/d/11923uPwbBZFjjGgGUA6NLw09EwE0CqkOc4q9oUmW1yo/edit?usp=sharing"",""ลำพูน!M352"")"),175584)</f>
        <v>175584</v>
      </c>
      <c r="O457" s="170">
        <f t="shared" ca="1" si="116"/>
        <v>38.815961092074723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IFERROR(__xludf.DUMMYFUNCTION("IMPORTRANGE(""https://docs.google.com/spreadsheets/d/11923uPwbBZFjjGgGUA6NLw09EwE0CqkOc4q9oUmW1yo/edit?usp=sharing"",""ลำพูน!L353"")"),0)</f>
        <v>0</v>
      </c>
      <c r="M458" s="170"/>
      <c r="N458" s="170">
        <f ca="1">IFERROR(__xludf.DUMMYFUNCTION("IMPORTRANGE(""https://docs.google.com/spreadsheets/d/11923uPwbBZFjjGgGUA6NLw09EwE0CqkOc4q9oUmW1yo/edit?usp=sharing"",""ลำพูน!M353"")"),0)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IFERROR(__xludf.DUMMYFUNCTION("IMPORTRANGE(""https://docs.google.com/spreadsheets/d/11923uPwbBZFjjGgGUA6NLw09EwE0CqkOc4q9oUmW1yo/edit?usp=sharing"",""ลำพูน!L354"")"),452350)</f>
        <v>452350</v>
      </c>
      <c r="M459" s="170"/>
      <c r="N459" s="170">
        <f ca="1">IFERROR(__xludf.DUMMYFUNCTION("IMPORTRANGE(""https://docs.google.com/spreadsheets/d/11923uPwbBZFjjGgGUA6NLw09EwE0CqkOc4q9oUmW1yo/edit?usp=sharing"",""ลำพูน!M354"")"),175584)</f>
        <v>175584</v>
      </c>
      <c r="O459" s="170">
        <f t="shared" ca="1" si="116"/>
        <v>38.815961092074723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IFERROR(__xludf.DUMMYFUNCTION("IMPORTRANGE(""https://docs.google.com/spreadsheets/d/11923uPwbBZFjjGgGUA6NLw09EwE0CqkOc4q9oUmW1yo/edit?usp=sharing"",""ลำพูน!M355"")"),0)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IFERROR(__xludf.DUMMYFUNCTION("IMPORTRANGE(""https://docs.google.com/spreadsheets/d/11923uPwbBZFjjGgGUA6NLw09EwE0CqkOc4q9oUmW1yo/edit?usp=sharing"",""ลำพูน!M356"")"),0)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IFERROR(__xludf.DUMMYFUNCTION("IMPORTRANGE(""https://docs.google.com/spreadsheets/d/11923uPwbBZFjjGgGUA6NLw09EwE0CqkOc4q9oUmW1yo/edit?usp=sharing"",""ลำพูน!M357"")"),70839)</f>
        <v>70839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IFERROR(__xludf.DUMMYFUNCTION("IMPORTRANGE(""https://docs.google.com/spreadsheets/d/11923uPwbBZFjjGgGUA6NLw09EwE0CqkOc4q9oUmW1yo/edit?usp=sharing"",""ลำพูน!M358"")"),104745)</f>
        <v>104745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IFERROR(__xludf.DUMMYFUNCTION("IMPORTRANGE(""https://docs.google.com/spreadsheets/d/11923uPwbBZFjjGgGUA6NLw09EwE0CqkOc4q9oUmW1yo/edit?usp=sharing"",""ลำพูน!I359"")"),41345)</f>
        <v>41345</v>
      </c>
      <c r="J464" s="268">
        <f ca="1">IFERROR(__xludf.DUMMYFUNCTION("IMPORTRANGE(""https://docs.google.com/spreadsheets/d/11923uPwbBZFjjGgGUA6NLw09EwE0CqkOc4q9oUmW1yo/edit?usp=sharing"",""ลำพูน!J359"")"),0)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IFERROR(__xludf.DUMMYFUNCTION("IMPORTRANGE(""https://docs.google.com/spreadsheets/d/11923uPwbBZFjjGgGUA6NLw09EwE0CqkOc4q9oUmW1yo/edit?usp=sharing"",""ลำพูน!I360"")"),41345)</f>
        <v>41345</v>
      </c>
      <c r="J465" s="422">
        <f ca="1">IFERROR(__xludf.DUMMYFUNCTION("IMPORTRANGE(""https://docs.google.com/spreadsheets/d/11923uPwbBZFjjGgGUA6NLw09EwE0CqkOc4q9oUmW1yo/edit?usp=sharing"",""ลำพูน!J360"")"),41345)</f>
        <v>41345</v>
      </c>
      <c r="K465" s="203">
        <f t="shared" ca="1" si="117"/>
        <v>100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IFERROR(__xludf.DUMMYFUNCTION("IMPORTRANGE(""https://docs.google.com/spreadsheets/d/11923uPwbBZFjjGgGUA6NLw09EwE0CqkOc4q9oUmW1yo/edit?usp=sharing"",""ลำพูน!I361"")"),6424)</f>
        <v>6424</v>
      </c>
      <c r="J466" s="422">
        <f ca="1">IFERROR(__xludf.DUMMYFUNCTION("IMPORTRANGE(""https://docs.google.com/spreadsheets/d/11923uPwbBZFjjGgGUA6NLw09EwE0CqkOc4q9oUmW1yo/edit?usp=sharing"",""ลำพูน!J361"")"),6424)</f>
        <v>6424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IFERROR(__xludf.DUMMYFUNCTION("IMPORTRANGE(""https://docs.google.com/spreadsheets/d/11923uPwbBZFjjGgGUA6NLw09EwE0CqkOc4q9oUmW1yo/edit?usp=sharing"",""ลำพูน!I362"")"),0)</f>
        <v>0</v>
      </c>
      <c r="J467" s="190">
        <f ca="1">IFERROR(__xludf.DUMMYFUNCTION("IMPORTRANGE(""https://docs.google.com/spreadsheets/d/11923uPwbBZFjjGgGUA6NLw09EwE0CqkOc4q9oUmW1yo/edit?usp=sharing"",""ลำพูน!J362"")"),30456)</f>
        <v>30456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IFERROR(__xludf.DUMMYFUNCTION("IMPORTRANGE(""https://docs.google.com/spreadsheets/d/11923uPwbBZFjjGgGUA6NLw09EwE0CqkOc4q9oUmW1yo/edit?usp=sharing"",""ลำพูน!I363"")"),0)</f>
        <v>0</v>
      </c>
      <c r="J468" s="190">
        <f ca="1">IFERROR(__xludf.DUMMYFUNCTION("IMPORTRANGE(""https://docs.google.com/spreadsheets/d/11923uPwbBZFjjGgGUA6NLw09EwE0CqkOc4q9oUmW1yo/edit?usp=sharing"",""ลำพูน!J363"")"),4984)</f>
        <v>4984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IFERROR(__xludf.DUMMYFUNCTION("IMPORTRANGE(""https://docs.google.com/spreadsheets/d/11923uPwbBZFjjGgGUA6NLw09EwE0CqkOc4q9oUmW1yo/edit?usp=sharing"",""ลำพูน!I364"")"),0)</f>
        <v>0</v>
      </c>
      <c r="J469" s="190">
        <f ca="1">IFERROR(__xludf.DUMMYFUNCTION("IMPORTRANGE(""https://docs.google.com/spreadsheets/d/11923uPwbBZFjjGgGUA6NLw09EwE0CqkOc4q9oUmW1yo/edit?usp=sharing"",""ลำพูน!J364"")"),10287)</f>
        <v>10287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IFERROR(__xludf.DUMMYFUNCTION("IMPORTRANGE(""https://docs.google.com/spreadsheets/d/11923uPwbBZFjjGgGUA6NLw09EwE0CqkOc4q9oUmW1yo/edit?usp=sharing"",""ลำพูน!I365"")"),0)</f>
        <v>0</v>
      </c>
      <c r="J470" s="190">
        <f ca="1">IFERROR(__xludf.DUMMYFUNCTION("IMPORTRANGE(""https://docs.google.com/spreadsheets/d/11923uPwbBZFjjGgGUA6NLw09EwE0CqkOc4q9oUmW1yo/edit?usp=sharing"",""ลำพูน!J365"")"),1333)</f>
        <v>1333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IFERROR(__xludf.DUMMYFUNCTION("IMPORTRANGE(""https://docs.google.com/spreadsheets/d/11923uPwbBZFjjGgGUA6NLw09EwE0CqkOc4q9oUmW1yo/edit?usp=sharing"",""ลำพูน!I366"")"),0)</f>
        <v>0</v>
      </c>
      <c r="J471" s="190">
        <f ca="1">IFERROR(__xludf.DUMMYFUNCTION("IMPORTRANGE(""https://docs.google.com/spreadsheets/d/11923uPwbBZFjjGgGUA6NLw09EwE0CqkOc4q9oUmW1yo/edit?usp=sharing"",""ลำพูน!J366"")"),602)</f>
        <v>602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IFERROR(__xludf.DUMMYFUNCTION("IMPORTRANGE(""https://docs.google.com/spreadsheets/d/11923uPwbBZFjjGgGUA6NLw09EwE0CqkOc4q9oUmW1yo/edit?usp=sharing"",""ลำพูน!I367"")"),0)</f>
        <v>0</v>
      </c>
      <c r="J472" s="190">
        <f ca="1">IFERROR(__xludf.DUMMYFUNCTION("IMPORTRANGE(""https://docs.google.com/spreadsheets/d/11923uPwbBZFjjGgGUA6NLw09EwE0CqkOc4q9oUmW1yo/edit?usp=sharing"",""ลำพูน!J367"")"),107)</f>
        <v>107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IFERROR(__xludf.DUMMYFUNCTION("IMPORTRANGE(""https://docs.google.com/spreadsheets/d/11923uPwbBZFjjGgGUA6NLw09EwE0CqkOc4q9oUmW1yo/edit?usp=sharing"",""ลำพูน!I368"")"),41345)</f>
        <v>41345</v>
      </c>
      <c r="J473" s="422">
        <f ca="1">IFERROR(__xludf.DUMMYFUNCTION("IMPORTRANGE(""https://docs.google.com/spreadsheets/d/11923uPwbBZFjjGgGUA6NLw09EwE0CqkOc4q9oUmW1yo/edit?usp=sharing"",""ลำพูน!J368"")"),41345)</f>
        <v>41345</v>
      </c>
      <c r="K473" s="203">
        <f t="shared" ca="1" si="117"/>
        <v>100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IFERROR(__xludf.DUMMYFUNCTION("IMPORTRANGE(""https://docs.google.com/spreadsheets/d/11923uPwbBZFjjGgGUA6NLw09EwE0CqkOc4q9oUmW1yo/edit?usp=sharing"",""ลำพูน!I369"")"),6424)</f>
        <v>6424</v>
      </c>
      <c r="J474" s="422">
        <f ca="1">IFERROR(__xludf.DUMMYFUNCTION("IMPORTRANGE(""https://docs.google.com/spreadsheets/d/11923uPwbBZFjjGgGUA6NLw09EwE0CqkOc4q9oUmW1yo/edit?usp=sharing"",""ลำพูน!J369"")"),6424)</f>
        <v>6424</v>
      </c>
      <c r="K474" s="203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IFERROR(__xludf.DUMMYFUNCTION("IMPORTRANGE(""https://docs.google.com/spreadsheets/d/11923uPwbBZFjjGgGUA6NLw09EwE0CqkOc4q9oUmW1yo/edit?usp=sharing"",""ลำพูน!I370"")"),0)</f>
        <v>0</v>
      </c>
      <c r="J475" s="190">
        <f ca="1">IFERROR(__xludf.DUMMYFUNCTION("IMPORTRANGE(""https://docs.google.com/spreadsheets/d/11923uPwbBZFjjGgGUA6NLw09EwE0CqkOc4q9oUmW1yo/edit?usp=sharing"",""ลำพูน!J370"")"),30456)</f>
        <v>30456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IFERROR(__xludf.DUMMYFUNCTION("IMPORTRANGE(""https://docs.google.com/spreadsheets/d/11923uPwbBZFjjGgGUA6NLw09EwE0CqkOc4q9oUmW1yo/edit?usp=sharing"",""ลำพูน!I371"")"),0)</f>
        <v>0</v>
      </c>
      <c r="J476" s="190">
        <f ca="1">IFERROR(__xludf.DUMMYFUNCTION("IMPORTRANGE(""https://docs.google.com/spreadsheets/d/11923uPwbBZFjjGgGUA6NLw09EwE0CqkOc4q9oUmW1yo/edit?usp=sharing"",""ลำพูน!J371"")"),4984)</f>
        <v>4984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IFERROR(__xludf.DUMMYFUNCTION("IMPORTRANGE(""https://docs.google.com/spreadsheets/d/11923uPwbBZFjjGgGUA6NLw09EwE0CqkOc4q9oUmW1yo/edit?usp=sharing"",""ลำพูน!I372"")"),0)</f>
        <v>0</v>
      </c>
      <c r="J477" s="190">
        <f ca="1">IFERROR(__xludf.DUMMYFUNCTION("IMPORTRANGE(""https://docs.google.com/spreadsheets/d/11923uPwbBZFjjGgGUA6NLw09EwE0CqkOc4q9oUmW1yo/edit?usp=sharing"",""ลำพูน!J372"")"),10287)</f>
        <v>10287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IFERROR(__xludf.DUMMYFUNCTION("IMPORTRANGE(""https://docs.google.com/spreadsheets/d/11923uPwbBZFjjGgGUA6NLw09EwE0CqkOc4q9oUmW1yo/edit?usp=sharing"",""ลำพูน!I373"")"),0)</f>
        <v>0</v>
      </c>
      <c r="J478" s="190">
        <f ca="1">IFERROR(__xludf.DUMMYFUNCTION("IMPORTRANGE(""https://docs.google.com/spreadsheets/d/11923uPwbBZFjjGgGUA6NLw09EwE0CqkOc4q9oUmW1yo/edit?usp=sharing"",""ลำพูน!J373"")"),1333)</f>
        <v>1333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IFERROR(__xludf.DUMMYFUNCTION("IMPORTRANGE(""https://docs.google.com/spreadsheets/d/11923uPwbBZFjjGgGUA6NLw09EwE0CqkOc4q9oUmW1yo/edit?usp=sharing"",""ลำพูน!I374"")"),0)</f>
        <v>0</v>
      </c>
      <c r="J479" s="190">
        <f ca="1">IFERROR(__xludf.DUMMYFUNCTION("IMPORTRANGE(""https://docs.google.com/spreadsheets/d/11923uPwbBZFjjGgGUA6NLw09EwE0CqkOc4q9oUmW1yo/edit?usp=sharing"",""ลำพูน!J374"")"),602)</f>
        <v>602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IFERROR(__xludf.DUMMYFUNCTION("IMPORTRANGE(""https://docs.google.com/spreadsheets/d/11923uPwbBZFjjGgGUA6NLw09EwE0CqkOc4q9oUmW1yo/edit?usp=sharing"",""ลำพูน!I375"")"),0)</f>
        <v>0</v>
      </c>
      <c r="J480" s="190">
        <f ca="1">IFERROR(__xludf.DUMMYFUNCTION("IMPORTRANGE(""https://docs.google.com/spreadsheets/d/11923uPwbBZFjjGgGUA6NLw09EwE0CqkOc4q9oUmW1yo/edit?usp=sharing"",""ลำพูน!J375"")"),107)</f>
        <v>107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IFERROR(__xludf.DUMMYFUNCTION("IMPORTRANGE(""https://docs.google.com/spreadsheets/d/11923uPwbBZFjjGgGUA6NLw09EwE0CqkOc4q9oUmW1yo/edit?usp=sharing"",""ลำพูน!I376"")"),41345)</f>
        <v>41345</v>
      </c>
      <c r="J481" s="422">
        <f ca="1">IFERROR(__xludf.DUMMYFUNCTION("IMPORTRANGE(""https://docs.google.com/spreadsheets/d/11923uPwbBZFjjGgGUA6NLw09EwE0CqkOc4q9oUmW1yo/edit?usp=sharing"",""ลำพูน!J376"")"),0)</f>
        <v>0</v>
      </c>
      <c r="K481" s="203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IFERROR(__xludf.DUMMYFUNCTION("IMPORTRANGE(""https://docs.google.com/spreadsheets/d/11923uPwbBZFjjGgGUA6NLw09EwE0CqkOc4q9oUmW1yo/edit?usp=sharing"",""ลำพูน!I377"")"),6424)</f>
        <v>6424</v>
      </c>
      <c r="J482" s="422">
        <f ca="1">IFERROR(__xludf.DUMMYFUNCTION("IMPORTRANGE(""https://docs.google.com/spreadsheets/d/11923uPwbBZFjjGgGUA6NLw09EwE0CqkOc4q9oUmW1yo/edit?usp=sharing"",""ลำพูน!J377"")"),0)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IFERROR(__xludf.DUMMYFUNCTION("IMPORTRANGE(""https://docs.google.com/spreadsheets/d/11923uPwbBZFjjGgGUA6NLw09EwE0CqkOc4q9oUmW1yo/edit?usp=sharing"",""ลำพูน!I378"")"),0)</f>
        <v>0</v>
      </c>
      <c r="J483" s="190">
        <f ca="1">IFERROR(__xludf.DUMMYFUNCTION("IMPORTRANGE(""https://docs.google.com/spreadsheets/d/11923uPwbBZFjjGgGUA6NLw09EwE0CqkOc4q9oUmW1yo/edit?usp=sharing"",""ลำพูน!J378"")"),0)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IFERROR(__xludf.DUMMYFUNCTION("IMPORTRANGE(""https://docs.google.com/spreadsheets/d/11923uPwbBZFjjGgGUA6NLw09EwE0CqkOc4q9oUmW1yo/edit?usp=sharing"",""ลำพูน!I379"")"),0)</f>
        <v>0</v>
      </c>
      <c r="J484" s="190">
        <f ca="1">IFERROR(__xludf.DUMMYFUNCTION("IMPORTRANGE(""https://docs.google.com/spreadsheets/d/11923uPwbBZFjjGgGUA6NLw09EwE0CqkOc4q9oUmW1yo/edit?usp=sharing"",""ลำพูน!J379"")"),0)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IFERROR(__xludf.DUMMYFUNCTION("IMPORTRANGE(""https://docs.google.com/spreadsheets/d/11923uPwbBZFjjGgGUA6NLw09EwE0CqkOc4q9oUmW1yo/edit?usp=sharing"",""ลำพูน!I380"")"),0)</f>
        <v>0</v>
      </c>
      <c r="J485" s="190">
        <f ca="1">IFERROR(__xludf.DUMMYFUNCTION("IMPORTRANGE(""https://docs.google.com/spreadsheets/d/11923uPwbBZFjjGgGUA6NLw09EwE0CqkOc4q9oUmW1yo/edit?usp=sharing"",""ลำพูน!J380"")"),0)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IFERROR(__xludf.DUMMYFUNCTION("IMPORTRANGE(""https://docs.google.com/spreadsheets/d/11923uPwbBZFjjGgGUA6NLw09EwE0CqkOc4q9oUmW1yo/edit?usp=sharing"",""ลำพูน!I381"")"),0)</f>
        <v>0</v>
      </c>
      <c r="J486" s="190">
        <f ca="1">IFERROR(__xludf.DUMMYFUNCTION("IMPORTRANGE(""https://docs.google.com/spreadsheets/d/11923uPwbBZFjjGgGUA6NLw09EwE0CqkOc4q9oUmW1yo/edit?usp=sharing"",""ลำพูน!J381"")"),0)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IFERROR(__xludf.DUMMYFUNCTION("IMPORTRANGE(""https://docs.google.com/spreadsheets/d/11923uPwbBZFjjGgGUA6NLw09EwE0CqkOc4q9oUmW1yo/edit?usp=sharing"",""ลำพูน!I382"")"),0)</f>
        <v>0</v>
      </c>
      <c r="J487" s="422">
        <f ca="1">IFERROR(__xludf.DUMMYFUNCTION("IMPORTRANGE(""https://docs.google.com/spreadsheets/d/11923uPwbBZFjjGgGUA6NLw09EwE0CqkOc4q9oUmW1yo/edit?usp=sharing"",""ลำพูน!J382"")"),0)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IFERROR(__xludf.DUMMYFUNCTION("IMPORTRANGE(""https://docs.google.com/spreadsheets/d/11923uPwbBZFjjGgGUA6NLw09EwE0CqkOc4q9oUmW1yo/edit?usp=sharing"",""ลำพูน!I383"")"),0)</f>
        <v>0</v>
      </c>
      <c r="J488" s="422">
        <f ca="1">IFERROR(__xludf.DUMMYFUNCTION("IMPORTRANGE(""https://docs.google.com/spreadsheets/d/11923uPwbBZFjjGgGUA6NLw09EwE0CqkOc4q9oUmW1yo/edit?usp=sharing"",""ลำพูน!J383"")"),0)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IFERROR(__xludf.DUMMYFUNCTION("IMPORTRANGE(""https://docs.google.com/spreadsheets/d/11923uPwbBZFjjGgGUA6NLw09EwE0CqkOc4q9oUmW1yo/edit?usp=sharing"",""ลำพูน!I384"")"),0)</f>
        <v>0</v>
      </c>
      <c r="J489" s="190">
        <f ca="1">IFERROR(__xludf.DUMMYFUNCTION("IMPORTRANGE(""https://docs.google.com/spreadsheets/d/11923uPwbBZFjjGgGUA6NLw09EwE0CqkOc4q9oUmW1yo/edit?usp=sharing"",""ลำพูน!J384"")"),0)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IFERROR(__xludf.DUMMYFUNCTION("IMPORTRANGE(""https://docs.google.com/spreadsheets/d/11923uPwbBZFjjGgGUA6NLw09EwE0CqkOc4q9oUmW1yo/edit?usp=sharing"",""ลำพูน!I385"")"),0)</f>
        <v>0</v>
      </c>
      <c r="J490" s="190">
        <f ca="1">IFERROR(__xludf.DUMMYFUNCTION("IMPORTRANGE(""https://docs.google.com/spreadsheets/d/11923uPwbBZFjjGgGUA6NLw09EwE0CqkOc4q9oUmW1yo/edit?usp=sharing"",""ลำพูน!J385"")"),0)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IFERROR(__xludf.DUMMYFUNCTION("IMPORTRANGE(""https://docs.google.com/spreadsheets/d/11923uPwbBZFjjGgGUA6NLw09EwE0CqkOc4q9oUmW1yo/edit?usp=sharing"",""ลำพูน!I386"")"),0)</f>
        <v>0</v>
      </c>
      <c r="J491" s="190">
        <f ca="1">IFERROR(__xludf.DUMMYFUNCTION("IMPORTRANGE(""https://docs.google.com/spreadsheets/d/11923uPwbBZFjjGgGUA6NLw09EwE0CqkOc4q9oUmW1yo/edit?usp=sharing"",""ลำพูน!J386"")"),0)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IFERROR(__xludf.DUMMYFUNCTION("IMPORTRANGE(""https://docs.google.com/spreadsheets/d/11923uPwbBZFjjGgGUA6NLw09EwE0CqkOc4q9oUmW1yo/edit?usp=sharing"",""ลำพูน!I387"")"),0)</f>
        <v>0</v>
      </c>
      <c r="J492" s="190">
        <f ca="1">IFERROR(__xludf.DUMMYFUNCTION("IMPORTRANGE(""https://docs.google.com/spreadsheets/d/11923uPwbBZFjjGgGUA6NLw09EwE0CqkOc4q9oUmW1yo/edit?usp=sharing"",""ลำพูน!J387"")"),0)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IFERROR(__xludf.DUMMYFUNCTION("IMPORTRANGE(""https://docs.google.com/spreadsheets/d/11923uPwbBZFjjGgGUA6NLw09EwE0CqkOc4q9oUmW1yo/edit?usp=sharing"",""ลำพูน!I388"")"),0)</f>
        <v>0</v>
      </c>
      <c r="J493" s="190">
        <f ca="1">IFERROR(__xludf.DUMMYFUNCTION("IMPORTRANGE(""https://docs.google.com/spreadsheets/d/11923uPwbBZFjjGgGUA6NLw09EwE0CqkOc4q9oUmW1yo/edit?usp=sharing"",""ลำพูน!J388"")"),0)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IFERROR(__xludf.DUMMYFUNCTION("IMPORTRANGE(""https://docs.google.com/spreadsheets/d/11923uPwbBZFjjGgGUA6NLw09EwE0CqkOc4q9oUmW1yo/edit?usp=sharing"",""ลำพูน!I389"")"),0)</f>
        <v>0</v>
      </c>
      <c r="J494" s="438">
        <f ca="1">IFERROR(__xludf.DUMMYFUNCTION("IMPORTRANGE(""https://docs.google.com/spreadsheets/d/11923uPwbBZFjjGgGUA6NLw09EwE0CqkOc4q9oUmW1yo/edit?usp=sharing"",""ลำพูน!J389"")"),0)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IFERROR(__xludf.DUMMYFUNCTION("IMPORTRANGE(""https://docs.google.com/spreadsheets/d/11923uPwbBZFjjGgGUA6NLw09EwE0CqkOc4q9oUmW1yo/edit?usp=sharing"",""ลำพูน!I390"")"),0)</f>
        <v>0</v>
      </c>
      <c r="J495" s="438">
        <f ca="1">IFERROR(__xludf.DUMMYFUNCTION("IMPORTRANGE(""https://docs.google.com/spreadsheets/d/11923uPwbBZFjjGgGUA6NLw09EwE0CqkOc4q9oUmW1yo/edit?usp=sharing"",""ลำพูน!J390"")"),0)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IFERROR(__xludf.DUMMYFUNCTION("IMPORTRANGE(""https://docs.google.com/spreadsheets/d/11923uPwbBZFjjGgGUA6NLw09EwE0CqkOc4q9oUmW1yo/edit?usp=sharing"",""ลำพูน!I391"")"),0)</f>
        <v>0</v>
      </c>
      <c r="J496" s="438">
        <f ca="1">IFERROR(__xludf.DUMMYFUNCTION("IMPORTRANGE(""https://docs.google.com/spreadsheets/d/11923uPwbBZFjjGgGUA6NLw09EwE0CqkOc4q9oUmW1yo/edit?usp=sharing"",""ลำพูน!J391"")"),0)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IFERROR(__xludf.DUMMYFUNCTION("IMPORTRANGE(""https://docs.google.com/spreadsheets/d/11923uPwbBZFjjGgGUA6NLw09EwE0CqkOc4q9oUmW1yo/edit?usp=sharing"",""ลำพูน!I392"")"),138)</f>
        <v>138</v>
      </c>
      <c r="J497" s="445">
        <f ca="1">IFERROR(__xludf.DUMMYFUNCTION("IMPORTRANGE(""https://docs.google.com/spreadsheets/d/11923uPwbBZFjjGgGUA6NLw09EwE0CqkOc4q9oUmW1yo/edit?usp=sharing"",""ลำพูน!J392"")"),138)</f>
        <v>138</v>
      </c>
      <c r="K497" s="446">
        <f t="shared" ca="1" si="117"/>
        <v>100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IFERROR(__xludf.DUMMYFUNCTION("IMPORTRANGE(""https://docs.google.com/spreadsheets/d/11923uPwbBZFjjGgGUA6NLw09EwE0CqkOc4q9oUmW1yo/edit?usp=sharing"",""ลำพูน!I393"")"),138)</f>
        <v>138</v>
      </c>
      <c r="J498" s="422">
        <f ca="1">IFERROR(__xludf.DUMMYFUNCTION("IMPORTRANGE(""https://docs.google.com/spreadsheets/d/11923uPwbBZFjjGgGUA6NLw09EwE0CqkOc4q9oUmW1yo/edit?usp=sharing"",""ลำพูน!J393"")"),138)</f>
        <v>138</v>
      </c>
      <c r="K498" s="203">
        <f t="shared" ca="1" si="117"/>
        <v>100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IFERROR(__xludf.DUMMYFUNCTION("IMPORTRANGE(""https://docs.google.com/spreadsheets/d/11923uPwbBZFjjGgGUA6NLw09EwE0CqkOc4q9oUmW1yo/edit?usp=sharing"",""ลำพูน!I394"")"),17)</f>
        <v>17</v>
      </c>
      <c r="J499" s="422">
        <f ca="1">IFERROR(__xludf.DUMMYFUNCTION("IMPORTRANGE(""https://docs.google.com/spreadsheets/d/11923uPwbBZFjjGgGUA6NLw09EwE0CqkOc4q9oUmW1yo/edit?usp=sharing"",""ลำพูน!J394"")"),17)</f>
        <v>17</v>
      </c>
      <c r="K499" s="203">
        <f t="shared" ca="1" si="117"/>
        <v>100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IFERROR(__xludf.DUMMYFUNCTION("IMPORTRANGE(""https://docs.google.com/spreadsheets/d/11923uPwbBZFjjGgGUA6NLw09EwE0CqkOc4q9oUmW1yo/edit?usp=sharing"",""ลำพูน!I395"")"),0)</f>
        <v>0</v>
      </c>
      <c r="J500" s="164">
        <f ca="1">IFERROR(__xludf.DUMMYFUNCTION("IMPORTRANGE(""https://docs.google.com/spreadsheets/d/11923uPwbBZFjjGgGUA6NLw09EwE0CqkOc4q9oUmW1yo/edit?usp=sharing"",""ลำพูน!J395"")"),138)</f>
        <v>138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IFERROR(__xludf.DUMMYFUNCTION("IMPORTRANGE(""https://docs.google.com/spreadsheets/d/11923uPwbBZFjjGgGUA6NLw09EwE0CqkOc4q9oUmW1yo/edit?usp=sharing"",""ลำพูน!I396"")"),0)</f>
        <v>0</v>
      </c>
      <c r="J501" s="164">
        <f ca="1">IFERROR(__xludf.DUMMYFUNCTION("IMPORTRANGE(""https://docs.google.com/spreadsheets/d/11923uPwbBZFjjGgGUA6NLw09EwE0CqkOc4q9oUmW1yo/edit?usp=sharing"",""ลำพูน!J396"")"),17)</f>
        <v>17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IFERROR(__xludf.DUMMYFUNCTION("IMPORTRANGE(""https://docs.google.com/spreadsheets/d/11923uPwbBZFjjGgGUA6NLw09EwE0CqkOc4q9oUmW1yo/edit?usp=sharing"",""ลำพูน!I397"")"),0)</f>
        <v>0</v>
      </c>
      <c r="J502" s="190">
        <f ca="1">IFERROR(__xludf.DUMMYFUNCTION("IMPORTRANGE(""https://docs.google.com/spreadsheets/d/11923uPwbBZFjjGgGUA6NLw09EwE0CqkOc4q9oUmW1yo/edit?usp=sharing"",""ลำพูน!J397"")"),138)</f>
        <v>138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IFERROR(__xludf.DUMMYFUNCTION("IMPORTRANGE(""https://docs.google.com/spreadsheets/d/11923uPwbBZFjjGgGUA6NLw09EwE0CqkOc4q9oUmW1yo/edit?usp=sharing"",""ลำพูน!I398"")"),0)</f>
        <v>0</v>
      </c>
      <c r="J503" s="199">
        <f ca="1">IFERROR(__xludf.DUMMYFUNCTION("IMPORTRANGE(""https://docs.google.com/spreadsheets/d/11923uPwbBZFjjGgGUA6NLw09EwE0CqkOc4q9oUmW1yo/edit?usp=sharing"",""ลำพูน!J398"")"),17)</f>
        <v>17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IFERROR(__xludf.DUMMYFUNCTION("IMPORTRANGE(""https://docs.google.com/spreadsheets/d/11923uPwbBZFjjGgGUA6NLw09EwE0CqkOc4q9oUmW1yo/edit?usp=sharing"",""ลำพูน!I399"")"),0)</f>
        <v>0</v>
      </c>
      <c r="J504" s="190">
        <f ca="1">IFERROR(__xludf.DUMMYFUNCTION("IMPORTRANGE(""https://docs.google.com/spreadsheets/d/11923uPwbBZFjjGgGUA6NLw09EwE0CqkOc4q9oUmW1yo/edit?usp=sharing"",""ลำพูน!J399"")"),0)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IFERROR(__xludf.DUMMYFUNCTION("IMPORTRANGE(""https://docs.google.com/spreadsheets/d/11923uPwbBZFjjGgGUA6NLw09EwE0CqkOc4q9oUmW1yo/edit?usp=sharing"",""ลำพูน!I400"")"),0)</f>
        <v>0</v>
      </c>
      <c r="J505" s="199">
        <f ca="1">IFERROR(__xludf.DUMMYFUNCTION("IMPORTRANGE(""https://docs.google.com/spreadsheets/d/11923uPwbBZFjjGgGUA6NLw09EwE0CqkOc4q9oUmW1yo/edit?usp=sharing"",""ลำพูน!J400"")"),0)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IFERROR(__xludf.DUMMYFUNCTION("IMPORTRANGE(""https://docs.google.com/spreadsheets/d/11923uPwbBZFjjGgGUA6NLw09EwE0CqkOc4q9oUmW1yo/edit?usp=sharing"",""ลำพูน!I401"")"),0)</f>
        <v>0</v>
      </c>
      <c r="J506" s="190">
        <f ca="1">IFERROR(__xludf.DUMMYFUNCTION("IMPORTRANGE(""https://docs.google.com/spreadsheets/d/11923uPwbBZFjjGgGUA6NLw09EwE0CqkOc4q9oUmW1yo/edit?usp=sharing"",""ลำพูน!J401"")"),0)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IFERROR(__xludf.DUMMYFUNCTION("IMPORTRANGE(""https://docs.google.com/spreadsheets/d/11923uPwbBZFjjGgGUA6NLw09EwE0CqkOc4q9oUmW1yo/edit?usp=sharing"",""ลำพูน!I402"")"),0)</f>
        <v>0</v>
      </c>
      <c r="J507" s="199">
        <f ca="1">IFERROR(__xludf.DUMMYFUNCTION("IMPORTRANGE(""https://docs.google.com/spreadsheets/d/11923uPwbBZFjjGgGUA6NLw09EwE0CqkOc4q9oUmW1yo/edit?usp=sharing"",""ลำพูน!J402"")"),0)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IFERROR(__xludf.DUMMYFUNCTION("IMPORTRANGE(""https://docs.google.com/spreadsheets/d/11923uPwbBZFjjGgGUA6NLw09EwE0CqkOc4q9oUmW1yo/edit?usp=sharing"",""ลำพูน!I403"")"),0)</f>
        <v>0</v>
      </c>
      <c r="J508" s="164">
        <f ca="1">IFERROR(__xludf.DUMMYFUNCTION("IMPORTRANGE(""https://docs.google.com/spreadsheets/d/11923uPwbBZFjjGgGUA6NLw09EwE0CqkOc4q9oUmW1yo/edit?usp=sharing"",""ลำพูน!J403"")"),0)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IFERROR(__xludf.DUMMYFUNCTION("IMPORTRANGE(""https://docs.google.com/spreadsheets/d/11923uPwbBZFjjGgGUA6NLw09EwE0CqkOc4q9oUmW1yo/edit?usp=sharing"",""ลำพูน!I404"")"),0)</f>
        <v>0</v>
      </c>
      <c r="J509" s="164">
        <f ca="1">IFERROR(__xludf.DUMMYFUNCTION("IMPORTRANGE(""https://docs.google.com/spreadsheets/d/11923uPwbBZFjjGgGUA6NLw09EwE0CqkOc4q9oUmW1yo/edit?usp=sharing"",""ลำพูน!J404"")"),0)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IFERROR(__xludf.DUMMYFUNCTION("IMPORTRANGE(""https://docs.google.com/spreadsheets/d/11923uPwbBZFjjGgGUA6NLw09EwE0CqkOc4q9oUmW1yo/edit?usp=sharing"",""ลำพูน!I405"")"),0)</f>
        <v>0</v>
      </c>
      <c r="J510" s="199">
        <f ca="1">IFERROR(__xludf.DUMMYFUNCTION("IMPORTRANGE(""https://docs.google.com/spreadsheets/d/11923uPwbBZFjjGgGUA6NLw09EwE0CqkOc4q9oUmW1yo/edit?usp=sharing"",""ลำพูน!J405"")"),0)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IFERROR(__xludf.DUMMYFUNCTION("IMPORTRANGE(""https://docs.google.com/spreadsheets/d/11923uPwbBZFjjGgGUA6NLw09EwE0CqkOc4q9oUmW1yo/edit?usp=sharing"",""ลำพูน!I406"")"),0)</f>
        <v>0</v>
      </c>
      <c r="J511" s="199">
        <f ca="1">IFERROR(__xludf.DUMMYFUNCTION("IMPORTRANGE(""https://docs.google.com/spreadsheets/d/11923uPwbBZFjjGgGUA6NLw09EwE0CqkOc4q9oUmW1yo/edit?usp=sharing"",""ลำพูน!J406"")"),0)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IFERROR(__xludf.DUMMYFUNCTION("IMPORTRANGE(""https://docs.google.com/spreadsheets/d/11923uPwbBZFjjGgGUA6NLw09EwE0CqkOc4q9oUmW1yo/edit?usp=sharing"",""ลำพูน!I407"")"),0)</f>
        <v>0</v>
      </c>
      <c r="J512" s="199">
        <f ca="1">IFERROR(__xludf.DUMMYFUNCTION("IMPORTRANGE(""https://docs.google.com/spreadsheets/d/11923uPwbBZFjjGgGUA6NLw09EwE0CqkOc4q9oUmW1yo/edit?usp=sharing"",""ลำพูน!J407"")"),0)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IFERROR(__xludf.DUMMYFUNCTION("IMPORTRANGE(""https://docs.google.com/spreadsheets/d/11923uPwbBZFjjGgGUA6NLw09EwE0CqkOc4q9oUmW1yo/edit?usp=sharing"",""ลำพูน!I408"")"),0)</f>
        <v>0</v>
      </c>
      <c r="J513" s="199">
        <f ca="1">IFERROR(__xludf.DUMMYFUNCTION("IMPORTRANGE(""https://docs.google.com/spreadsheets/d/11923uPwbBZFjjGgGUA6NLw09EwE0CqkOc4q9oUmW1yo/edit?usp=sharing"",""ลำพูน!J408"")"),0)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IFERROR(__xludf.DUMMYFUNCTION("IMPORTRANGE(""https://docs.google.com/spreadsheets/d/11923uPwbBZFjjGgGUA6NLw09EwE0CqkOc4q9oUmW1yo/edit?usp=sharing"",""ลำพูน!I409"")"),0)</f>
        <v>0</v>
      </c>
      <c r="J514" s="199">
        <f ca="1">IFERROR(__xludf.DUMMYFUNCTION("IMPORTRANGE(""https://docs.google.com/spreadsheets/d/11923uPwbBZFjjGgGUA6NLw09EwE0CqkOc4q9oUmW1yo/edit?usp=sharing"",""ลำพูน!J409"")"),0)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IFERROR(__xludf.DUMMYFUNCTION("IMPORTRANGE(""https://docs.google.com/spreadsheets/d/11923uPwbBZFjjGgGUA6NLw09EwE0CqkOc4q9oUmW1yo/edit?usp=sharing"",""ลำพูน!I410"")"),0)</f>
        <v>0</v>
      </c>
      <c r="J515" s="199">
        <f ca="1">IFERROR(__xludf.DUMMYFUNCTION("IMPORTRANGE(""https://docs.google.com/spreadsheets/d/11923uPwbBZFjjGgGUA6NLw09EwE0CqkOc4q9oUmW1yo/edit?usp=sharing"",""ลำพูน!J410"")"),0)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IFERROR(__xludf.DUMMYFUNCTION("IMPORTRANGE(""https://docs.google.com/spreadsheets/d/11923uPwbBZFjjGgGUA6NLw09EwE0CqkOc4q9oUmW1yo/edit?usp=sharing"",""ลำพูน!I411"")"),0)</f>
        <v>0</v>
      </c>
      <c r="J516" s="268">
        <f ca="1">IFERROR(__xludf.DUMMYFUNCTION("IMPORTRANGE(""https://docs.google.com/spreadsheets/d/11923uPwbBZFjjGgGUA6NLw09EwE0CqkOc4q9oUmW1yo/edit?usp=sharing"",""ลำพูน!J411"")"),0)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IFERROR(__xludf.DUMMYFUNCTION("IMPORTRANGE(""https://docs.google.com/spreadsheets/d/11923uPwbBZFjjGgGUA6NLw09EwE0CqkOc4q9oUmW1yo/edit?usp=sharing"",""ลำพูน!I412"")"),0)</f>
        <v>0</v>
      </c>
      <c r="J517" s="285">
        <f ca="1">IFERROR(__xludf.DUMMYFUNCTION("IMPORTRANGE(""https://docs.google.com/spreadsheets/d/11923uPwbBZFjjGgGUA6NLw09EwE0CqkOc4q9oUmW1yo/edit?usp=sharing"",""ลำพูน!J412"")"),0)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IFERROR(__xludf.DUMMYFUNCTION("IMPORTRANGE(""https://docs.google.com/spreadsheets/d/11923uPwbBZFjjGgGUA6NLw09EwE0CqkOc4q9oUmW1yo/edit?usp=sharing"",""ลำพูน!I413"")"),0)</f>
        <v>0</v>
      </c>
      <c r="J518" s="285">
        <f ca="1">IFERROR(__xludf.DUMMYFUNCTION("IMPORTRANGE(""https://docs.google.com/spreadsheets/d/11923uPwbBZFjjGgGUA6NLw09EwE0CqkOc4q9oUmW1yo/edit?usp=sharing"",""ลำพูน!J413"")"),0)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IFERROR(__xludf.DUMMYFUNCTION("IMPORTRANGE(""https://docs.google.com/spreadsheets/d/11923uPwbBZFjjGgGUA6NLw09EwE0CqkOc4q9oUmW1yo/edit?usp=sharing"",""ลำพูน!I414"")"),0)</f>
        <v>0</v>
      </c>
      <c r="J519" s="189">
        <f ca="1">IFERROR(__xludf.DUMMYFUNCTION("IMPORTRANGE(""https://docs.google.com/spreadsheets/d/11923uPwbBZFjjGgGUA6NLw09EwE0CqkOc4q9oUmW1yo/edit?usp=sharing"",""ลำพูน!J414"")"),0)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IFERROR(__xludf.DUMMYFUNCTION("IMPORTRANGE(""https://docs.google.com/spreadsheets/d/11923uPwbBZFjjGgGUA6NLw09EwE0CqkOc4q9oUmW1yo/edit?usp=sharing"",""ลำพูน!I415"")"),0)</f>
        <v>0</v>
      </c>
      <c r="J520" s="189">
        <f ca="1">IFERROR(__xludf.DUMMYFUNCTION("IMPORTRANGE(""https://docs.google.com/spreadsheets/d/11923uPwbBZFjjGgGUA6NLw09EwE0CqkOc4q9oUmW1yo/edit?usp=sharing"",""ลำพูน!J415"")"),0)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IFERROR(__xludf.DUMMYFUNCTION("IMPORTRANGE(""https://docs.google.com/spreadsheets/d/11923uPwbBZFjjGgGUA6NLw09EwE0CqkOc4q9oUmW1yo/edit?usp=sharing"",""ลำพูน!I416"")"),0)</f>
        <v>0</v>
      </c>
      <c r="J521" s="189">
        <f ca="1">IFERROR(__xludf.DUMMYFUNCTION("IMPORTRANGE(""https://docs.google.com/spreadsheets/d/11923uPwbBZFjjGgGUA6NLw09EwE0CqkOc4q9oUmW1yo/edit?usp=sharing"",""ลำพูน!J416"")"),0)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IFERROR(__xludf.DUMMYFUNCTION("IMPORTRANGE(""https://docs.google.com/spreadsheets/d/11923uPwbBZFjjGgGUA6NLw09EwE0CqkOc4q9oUmW1yo/edit?usp=sharing"",""ลำพูน!I417"")"),0)</f>
        <v>0</v>
      </c>
      <c r="J522" s="189">
        <f ca="1">IFERROR(__xludf.DUMMYFUNCTION("IMPORTRANGE(""https://docs.google.com/spreadsheets/d/11923uPwbBZFjjGgGUA6NLw09EwE0CqkOc4q9oUmW1yo/edit?usp=sharing"",""ลำพูน!J417"")"),0)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IFERROR(__xludf.DUMMYFUNCTION("IMPORTRANGE(""https://docs.google.com/spreadsheets/d/11923uPwbBZFjjGgGUA6NLw09EwE0CqkOc4q9oUmW1yo/edit?usp=sharing"",""ลำพูน!I418"")"),0)</f>
        <v>0</v>
      </c>
      <c r="J523" s="189">
        <f ca="1">IFERROR(__xludf.DUMMYFUNCTION("IMPORTRANGE(""https://docs.google.com/spreadsheets/d/11923uPwbBZFjjGgGUA6NLw09EwE0CqkOc4q9oUmW1yo/edit?usp=sharing"",""ลำพูน!J418"")"),157)</f>
        <v>157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IFERROR(__xludf.DUMMYFUNCTION("IMPORTRANGE(""https://docs.google.com/spreadsheets/d/11923uPwbBZFjjGgGUA6NLw09EwE0CqkOc4q9oUmW1yo/edit?usp=sharing"",""ลำพูน!I419"")"),0)</f>
        <v>0</v>
      </c>
      <c r="J524" s="189">
        <f ca="1">IFERROR(__xludf.DUMMYFUNCTION("IMPORTRANGE(""https://docs.google.com/spreadsheets/d/11923uPwbBZFjjGgGUA6NLw09EwE0CqkOc4q9oUmW1yo/edit?usp=sharing"",""ลำพูน!J419"")"),18)</f>
        <v>18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IFERROR(__xludf.DUMMYFUNCTION("IMPORTRANGE(""https://docs.google.com/spreadsheets/d/11923uPwbBZFjjGgGUA6NLw09EwE0CqkOc4q9oUmW1yo/edit?usp=sharing"",""ลำพูน!I420"")"),157)</f>
        <v>157</v>
      </c>
      <c r="J525" s="285">
        <f ca="1">IFERROR(__xludf.DUMMYFUNCTION("IMPORTRANGE(""https://docs.google.com/spreadsheets/d/11923uPwbBZFjjGgGUA6NLw09EwE0CqkOc4q9oUmW1yo/edit?usp=sharing"",""ลำพูน!J420"")"),157)</f>
        <v>157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IFERROR(__xludf.DUMMYFUNCTION("IMPORTRANGE(""https://docs.google.com/spreadsheets/d/11923uPwbBZFjjGgGUA6NLw09EwE0CqkOc4q9oUmW1yo/edit?usp=sharing"",""ลำพูน!I421"")"),18)</f>
        <v>18</v>
      </c>
      <c r="J526" s="285">
        <f ca="1">IFERROR(__xludf.DUMMYFUNCTION("IMPORTRANGE(""https://docs.google.com/spreadsheets/d/11923uPwbBZFjjGgGUA6NLw09EwE0CqkOc4q9oUmW1yo/edit?usp=sharing"",""ลำพูน!J421"")"),18)</f>
        <v>18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IFERROR(__xludf.DUMMYFUNCTION("IMPORTRANGE(""https://docs.google.com/spreadsheets/d/11923uPwbBZFjjGgGUA6NLw09EwE0CqkOc4q9oUmW1yo/edit?usp=sharing"",""ลำพูน!I422"")"),0)</f>
        <v>0</v>
      </c>
      <c r="J527" s="199">
        <f ca="1">IFERROR(__xludf.DUMMYFUNCTION("IMPORTRANGE(""https://docs.google.com/spreadsheets/d/11923uPwbBZFjjGgGUA6NLw09EwE0CqkOc4q9oUmW1yo/edit?usp=sharing"",""ลำพูน!J422"")"),19)</f>
        <v>19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IFERROR(__xludf.DUMMYFUNCTION("IMPORTRANGE(""https://docs.google.com/spreadsheets/d/11923uPwbBZFjjGgGUA6NLw09EwE0CqkOc4q9oUmW1yo/edit?usp=sharing"",""ลำพูน!I423"")"),0)</f>
        <v>0</v>
      </c>
      <c r="J528" s="199">
        <f ca="1">IFERROR(__xludf.DUMMYFUNCTION("IMPORTRANGE(""https://docs.google.com/spreadsheets/d/11923uPwbBZFjjGgGUA6NLw09EwE0CqkOc4q9oUmW1yo/edit?usp=sharing"",""ลำพูน!J423"")"),2)</f>
        <v>2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IFERROR(__xludf.DUMMYFUNCTION("IMPORTRANGE(""https://docs.google.com/spreadsheets/d/11923uPwbBZFjjGgGUA6NLw09EwE0CqkOc4q9oUmW1yo/edit?usp=sharing"",""ลำพูน!I424"")"),0)</f>
        <v>0</v>
      </c>
      <c r="J529" s="199">
        <f ca="1">IFERROR(__xludf.DUMMYFUNCTION("IMPORTRANGE(""https://docs.google.com/spreadsheets/d/11923uPwbBZFjjGgGUA6NLw09EwE0CqkOc4q9oUmW1yo/edit?usp=sharing"",""ลำพูน!J424"")"),0)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IFERROR(__xludf.DUMMYFUNCTION("IMPORTRANGE(""https://docs.google.com/spreadsheets/d/11923uPwbBZFjjGgGUA6NLw09EwE0CqkOc4q9oUmW1yo/edit?usp=sharing"",""ลำพูน!I425"")"),0)</f>
        <v>0</v>
      </c>
      <c r="J530" s="199">
        <f ca="1">IFERROR(__xludf.DUMMYFUNCTION("IMPORTRANGE(""https://docs.google.com/spreadsheets/d/11923uPwbBZFjjGgGUA6NLw09EwE0CqkOc4q9oUmW1yo/edit?usp=sharing"",""ลำพูน!J425"")"),16)</f>
        <v>16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IFERROR(__xludf.DUMMYFUNCTION("IMPORTRANGE(""https://docs.google.com/spreadsheets/d/11923uPwbBZFjjGgGUA6NLw09EwE0CqkOc4q9oUmW1yo/edit?usp=sharing"",""ลำพูน!I426"")"),0)</f>
        <v>0</v>
      </c>
      <c r="J531" s="199">
        <f ca="1">IFERROR(__xludf.DUMMYFUNCTION("IMPORTRANGE(""https://docs.google.com/spreadsheets/d/11923uPwbBZFjjGgGUA6NLw09EwE0CqkOc4q9oUmW1yo/edit?usp=sharing"",""ลำพูน!J426"")"),138)</f>
        <v>138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IFERROR(__xludf.DUMMYFUNCTION("IMPORTRANGE(""https://docs.google.com/spreadsheets/d/11923uPwbBZFjjGgGUA6NLw09EwE0CqkOc4q9oUmW1yo/edit?usp=sharing"",""ลำพูน!I427"")"),0)</f>
        <v>0</v>
      </c>
      <c r="J532" s="468">
        <f ca="1">IFERROR(__xludf.DUMMYFUNCTION("IMPORTRANGE(""https://docs.google.com/spreadsheets/d/11923uPwbBZFjjGgGUA6NLw09EwE0CqkOc4q9oUmW1yo/edit?usp=sharing"",""ลำพูน!J427"")"),0)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IFERROR(__xludf.DUMMYFUNCTION("IMPORTRANGE(""https://docs.google.com/spreadsheets/d/11923uPwbBZFjjGgGUA6NLw09EwE0CqkOc4q9oUmW1yo/edit?usp=sharing"",""ลำพูน!I428"")"),22)</f>
        <v>22</v>
      </c>
      <c r="J533" s="411">
        <f ca="1">IFERROR(__xludf.DUMMYFUNCTION("IMPORTRANGE(""https://docs.google.com/spreadsheets/d/11923uPwbBZFjjGgGUA6NLw09EwE0CqkOc4q9oUmW1yo/edit?usp=sharing"",""ลำพูน!J428"")"),22)</f>
        <v>22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IFERROR(__xludf.DUMMYFUNCTION("IMPORTRANGE(""https://docs.google.com/spreadsheets/d/11923uPwbBZFjjGgGUA6NLw09EwE0CqkOc4q9oUmW1yo/edit?usp=sharing"",""ลำพูน!L428"")"),34340)</f>
        <v>34340</v>
      </c>
      <c r="M533" s="413"/>
      <c r="N533" s="413">
        <f ca="1">IFERROR(__xludf.DUMMYFUNCTION("IMPORTRANGE(""https://docs.google.com/spreadsheets/d/11923uPwbBZFjjGgGUA6NLw09EwE0CqkOc4q9oUmW1yo/edit?usp=sharing"",""ลำพูน!M428"")"),17969)</f>
        <v>17969</v>
      </c>
      <c r="O533" s="413">
        <f t="shared" ref="O533:O537" ca="1" si="118">+IF(L533&gt;0,N533*100/L533,0)</f>
        <v>52.32673267326733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IFERROR(__xludf.DUMMYFUNCTION("IMPORTRANGE(""https://docs.google.com/spreadsheets/d/11923uPwbBZFjjGgGUA6NLw09EwE0CqkOc4q9oUmW1yo/edit?usp=sharing"",""ลำพูน!L429"")"),0)</f>
        <v>0</v>
      </c>
      <c r="M534" s="166"/>
      <c r="N534" s="170">
        <f ca="1">IFERROR(__xludf.DUMMYFUNCTION("IMPORTRANGE(""https://docs.google.com/spreadsheets/d/11923uPwbBZFjjGgGUA6NLw09EwE0CqkOc4q9oUmW1yo/edit?usp=sharing"",""ลำพูน!M429"")"),0)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IFERROR(__xludf.DUMMYFUNCTION("IMPORTRANGE(""https://docs.google.com/spreadsheets/d/11923uPwbBZFjjGgGUA6NLw09EwE0CqkOc4q9oUmW1yo/edit?usp=sharing"",""ลำพูน!L430"")"),34340)</f>
        <v>34340</v>
      </c>
      <c r="M535" s="167"/>
      <c r="N535" s="170">
        <f ca="1">IFERROR(__xludf.DUMMYFUNCTION("IMPORTRANGE(""https://docs.google.com/spreadsheets/d/11923uPwbBZFjjGgGUA6NLw09EwE0CqkOc4q9oUmW1yo/edit?usp=sharing"",""ลำพูน!M430"")"),17969)</f>
        <v>17969</v>
      </c>
      <c r="O535" s="170">
        <f t="shared" ca="1" si="118"/>
        <v>52.32673267326733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IFERROR(__xludf.DUMMYFUNCTION("IMPORTRANGE(""https://docs.google.com/spreadsheets/d/11923uPwbBZFjjGgGUA6NLw09EwE0CqkOc4q9oUmW1yo/edit?usp=sharing"",""ลำพูน!L431"")"),0)</f>
        <v>0</v>
      </c>
      <c r="M536" s="170"/>
      <c r="N536" s="170">
        <f ca="1">IFERROR(__xludf.DUMMYFUNCTION("IMPORTRANGE(""https://docs.google.com/spreadsheets/d/11923uPwbBZFjjGgGUA6NLw09EwE0CqkOc4q9oUmW1yo/edit?usp=sharing"",""ลำพูน!M431"")"),0)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IFERROR(__xludf.DUMMYFUNCTION("IMPORTRANGE(""https://docs.google.com/spreadsheets/d/11923uPwbBZFjjGgGUA6NLw09EwE0CqkOc4q9oUmW1yo/edit?usp=sharing"",""ลำพูน!L432"")"),34340)</f>
        <v>34340</v>
      </c>
      <c r="M537" s="170"/>
      <c r="N537" s="170">
        <f ca="1">IFERROR(__xludf.DUMMYFUNCTION("IMPORTRANGE(""https://docs.google.com/spreadsheets/d/11923uPwbBZFjjGgGUA6NLw09EwE0CqkOc4q9oUmW1yo/edit?usp=sharing"",""ลำพูน!M432"")"),17969)</f>
        <v>17969</v>
      </c>
      <c r="O537" s="170">
        <f t="shared" ca="1" si="118"/>
        <v>52.32673267326733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IFERROR(__xludf.DUMMYFUNCTION("IMPORTRANGE(""https://docs.google.com/spreadsheets/d/11923uPwbBZFjjGgGUA6NLw09EwE0CqkOc4q9oUmW1yo/edit?usp=sharing"",""ลำพูน!M433"")"),17969)</f>
        <v>17969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IFERROR(__xludf.DUMMYFUNCTION("IMPORTRANGE(""https://docs.google.com/spreadsheets/d/11923uPwbBZFjjGgGUA6NLw09EwE0CqkOc4q9oUmW1yo/edit?usp=sharing"",""ลำพูน!M434"")"),0)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IFERROR(__xludf.DUMMYFUNCTION("IMPORTRANGE(""https://docs.google.com/spreadsheets/d/11923uPwbBZFjjGgGUA6NLw09EwE0CqkOc4q9oUmW1yo/edit?usp=sharing"",""ลำพูน!M435"")"),0)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IFERROR(__xludf.DUMMYFUNCTION("IMPORTRANGE(""https://docs.google.com/spreadsheets/d/11923uPwbBZFjjGgGUA6NLw09EwE0CqkOc4q9oUmW1yo/edit?usp=sharing"",""ลำพูน!M436"")"),0)</f>
        <v>0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IFERROR(__xludf.DUMMYFUNCTION("IMPORTRANGE(""https://docs.google.com/spreadsheets/d/11923uPwbBZFjjGgGUA6NLw09EwE0CqkOc4q9oUmW1yo/edit?usp=sharing"",""ลำพูน!J438"")"),0)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IFERROR(__xludf.DUMMYFUNCTION("IMPORTRANGE(""https://docs.google.com/spreadsheets/d/11923uPwbBZFjjGgGUA6NLw09EwE0CqkOc4q9oUmW1yo/edit?usp=sharing"",""ลำพูน!J439"")"),1)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IFERROR(__xludf.DUMMYFUNCTION("IMPORTRANGE(""https://docs.google.com/spreadsheets/d/11923uPwbBZFjjGgGUA6NLw09EwE0CqkOc4q9oUmW1yo/edit?usp=sharing"",""ลำพูน!J440"")"),1)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IFERROR(__xludf.DUMMYFUNCTION("IMPORTRANGE(""https://docs.google.com/spreadsheets/d/11923uPwbBZFjjGgGUA6NLw09EwE0CqkOc4q9oUmW1yo/edit?usp=sharing"",""ลำพูน!J441"")"),1)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IFERROR(__xludf.DUMMYFUNCTION("IMPORTRANGE(""https://docs.google.com/spreadsheets/d/11923uPwbBZFjjGgGUA6NLw09EwE0CqkOc4q9oUmW1yo/edit?usp=sharing"",""ลำพูน!I442"")"),22)</f>
        <v>22</v>
      </c>
      <c r="J547" s="190">
        <f ca="1">IFERROR(__xludf.DUMMYFUNCTION("IMPORTRANGE(""https://docs.google.com/spreadsheets/d/11923uPwbBZFjjGgGUA6NLw09EwE0CqkOc4q9oUmW1yo/edit?usp=sharing"",""ลำพูน!J442"")"),22)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IFERROR(__xludf.DUMMYFUNCTION("IMPORTRANGE(""https://docs.google.com/spreadsheets/d/11923uPwbBZFjjGgGUA6NLw09EwE0CqkOc4q9oUmW1yo/edit?usp=sharing"",""ลำพูน!J166"")"),0)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IFERROR(__xludf.DUMMYFUNCTION("IMPORTRANGE(""https://docs.google.com/spreadsheets/d/11923uPwbBZFjjGgGUA6NLw09EwE0CqkOc4q9oUmW1yo/edit?usp=sharing"",""ลำพูน!J444"")"),1)</f>
        <v>1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IFERROR(__xludf.DUMMYFUNCTION("IMPORTRANGE(""https://docs.google.com/spreadsheets/d/11923uPwbBZFjjGgGUA6NLw09EwE0CqkOc4q9oUmW1yo/edit?usp=sharing"",""ลำพูน!J445"")"),0)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IFERROR(__xludf.DUMMYFUNCTION("IMPORTRANGE(""https://docs.google.com/spreadsheets/d/11923uPwbBZFjjGgGUA6NLw09EwE0CqkOc4q9oUmW1yo/edit?usp=sharing"",""ลำพูน!I446"")"),0)</f>
        <v>0</v>
      </c>
      <c r="J551" s="411">
        <f ca="1">IFERROR(__xludf.DUMMYFUNCTION("IMPORTRANGE(""https://docs.google.com/spreadsheets/d/11923uPwbBZFjjGgGUA6NLw09EwE0CqkOc4q9oUmW1yo/edit?usp=sharing"",""ลำพูน!J446"")"),0)</f>
        <v>0</v>
      </c>
      <c r="K551" s="412">
        <f ca="1">IF(I551&gt;0,J551*100/I551,0)</f>
        <v>0</v>
      </c>
      <c r="L551" s="413">
        <f ca="1">IFERROR(__xludf.DUMMYFUNCTION("IMPORTRANGE(""https://docs.google.com/spreadsheets/d/11923uPwbBZFjjGgGUA6NLw09EwE0CqkOc4q9oUmW1yo/edit?usp=sharing"",""ลำพูน!L446"")"),0)</f>
        <v>0</v>
      </c>
      <c r="M551" s="413"/>
      <c r="N551" s="413">
        <f ca="1">IFERROR(__xludf.DUMMYFUNCTION("IMPORTRANGE(""https://docs.google.com/spreadsheets/d/11923uPwbBZFjjGgGUA6NLw09EwE0CqkOc4q9oUmW1yo/edit?usp=sharing"",""ลำพูน!M446"")"),0)</f>
        <v>0</v>
      </c>
      <c r="O551" s="413">
        <f t="shared" ref="O551:O555" ca="1" si="120">+IF(L551&gt;0,N551*100/L551,0)</f>
        <v>0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IFERROR(__xludf.DUMMYFUNCTION("IMPORTRANGE(""https://docs.google.com/spreadsheets/d/11923uPwbBZFjjGgGUA6NLw09EwE0CqkOc4q9oUmW1yo/edit?usp=sharing"",""ลำพูน!L447"")"),0)</f>
        <v>0</v>
      </c>
      <c r="M552" s="166"/>
      <c r="N552" s="170">
        <f ca="1">IFERROR(__xludf.DUMMYFUNCTION("IMPORTRANGE(""https://docs.google.com/spreadsheets/d/11923uPwbBZFjjGgGUA6NLw09EwE0CqkOc4q9oUmW1yo/edit?usp=sharing"",""ลำพูน!M447"")"),0)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IFERROR(__xludf.DUMMYFUNCTION("IMPORTRANGE(""https://docs.google.com/spreadsheets/d/11923uPwbBZFjjGgGUA6NLw09EwE0CqkOc4q9oUmW1yo/edit?usp=sharing"",""ลำพูน!L448"")"),0)</f>
        <v>0</v>
      </c>
      <c r="M553" s="167"/>
      <c r="N553" s="170">
        <f ca="1">IFERROR(__xludf.DUMMYFUNCTION("IMPORTRANGE(""https://docs.google.com/spreadsheets/d/11923uPwbBZFjjGgGUA6NLw09EwE0CqkOc4q9oUmW1yo/edit?usp=sharing"",""ลำพูน!M448"")"),0)</f>
        <v>0</v>
      </c>
      <c r="O553" s="170">
        <f t="shared" ca="1" si="120"/>
        <v>0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IFERROR(__xludf.DUMMYFUNCTION("IMPORTRANGE(""https://docs.google.com/spreadsheets/d/11923uPwbBZFjjGgGUA6NLw09EwE0CqkOc4q9oUmW1yo/edit?usp=sharing"",""ลำพูน!L449"")"),0)</f>
        <v>0</v>
      </c>
      <c r="M554" s="170"/>
      <c r="N554" s="170">
        <f ca="1">IFERROR(__xludf.DUMMYFUNCTION("IMPORTRANGE(""https://docs.google.com/spreadsheets/d/11923uPwbBZFjjGgGUA6NLw09EwE0CqkOc4q9oUmW1yo/edit?usp=sharing"",""ลำพูน!M449"")"),0)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IFERROR(__xludf.DUMMYFUNCTION("IMPORTRANGE(""https://docs.google.com/spreadsheets/d/11923uPwbBZFjjGgGUA6NLw09EwE0CqkOc4q9oUmW1yo/edit?usp=sharing"",""ลำพูน!L450"")"),0)</f>
        <v>0</v>
      </c>
      <c r="M555" s="170"/>
      <c r="N555" s="170">
        <f ca="1">IFERROR(__xludf.DUMMYFUNCTION("IMPORTRANGE(""https://docs.google.com/spreadsheets/d/11923uPwbBZFjjGgGUA6NLw09EwE0CqkOc4q9oUmW1yo/edit?usp=sharing"",""ลำพูน!M450"")"),0)</f>
        <v>0</v>
      </c>
      <c r="O555" s="170">
        <f t="shared" ca="1" si="120"/>
        <v>0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IFERROR(__xludf.DUMMYFUNCTION("IMPORTRANGE(""https://docs.google.com/spreadsheets/d/11923uPwbBZFjjGgGUA6NLw09EwE0CqkOc4q9oUmW1yo/edit?usp=sharing"",""ลำพูน!M451"")"),0)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IFERROR(__xludf.DUMMYFUNCTION("IMPORTRANGE(""https://docs.google.com/spreadsheets/d/11923uPwbBZFjjGgGUA6NLw09EwE0CqkOc4q9oUmW1yo/edit?usp=sharing"",""ลำพูน!M452"")"),0)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IFERROR(__xludf.DUMMYFUNCTION("IMPORTRANGE(""https://docs.google.com/spreadsheets/d/11923uPwbBZFjjGgGUA6NLw09EwE0CqkOc4q9oUmW1yo/edit?usp=sharing"",""ลำพูน!M453"")"),0)</f>
        <v>0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IFERROR(__xludf.DUMMYFUNCTION("IMPORTRANGE(""https://docs.google.com/spreadsheets/d/11923uPwbBZFjjGgGUA6NLw09EwE0CqkOc4q9oUmW1yo/edit?usp=sharing"",""ลำพูน!M454"")"),0)</f>
        <v>0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IFERROR(__xludf.DUMMYFUNCTION("IMPORTRANGE(""https://docs.google.com/spreadsheets/d/11923uPwbBZFjjGgGUA6NLw09EwE0CqkOc4q9oUmW1yo/edit?usp=sharing"",""ลำพูน!I455"")"),0)</f>
        <v>0</v>
      </c>
      <c r="J560" s="164">
        <f ca="1">IFERROR(__xludf.DUMMYFUNCTION("IMPORTRANGE(""https://docs.google.com/spreadsheets/d/11923uPwbBZFjjGgGUA6NLw09EwE0CqkOc4q9oUmW1yo/edit?usp=sharing"",""ลำพูน!J455"")"),0)</f>
        <v>0</v>
      </c>
      <c r="K560" s="225">
        <f t="shared" ref="K560:K561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IFERROR(__xludf.DUMMYFUNCTION("IMPORTRANGE(""https://docs.google.com/spreadsheets/d/11923uPwbBZFjjGgGUA6NLw09EwE0CqkOc4q9oUmW1yo/edit?usp=sharing"",""ลำพูน!I456"")"),0)</f>
        <v>0</v>
      </c>
      <c r="J561" s="205">
        <f ca="1">IFERROR(__xludf.DUMMYFUNCTION("IMPORTRANGE(""https://docs.google.com/spreadsheets/d/11923uPwbBZFjjGgGUA6NLw09EwE0CqkOc4q9oUmW1yo/edit?usp=sharing"",""ลำพูน!J456"")"),0)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IFERROR(__xludf.DUMMYFUNCTION("IMPORTRANGE(""https://docs.google.com/spreadsheets/d/11923uPwbBZFjjGgGUA6NLw09EwE0CqkOc4q9oUmW1yo/edit?usp=sharing"",""ลำพูน!I459"")"),650)</f>
        <v>650</v>
      </c>
      <c r="J564" s="372">
        <f ca="1">IFERROR(__xludf.DUMMYFUNCTION("IMPORTRANGE(""https://docs.google.com/spreadsheets/d/11923uPwbBZFjjGgGUA6NLw09EwE0CqkOc4q9oUmW1yo/edit?usp=sharing"",""ลำพูน!J459"")"),577)</f>
        <v>577</v>
      </c>
      <c r="K564" s="373">
        <f ca="1">IF(I564&gt;0,J564*100/I564,0)</f>
        <v>88.769230769230774</v>
      </c>
      <c r="L564" s="374">
        <f ca="1">IFERROR(__xludf.DUMMYFUNCTION("IMPORTRANGE(""https://docs.google.com/spreadsheets/d/11923uPwbBZFjjGgGUA6NLw09EwE0CqkOc4q9oUmW1yo/edit?usp=sharing"",""ลำพูน!L459"")"),126880)</f>
        <v>126880</v>
      </c>
      <c r="M564" s="374"/>
      <c r="N564" s="374">
        <f ca="1">IFERROR(__xludf.DUMMYFUNCTION("IMPORTRANGE(""https://docs.google.com/spreadsheets/d/11923uPwbBZFjjGgGUA6NLw09EwE0CqkOc4q9oUmW1yo/edit?usp=sharing"",""ลำพูน!M459"")"),48305)</f>
        <v>48305</v>
      </c>
      <c r="O564" s="374">
        <f t="shared" ref="O564:O568" ca="1" si="122">+IF(L564&gt;0,N564*100/L564,0)</f>
        <v>38.071406052963432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IFERROR(__xludf.DUMMYFUNCTION("IMPORTRANGE(""https://docs.google.com/spreadsheets/d/11923uPwbBZFjjGgGUA6NLw09EwE0CqkOc4q9oUmW1yo/edit?usp=sharing"",""ลำพูน!L460"")"),0)</f>
        <v>0</v>
      </c>
      <c r="M565" s="166"/>
      <c r="N565" s="170">
        <f ca="1">IFERROR(__xludf.DUMMYFUNCTION("IMPORTRANGE(""https://docs.google.com/spreadsheets/d/11923uPwbBZFjjGgGUA6NLw09EwE0CqkOc4q9oUmW1yo/edit?usp=sharing"",""ลำพูน!M460"")"),0)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IFERROR(__xludf.DUMMYFUNCTION("IMPORTRANGE(""https://docs.google.com/spreadsheets/d/11923uPwbBZFjjGgGUA6NLw09EwE0CqkOc4q9oUmW1yo/edit?usp=sharing"",""ลำพูน!L461"")"),126880)</f>
        <v>126880</v>
      </c>
      <c r="M566" s="167"/>
      <c r="N566" s="170">
        <f ca="1">IFERROR(__xludf.DUMMYFUNCTION("IMPORTRANGE(""https://docs.google.com/spreadsheets/d/11923uPwbBZFjjGgGUA6NLw09EwE0CqkOc4q9oUmW1yo/edit?usp=sharing"",""ลำพูน!M461"")"),48305)</f>
        <v>48305</v>
      </c>
      <c r="O566" s="170">
        <f t="shared" ca="1" si="122"/>
        <v>38.071406052963432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IFERROR(__xludf.DUMMYFUNCTION("IMPORTRANGE(""https://docs.google.com/spreadsheets/d/11923uPwbBZFjjGgGUA6NLw09EwE0CqkOc4q9oUmW1yo/edit?usp=sharing"",""ลำพูน!L462"")"),0)</f>
        <v>0</v>
      </c>
      <c r="M567" s="170"/>
      <c r="N567" s="170">
        <f ca="1">IFERROR(__xludf.DUMMYFUNCTION("IMPORTRANGE(""https://docs.google.com/spreadsheets/d/11923uPwbBZFjjGgGUA6NLw09EwE0CqkOc4q9oUmW1yo/edit?usp=sharing"",""ลำพูน!M462"")"),0)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IFERROR(__xludf.DUMMYFUNCTION("IMPORTRANGE(""https://docs.google.com/spreadsheets/d/11923uPwbBZFjjGgGUA6NLw09EwE0CqkOc4q9oUmW1yo/edit?usp=sharing"",""ลำพูน!L463"")"),126880)</f>
        <v>126880</v>
      </c>
      <c r="M568" s="170"/>
      <c r="N568" s="170">
        <f ca="1">IFERROR(__xludf.DUMMYFUNCTION("IMPORTRANGE(""https://docs.google.com/spreadsheets/d/11923uPwbBZFjjGgGUA6NLw09EwE0CqkOc4q9oUmW1yo/edit?usp=sharing"",""ลำพูน!M463"")"),48305)</f>
        <v>48305</v>
      </c>
      <c r="O568" s="170">
        <f t="shared" ca="1" si="122"/>
        <v>38.071406052963432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IFERROR(__xludf.DUMMYFUNCTION("IMPORTRANGE(""https://docs.google.com/spreadsheets/d/11923uPwbBZFjjGgGUA6NLw09EwE0CqkOc4q9oUmW1yo/edit?usp=sharing"",""ลำพูน!M464"")"),0)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IFERROR(__xludf.DUMMYFUNCTION("IMPORTRANGE(""https://docs.google.com/spreadsheets/d/11923uPwbBZFjjGgGUA6NLw09EwE0CqkOc4q9oUmW1yo/edit?usp=sharing"",""ลำพูน!M465"")"),0)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IFERROR(__xludf.DUMMYFUNCTION("IMPORTRANGE(""https://docs.google.com/spreadsheets/d/11923uPwbBZFjjGgGUA6NLw09EwE0CqkOc4q9oUmW1yo/edit?usp=sharing"",""ลำพูน!M466"")"),42935)</f>
        <v>42935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IFERROR(__xludf.DUMMYFUNCTION("IMPORTRANGE(""https://docs.google.com/spreadsheets/d/11923uPwbBZFjjGgGUA6NLw09EwE0CqkOc4q9oUmW1yo/edit?usp=sharing"",""ลำพูน!M467"")"),5370)</f>
        <v>5370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IFERROR(__xludf.DUMMYFUNCTION("IMPORTRANGE(""https://docs.google.com/spreadsheets/d/11923uPwbBZFjjGgGUA6NLw09EwE0CqkOc4q9oUmW1yo/edit?usp=sharing"",""ลำพูน!I468"")"),650)</f>
        <v>650</v>
      </c>
      <c r="J573" s="422">
        <f ca="1">IFERROR(__xludf.DUMMYFUNCTION("IMPORTRANGE(""https://docs.google.com/spreadsheets/d/11923uPwbBZFjjGgGUA6NLw09EwE0CqkOc4q9oUmW1yo/edit?usp=sharing"",""ลำพูน!J468"")"),577)</f>
        <v>577</v>
      </c>
      <c r="K573" s="203">
        <f ca="1">IF(I573&gt;0,J573*100/I573,0)</f>
        <v>88.769230769230774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IFERROR(__xludf.DUMMYFUNCTION("IMPORTRANGE(""https://docs.google.com/spreadsheets/d/11923uPwbBZFjjGgGUA6NLw09EwE0CqkOc4q9oUmW1yo/edit?usp=sharing"",""ลำพูน!I470"")"),0)</f>
        <v>0</v>
      </c>
      <c r="J575" s="199">
        <f ca="1">IFERROR(__xludf.DUMMYFUNCTION("IMPORTRANGE(""https://docs.google.com/spreadsheets/d/11923uPwbBZFjjGgGUA6NLw09EwE0CqkOc4q9oUmW1yo/edit?usp=sharing"",""ลำพูน!J470"")"),3)</f>
        <v>3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IFERROR(__xludf.DUMMYFUNCTION("IMPORTRANGE(""https://docs.google.com/spreadsheets/d/11923uPwbBZFjjGgGUA6NLw09EwE0CqkOc4q9oUmW1yo/edit?usp=sharing"",""ลำพูน!I471"")"),0)</f>
        <v>0</v>
      </c>
      <c r="J576" s="199">
        <f ca="1">IFERROR(__xludf.DUMMYFUNCTION("IMPORTRANGE(""https://docs.google.com/spreadsheets/d/11923uPwbBZFjjGgGUA6NLw09EwE0CqkOc4q9oUmW1yo/edit?usp=sharing"",""ลำพูน!J471"")"),180)</f>
        <v>180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IFERROR(__xludf.DUMMYFUNCTION("IMPORTRANGE(""https://docs.google.com/spreadsheets/d/11923uPwbBZFjjGgGUA6NLw09EwE0CqkOc4q9oUmW1yo/edit?usp=sharing"",""ลำพูน!I472"")"),0)</f>
        <v>0</v>
      </c>
      <c r="J577" s="190">
        <f ca="1">IFERROR(__xludf.DUMMYFUNCTION("IMPORTRANGE(""https://docs.google.com/spreadsheets/d/11923uPwbBZFjjGgGUA6NLw09EwE0CqkOc4q9oUmW1yo/edit?usp=sharing"",""ลำพูน!J472"")"),397)</f>
        <v>397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IFERROR(__xludf.DUMMYFUNCTION("IMPORTRANGE(""https://docs.google.com/spreadsheets/d/11923uPwbBZFjjGgGUA6NLw09EwE0CqkOc4q9oUmW1yo/edit?usp=sharing"",""ลำพูน!I473"")"),0)</f>
        <v>0</v>
      </c>
      <c r="J578" s="199">
        <f ca="1">IFERROR(__xludf.DUMMYFUNCTION("IMPORTRANGE(""https://docs.google.com/spreadsheets/d/11923uPwbBZFjjGgGUA6NLw09EwE0CqkOc4q9oUmW1yo/edit?usp=sharing"",""ลำพูน!J473"")"),0)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IFERROR(__xludf.DUMMYFUNCTION("IMPORTRANGE(""https://docs.google.com/spreadsheets/d/11923uPwbBZFjjGgGUA6NLw09EwE0CqkOc4q9oUmW1yo/edit?usp=sharing"",""ลำพูน!I474"")"),0)</f>
        <v>0</v>
      </c>
      <c r="J579" s="199">
        <f ca="1">IFERROR(__xludf.DUMMYFUNCTION("IMPORTRANGE(""https://docs.google.com/spreadsheets/d/11923uPwbBZFjjGgGUA6NLw09EwE0CqkOc4q9oUmW1yo/edit?usp=sharing"",""ลำพูน!J474"")"),0)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IFERROR(__xludf.DUMMYFUNCTION("IMPORTRANGE(""https://docs.google.com/spreadsheets/d/11923uPwbBZFjjGgGUA6NLw09EwE0CqkOc4q9oUmW1yo/edit?usp=sharing"",""ลำพูน!I475"")"),0)</f>
        <v>0</v>
      </c>
      <c r="J580" s="372">
        <f ca="1">IFERROR(__xludf.DUMMYFUNCTION("IMPORTRANGE(""https://docs.google.com/spreadsheets/d/11923uPwbBZFjjGgGUA6NLw09EwE0CqkOc4q9oUmW1yo/edit?usp=sharing"",""ลำพูน!J475"")"),0)</f>
        <v>0</v>
      </c>
      <c r="K580" s="373">
        <f ca="1">IF(I580&gt;0,J580*100/I580,0)</f>
        <v>0</v>
      </c>
      <c r="L580" s="374">
        <f ca="1">IFERROR(__xludf.DUMMYFUNCTION("IMPORTRANGE(""https://docs.google.com/spreadsheets/d/11923uPwbBZFjjGgGUA6NLw09EwE0CqkOc4q9oUmW1yo/edit?usp=sharing"",""ลำพูน!L475"")"),0)</f>
        <v>0</v>
      </c>
      <c r="M580" s="374"/>
      <c r="N580" s="374">
        <f ca="1">IFERROR(__xludf.DUMMYFUNCTION("IMPORTRANGE(""https://docs.google.com/spreadsheets/d/11923uPwbBZFjjGgGUA6NLw09EwE0CqkOc4q9oUmW1yo/edit?usp=sharing"",""ลำพูน!M475"")"),0)</f>
        <v>0</v>
      </c>
      <c r="O580" s="374">
        <f t="shared" ref="O580:O584" ca="1" si="124">+IF(L580&gt;0,N580*100/L580,0)</f>
        <v>0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IFERROR(__xludf.DUMMYFUNCTION("IMPORTRANGE(""https://docs.google.com/spreadsheets/d/11923uPwbBZFjjGgGUA6NLw09EwE0CqkOc4q9oUmW1yo/edit?usp=sharing"",""ลำพูน!L476"")"),0)</f>
        <v>0</v>
      </c>
      <c r="M581" s="166"/>
      <c r="N581" s="170">
        <f ca="1">IFERROR(__xludf.DUMMYFUNCTION("IMPORTRANGE(""https://docs.google.com/spreadsheets/d/11923uPwbBZFjjGgGUA6NLw09EwE0CqkOc4q9oUmW1yo/edit?usp=sharing"",""ลำพูน!M476"")"),0)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IFERROR(__xludf.DUMMYFUNCTION("IMPORTRANGE(""https://docs.google.com/spreadsheets/d/11923uPwbBZFjjGgGUA6NLw09EwE0CqkOc4q9oUmW1yo/edit?usp=sharing"",""ลำพูน!L477"")"),0)</f>
        <v>0</v>
      </c>
      <c r="M582" s="167"/>
      <c r="N582" s="170">
        <f ca="1">IFERROR(__xludf.DUMMYFUNCTION("IMPORTRANGE(""https://docs.google.com/spreadsheets/d/11923uPwbBZFjjGgGUA6NLw09EwE0CqkOc4q9oUmW1yo/edit?usp=sharing"",""ลำพูน!M477"")"),0)</f>
        <v>0</v>
      </c>
      <c r="O582" s="170">
        <f t="shared" ca="1" si="124"/>
        <v>0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IFERROR(__xludf.DUMMYFUNCTION("IMPORTRANGE(""https://docs.google.com/spreadsheets/d/11923uPwbBZFjjGgGUA6NLw09EwE0CqkOc4q9oUmW1yo/edit?usp=sharing"",""ลำพูน!L478"")"),0)</f>
        <v>0</v>
      </c>
      <c r="M583" s="170"/>
      <c r="N583" s="170">
        <f ca="1">IFERROR(__xludf.DUMMYFUNCTION("IMPORTRANGE(""https://docs.google.com/spreadsheets/d/11923uPwbBZFjjGgGUA6NLw09EwE0CqkOc4q9oUmW1yo/edit?usp=sharing"",""ลำพูน!M478"")"),0)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IFERROR(__xludf.DUMMYFUNCTION("IMPORTRANGE(""https://docs.google.com/spreadsheets/d/11923uPwbBZFjjGgGUA6NLw09EwE0CqkOc4q9oUmW1yo/edit?usp=sharing"",""ลำพูน!L479"")"),0)</f>
        <v>0</v>
      </c>
      <c r="M584" s="170"/>
      <c r="N584" s="170">
        <f ca="1">IFERROR(__xludf.DUMMYFUNCTION("IMPORTRANGE(""https://docs.google.com/spreadsheets/d/11923uPwbBZFjjGgGUA6NLw09EwE0CqkOc4q9oUmW1yo/edit?usp=sharing"",""ลำพูน!M479"")"),0)</f>
        <v>0</v>
      </c>
      <c r="O584" s="170">
        <f t="shared" ca="1" si="124"/>
        <v>0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IFERROR(__xludf.DUMMYFUNCTION("IMPORTRANGE(""https://docs.google.com/spreadsheets/d/11923uPwbBZFjjGgGUA6NLw09EwE0CqkOc4q9oUmW1yo/edit?usp=sharing"",""ลำพูน!M480"")"),0)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IFERROR(__xludf.DUMMYFUNCTION("IMPORTRANGE(""https://docs.google.com/spreadsheets/d/11923uPwbBZFjjGgGUA6NLw09EwE0CqkOc4q9oUmW1yo/edit?usp=sharing"",""ลำพูน!M481"")"),0)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IFERROR(__xludf.DUMMYFUNCTION("IMPORTRANGE(""https://docs.google.com/spreadsheets/d/11923uPwbBZFjjGgGUA6NLw09EwE0CqkOc4q9oUmW1yo/edit?usp=sharing"",""ลำพูน!M482"")"),0)</f>
        <v>0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IFERROR(__xludf.DUMMYFUNCTION("IMPORTRANGE(""https://docs.google.com/spreadsheets/d/11923uPwbBZFjjGgGUA6NLw09EwE0CqkOc4q9oUmW1yo/edit?usp=sharing"",""ลำพูน!M483"")"),0)</f>
        <v>0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IFERROR(__xludf.DUMMYFUNCTION("IMPORTRANGE(""https://docs.google.com/spreadsheets/d/11923uPwbBZFjjGgGUA6NLw09EwE0CqkOc4q9oUmW1yo/edit?usp=sharing"",""ลำพูน!I484"")"),0)</f>
        <v>0</v>
      </c>
      <c r="J589" s="189">
        <f ca="1">IFERROR(__xludf.DUMMYFUNCTION("IMPORTRANGE(""https://docs.google.com/spreadsheets/d/11923uPwbBZFjjGgGUA6NLw09EwE0CqkOc4q9oUmW1yo/edit?usp=sharing"",""ลำพูน!J484"")"),0)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IFERROR(__xludf.DUMMYFUNCTION("IMPORTRANGE(""https://docs.google.com/spreadsheets/d/11923uPwbBZFjjGgGUA6NLw09EwE0CqkOc4q9oUmW1yo/edit?usp=sharing"",""ลำพูน!I485"")"),0)</f>
        <v>0</v>
      </c>
      <c r="J590" s="189">
        <f ca="1">IFERROR(__xludf.DUMMYFUNCTION("IMPORTRANGE(""https://docs.google.com/spreadsheets/d/11923uPwbBZFjjGgGUA6NLw09EwE0CqkOc4q9oUmW1yo/edit?usp=sharing"",""ลำพูน!J485"")"),0)</f>
        <v>0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IFERROR(__xludf.DUMMYFUNCTION("IMPORTRANGE(""https://docs.google.com/spreadsheets/d/11923uPwbBZFjjGgGUA6NLw09EwE0CqkOc4q9oUmW1yo/edit?usp=sharing"",""ลำพูน!I486"")"),0)</f>
        <v>0</v>
      </c>
      <c r="J591" s="189">
        <f ca="1">IFERROR(__xludf.DUMMYFUNCTION("IMPORTRANGE(""https://docs.google.com/spreadsheets/d/11923uPwbBZFjjGgGUA6NLw09EwE0CqkOc4q9oUmW1yo/edit?usp=sharing"",""ลำพูน!J486"")"),0)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IFERROR(__xludf.DUMMYFUNCTION("IMPORTRANGE(""https://docs.google.com/spreadsheets/d/11923uPwbBZFjjGgGUA6NLw09EwE0CqkOc4q9oUmW1yo/edit?usp=sharing"",""ลำพูน!I487"")"),0)</f>
        <v>0</v>
      </c>
      <c r="J592" s="189">
        <f ca="1">IFERROR(__xludf.DUMMYFUNCTION("IMPORTRANGE(""https://docs.google.com/spreadsheets/d/11923uPwbBZFjjGgGUA6NLw09EwE0CqkOc4q9oUmW1yo/edit?usp=sharing"",""ลำพูน!J487"")"),0)</f>
        <v>0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IFERROR(__xludf.DUMMYFUNCTION("IMPORTRANGE(""https://docs.google.com/spreadsheets/d/11923uPwbBZFjjGgGUA6NLw09EwE0CqkOc4q9oUmW1yo/edit?usp=sharing"",""ลำพูน!I488"")"),0)</f>
        <v>0</v>
      </c>
      <c r="J593" s="189">
        <f ca="1">IFERROR(__xludf.DUMMYFUNCTION("IMPORTRANGE(""https://docs.google.com/spreadsheets/d/11923uPwbBZFjjGgGUA6NLw09EwE0CqkOc4q9oUmW1yo/edit?usp=sharing"",""ลำพูน!J488"")"),0)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IFERROR(__xludf.DUMMYFUNCTION("IMPORTRANGE(""https://docs.google.com/spreadsheets/d/11923uPwbBZFjjGgGUA6NLw09EwE0CqkOc4q9oUmW1yo/edit?usp=sharing"",""ลำพูน!I489"")"),0)</f>
        <v>0</v>
      </c>
      <c r="J594" s="189">
        <f ca="1">IFERROR(__xludf.DUMMYFUNCTION("IMPORTRANGE(""https://docs.google.com/spreadsheets/d/11923uPwbBZFjjGgGUA6NLw09EwE0CqkOc4q9oUmW1yo/edit?usp=sharing"",""ลำพูน!J489"")"),0)</f>
        <v>0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IFERROR(__xludf.DUMMYFUNCTION("IMPORTRANGE(""https://docs.google.com/spreadsheets/d/11923uPwbBZFjjGgGUA6NLw09EwE0CqkOc4q9oUmW1yo/edit?usp=sharing"",""ลำพูน!I490"")"),0)</f>
        <v>0</v>
      </c>
      <c r="J595" s="189">
        <f ca="1">IFERROR(__xludf.DUMMYFUNCTION("IMPORTRANGE(""https://docs.google.com/spreadsheets/d/11923uPwbBZFjjGgGUA6NLw09EwE0CqkOc4q9oUmW1yo/edit?usp=sharing"",""ลำพูน!J490"")"),0)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IFERROR(__xludf.DUMMYFUNCTION("IMPORTRANGE(""https://docs.google.com/spreadsheets/d/11923uPwbBZFjjGgGUA6NLw09EwE0CqkOc4q9oUmW1yo/edit?usp=sharing"",""ลำพูน!I491"")"),0)</f>
        <v>0</v>
      </c>
      <c r="J596" s="242">
        <f ca="1">IFERROR(__xludf.DUMMYFUNCTION("IMPORTRANGE(""https://docs.google.com/spreadsheets/d/11923uPwbBZFjjGgGUA6NLw09EwE0CqkOc4q9oUmW1yo/edit?usp=sharing"",""ลำพูน!J491"")"),0)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IFERROR(__xludf.DUMMYFUNCTION("IMPORTRANGE(""https://docs.google.com/spreadsheets/d/11923uPwbBZFjjGgGUA6NLw09EwE0CqkOc4q9oUmW1yo/edit?usp=sharing"",""ลำพูน!I492"")"),50)</f>
        <v>50</v>
      </c>
      <c r="J597" s="489">
        <f ca="1">IFERROR(__xludf.DUMMYFUNCTION("IMPORTRANGE(""https://docs.google.com/spreadsheets/d/11923uPwbBZFjjGgGUA6NLw09EwE0CqkOc4q9oUmW1yo/edit?usp=sharing"",""ลำพูน!J492"")"),0)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IFERROR(__xludf.DUMMYFUNCTION("IMPORTRANGE(""https://docs.google.com/spreadsheets/d/11923uPwbBZFjjGgGUA6NLw09EwE0CqkOc4q9oUmW1yo/edit?usp=sharing"",""ลำพูน!L492"")"),4550)</f>
        <v>4550</v>
      </c>
      <c r="M597" s="413"/>
      <c r="N597" s="413">
        <f ca="1">IFERROR(__xludf.DUMMYFUNCTION("IMPORTRANGE(""https://docs.google.com/spreadsheets/d/11923uPwbBZFjjGgGUA6NLw09EwE0CqkOc4q9oUmW1yo/edit?usp=sharing"",""ลำพูน!M492"")"),850)</f>
        <v>850</v>
      </c>
      <c r="O597" s="413">
        <f t="shared" ref="O597:O601" ca="1" si="126">+IF(L597&gt;0,N597*100/L597,0)</f>
        <v>18.681318681318682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IFERROR(__xludf.DUMMYFUNCTION("IMPORTRANGE(""https://docs.google.com/spreadsheets/d/11923uPwbBZFjjGgGUA6NLw09EwE0CqkOc4q9oUmW1yo/edit?usp=sharing"",""ลำพูน!L493"")"),0)</f>
        <v>0</v>
      </c>
      <c r="M598" s="166"/>
      <c r="N598" s="170">
        <f ca="1">IFERROR(__xludf.DUMMYFUNCTION("IMPORTRANGE(""https://docs.google.com/spreadsheets/d/11923uPwbBZFjjGgGUA6NLw09EwE0CqkOc4q9oUmW1yo/edit?usp=sharing"",""ลำพูน!M493"")"),0)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IFERROR(__xludf.DUMMYFUNCTION("IMPORTRANGE(""https://docs.google.com/spreadsheets/d/11923uPwbBZFjjGgGUA6NLw09EwE0CqkOc4q9oUmW1yo/edit?usp=sharing"",""ลำพูน!L494"")"),4550)</f>
        <v>4550</v>
      </c>
      <c r="M599" s="167"/>
      <c r="N599" s="170">
        <f ca="1">IFERROR(__xludf.DUMMYFUNCTION("IMPORTRANGE(""https://docs.google.com/spreadsheets/d/11923uPwbBZFjjGgGUA6NLw09EwE0CqkOc4q9oUmW1yo/edit?usp=sharing"",""ลำพูน!M494"")"),850)</f>
        <v>850</v>
      </c>
      <c r="O599" s="170">
        <f t="shared" ca="1" si="126"/>
        <v>18.681318681318682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IFERROR(__xludf.DUMMYFUNCTION("IMPORTRANGE(""https://docs.google.com/spreadsheets/d/11923uPwbBZFjjGgGUA6NLw09EwE0CqkOc4q9oUmW1yo/edit?usp=sharing"",""ลำพูน!L495"")"),0)</f>
        <v>0</v>
      </c>
      <c r="M600" s="170"/>
      <c r="N600" s="170">
        <f ca="1">IFERROR(__xludf.DUMMYFUNCTION("IMPORTRANGE(""https://docs.google.com/spreadsheets/d/11923uPwbBZFjjGgGUA6NLw09EwE0CqkOc4q9oUmW1yo/edit?usp=sharing"",""ลำพูน!M495"")"),0)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IFERROR(__xludf.DUMMYFUNCTION("IMPORTRANGE(""https://docs.google.com/spreadsheets/d/11923uPwbBZFjjGgGUA6NLw09EwE0CqkOc4q9oUmW1yo/edit?usp=sharing"",""ลำพูน!L496"")"),4550)</f>
        <v>4550</v>
      </c>
      <c r="M601" s="170"/>
      <c r="N601" s="170">
        <f ca="1">IFERROR(__xludf.DUMMYFUNCTION("IMPORTRANGE(""https://docs.google.com/spreadsheets/d/11923uPwbBZFjjGgGUA6NLw09EwE0CqkOc4q9oUmW1yo/edit?usp=sharing"",""ลำพูน!M496"")"),850)</f>
        <v>850</v>
      </c>
      <c r="O601" s="170">
        <f t="shared" ca="1" si="126"/>
        <v>18.681318681318682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IFERROR(__xludf.DUMMYFUNCTION("IMPORTRANGE(""https://docs.google.com/spreadsheets/d/11923uPwbBZFjjGgGUA6NLw09EwE0CqkOc4q9oUmW1yo/edit?usp=sharing"",""ลำพูน!M497"")"),0)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IFERROR(__xludf.DUMMYFUNCTION("IMPORTRANGE(""https://docs.google.com/spreadsheets/d/11923uPwbBZFjjGgGUA6NLw09EwE0CqkOc4q9oUmW1yo/edit?usp=sharing"",""ลำพูน!M498"")"),0)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IFERROR(__xludf.DUMMYFUNCTION("IMPORTRANGE(""https://docs.google.com/spreadsheets/d/11923uPwbBZFjjGgGUA6NLw09EwE0CqkOc4q9oUmW1yo/edit?usp=sharing"",""ลำพูน!M499"")"),0)</f>
        <v>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IFERROR(__xludf.DUMMYFUNCTION("IMPORTRANGE(""https://docs.google.com/spreadsheets/d/11923uPwbBZFjjGgGUA6NLw09EwE0CqkOc4q9oUmW1yo/edit?usp=sharing"",""ลำพูน!M500"")"),850)</f>
        <v>850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IFERROR(__xludf.DUMMYFUNCTION("IMPORTRANGE(""https://docs.google.com/spreadsheets/d/11923uPwbBZFjjGgGUA6NLw09EwE0CqkOc4q9oUmW1yo/edit?usp=sharing"",""ลำพูน!J502"")"),0)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IFERROR(__xludf.DUMMYFUNCTION("IMPORTRANGE(""https://docs.google.com/spreadsheets/d/11923uPwbBZFjjGgGUA6NLw09EwE0CqkOc4q9oUmW1yo/edit?usp=sharing"",""ลำพูน!J503"")"),1)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IFERROR(__xludf.DUMMYFUNCTION("IMPORTRANGE(""https://docs.google.com/spreadsheets/d/11923uPwbBZFjjGgGUA6NLw09EwE0CqkOc4q9oUmW1yo/edit?usp=sharing"",""ลำพูน!J166"")"),0)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IFERROR(__xludf.DUMMYFUNCTION("IMPORTRANGE(""https://docs.google.com/spreadsheets/d/11923uPwbBZFjjGgGUA6NLw09EwE0CqkOc4q9oUmW1yo/edit?usp=sharing"",""ลำพูน!J166"")"),0)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IFERROR(__xludf.DUMMYFUNCTION("IMPORTRANGE(""https://docs.google.com/spreadsheets/d/11923uPwbBZFjjGgGUA6NLw09EwE0CqkOc4q9oUmW1yo/edit?usp=sharing"",""ลำพูน!I506"")"),50)</f>
        <v>50</v>
      </c>
      <c r="J611" s="164">
        <f ca="1">IFERROR(__xludf.DUMMYFUNCTION("IMPORTRANGE(""https://docs.google.com/spreadsheets/d/11923uPwbBZFjjGgGUA6NLw09EwE0CqkOc4q9oUmW1yo/edit?usp=sharing"",""ลำพูน!J506"")"),0)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IFERROR(__xludf.DUMMYFUNCTION("IMPORTRANGE(""https://docs.google.com/spreadsheets/d/11923uPwbBZFjjGgGUA6NLw09EwE0CqkOc4q9oUmW1yo/edit?usp=sharing"",""ลำพูน!I507"")"),0)</f>
        <v>0</v>
      </c>
      <c r="J612" s="199">
        <f ca="1">IFERROR(__xludf.DUMMYFUNCTION("IMPORTRANGE(""https://docs.google.com/spreadsheets/d/11923uPwbBZFjjGgGUA6NLw09EwE0CqkOc4q9oUmW1yo/edit?usp=sharing"",""ลำพูน!J507"")"),119)</f>
        <v>119</v>
      </c>
      <c r="K612" s="165">
        <f t="shared" ca="1" si="127"/>
        <v>238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IFERROR(__xludf.DUMMYFUNCTION("IMPORTRANGE(""https://docs.google.com/spreadsheets/d/11923uPwbBZFjjGgGUA6NLw09EwE0CqkOc4q9oUmW1yo/edit?usp=sharing"",""ลำพูน!I508"")"),0)</f>
        <v>0</v>
      </c>
      <c r="J613" s="199">
        <f ca="1">IFERROR(__xludf.DUMMYFUNCTION("IMPORTRANGE(""https://docs.google.com/spreadsheets/d/11923uPwbBZFjjGgGUA6NLw09EwE0CqkOc4q9oUmW1yo/edit?usp=sharing"",""ลำพูน!J508"")"),119)</f>
        <v>119</v>
      </c>
      <c r="K613" s="165">
        <f t="shared" ca="1" si="127"/>
        <v>238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IFERROR(__xludf.DUMMYFUNCTION("IMPORTRANGE(""https://docs.google.com/spreadsheets/d/11923uPwbBZFjjGgGUA6NLw09EwE0CqkOc4q9oUmW1yo/edit?usp=sharing"",""ลำพูน!I509"")"),0)</f>
        <v>0</v>
      </c>
      <c r="J614" s="199">
        <f ca="1">IFERROR(__xludf.DUMMYFUNCTION("IMPORTRANGE(""https://docs.google.com/spreadsheets/d/11923uPwbBZFjjGgGUA6NLw09EwE0CqkOc4q9oUmW1yo/edit?usp=sharing"",""ลำพูน!J509"")"),119)</f>
        <v>119</v>
      </c>
      <c r="K614" s="165">
        <f t="shared" ca="1" si="127"/>
        <v>238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IFERROR(__xludf.DUMMYFUNCTION("IMPORTRANGE(""https://docs.google.com/spreadsheets/d/11923uPwbBZFjjGgGUA6NLw09EwE0CqkOc4q9oUmW1yo/edit?usp=sharing"",""ลำพูน!I510"")"),0)</f>
        <v>0</v>
      </c>
      <c r="J615" s="199">
        <f ca="1">IFERROR(__xludf.DUMMYFUNCTION("IMPORTRANGE(""https://docs.google.com/spreadsheets/d/11923uPwbBZFjjGgGUA6NLw09EwE0CqkOc4q9oUmW1yo/edit?usp=sharing"",""ลำพูน!J510"")"),119)</f>
        <v>119</v>
      </c>
      <c r="K615" s="165">
        <f t="shared" ca="1" si="127"/>
        <v>238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IFERROR(__xludf.DUMMYFUNCTION("IMPORTRANGE(""https://docs.google.com/spreadsheets/d/11923uPwbBZFjjGgGUA6NLw09EwE0CqkOc4q9oUmW1yo/edit?usp=sharing"",""ลำพูน!I511"")"),0)</f>
        <v>0</v>
      </c>
      <c r="J616" s="199">
        <f ca="1">IFERROR(__xludf.DUMMYFUNCTION("IMPORTRANGE(""https://docs.google.com/spreadsheets/d/11923uPwbBZFjjGgGUA6NLw09EwE0CqkOc4q9oUmW1yo/edit?usp=sharing"",""ลำพูน!J511"")"),0)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IFERROR(__xludf.DUMMYFUNCTION("IMPORTRANGE(""https://docs.google.com/spreadsheets/d/11923uPwbBZFjjGgGUA6NLw09EwE0CqkOc4q9oUmW1yo/edit?usp=sharing"",""ลำพูน!I512"")"),0)</f>
        <v>0</v>
      </c>
      <c r="J617" s="189">
        <f ca="1">IFERROR(__xludf.DUMMYFUNCTION("IMPORTRANGE(""https://docs.google.com/spreadsheets/d/11923uPwbBZFjjGgGUA6NLw09EwE0CqkOc4q9oUmW1yo/edit?usp=sharing"",""ลำพูน!J512"")"),0)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IFERROR(__xludf.DUMMYFUNCTION("IMPORTRANGE(""https://docs.google.com/spreadsheets/d/11923uPwbBZFjjGgGUA6NLw09EwE0CqkOc4q9oUmW1yo/edit?usp=sharing"",""ลำพูน!I513"")"),0)</f>
        <v>0</v>
      </c>
      <c r="J618" s="190">
        <f ca="1">IFERROR(__xludf.DUMMYFUNCTION("IMPORTRANGE(""https://docs.google.com/spreadsheets/d/11923uPwbBZFjjGgGUA6NLw09EwE0CqkOc4q9oUmW1yo/edit?usp=sharing"",""ลำพูน!J513"")"),0)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IFERROR(__xludf.DUMMYFUNCTION("IMPORTRANGE(""https://docs.google.com/spreadsheets/d/11923uPwbBZFjjGgGUA6NLw09EwE0CqkOc4q9oUmW1yo/edit?usp=sharing"",""ลำพูน!I514"")"),0)</f>
        <v>0</v>
      </c>
      <c r="J619" s="190">
        <f ca="1">IFERROR(__xludf.DUMMYFUNCTION("IMPORTRANGE(""https://docs.google.com/spreadsheets/d/11923uPwbBZFjjGgGUA6NLw09EwE0CqkOc4q9oUmW1yo/edit?usp=sharing"",""ลำพูน!J514"")"),0)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IFERROR(__xludf.DUMMYFUNCTION("IMPORTRANGE(""https://docs.google.com/spreadsheets/d/11923uPwbBZFjjGgGUA6NLw09EwE0CqkOc4q9oUmW1yo/edit?usp=sharing"",""ลำพูน!I515"")"),0)</f>
        <v>0</v>
      </c>
      <c r="J620" s="204">
        <f ca="1">IFERROR(__xludf.DUMMYFUNCTION("IMPORTRANGE(""https://docs.google.com/spreadsheets/d/11923uPwbBZFjjGgGUA6NLw09EwE0CqkOc4q9oUmW1yo/edit?usp=sharing"",""ลำพูน!J515"")"),0)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IFERROR(__xludf.DUMMYFUNCTION("IMPORTRANGE(""https://docs.google.com/spreadsheets/d/11923uPwbBZFjjGgGUA6NLw09EwE0CqkOc4q9oUmW1yo/edit?usp=sharing"",""ลำพูน!I516"")"),0)</f>
        <v>0</v>
      </c>
      <c r="J621" s="204">
        <f ca="1">IFERROR(__xludf.DUMMYFUNCTION("IMPORTRANGE(""https://docs.google.com/spreadsheets/d/11923uPwbBZFjjGgGUA6NLw09EwE0CqkOc4q9oUmW1yo/edit?usp=sharing"",""ลำพูน!J516"")"),0)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IFERROR(__xludf.DUMMYFUNCTION("IMPORTRANGE(""https://docs.google.com/spreadsheets/d/11923uPwbBZFjjGgGUA6NLw09EwE0CqkOc4q9oUmW1yo/edit?usp=sharing"",""ลำพูน!I517"")"),0)</f>
        <v>0</v>
      </c>
      <c r="J622" s="190">
        <f ca="1">IFERROR(__xludf.DUMMYFUNCTION("IMPORTRANGE(""https://docs.google.com/spreadsheets/d/11923uPwbBZFjjGgGUA6NLw09EwE0CqkOc4q9oUmW1yo/edit?usp=sharing"",""ลำพูน!J517"")"),0)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IFERROR(__xludf.DUMMYFUNCTION("IMPORTRANGE(""https://docs.google.com/spreadsheets/d/11923uPwbBZFjjGgGUA6NLw09EwE0CqkOc4q9oUmW1yo/edit?usp=sharing"",""ลำพูน!I518"")"),0)</f>
        <v>0</v>
      </c>
      <c r="J623" s="190">
        <f ca="1">IFERROR(__xludf.DUMMYFUNCTION("IMPORTRANGE(""https://docs.google.com/spreadsheets/d/11923uPwbBZFjjGgGUA6NLw09EwE0CqkOc4q9oUmW1yo/edit?usp=sharing"",""ลำพูน!J518"")"),0)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IFERROR(__xludf.DUMMYFUNCTION("IMPORTRANGE(""https://docs.google.com/spreadsheets/d/11923uPwbBZFjjGgGUA6NLw09EwE0CqkOc4q9oUmW1yo/edit?usp=sharing"",""ลำพูน!I519"")"),0)</f>
        <v>0</v>
      </c>
      <c r="J624" s="189">
        <f ca="1">IFERROR(__xludf.DUMMYFUNCTION("IMPORTRANGE(""https://docs.google.com/spreadsheets/d/11923uPwbBZFjjGgGUA6NLw09EwE0CqkOc4q9oUmW1yo/edit?usp=sharing"",""ลำพูน!J519"")"),0)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IFERROR(__xludf.DUMMYFUNCTION("IMPORTRANGE(""https://docs.google.com/spreadsheets/d/11923uPwbBZFjjGgGUA6NLw09EwE0CqkOc4q9oUmW1yo/edit?usp=sharing"",""ลำพูน!I520"")"),0)</f>
        <v>0</v>
      </c>
      <c r="J625" s="190">
        <f ca="1">IFERROR(__xludf.DUMMYFUNCTION("IMPORTRANGE(""https://docs.google.com/spreadsheets/d/11923uPwbBZFjjGgGUA6NLw09EwE0CqkOc4q9oUmW1yo/edit?usp=sharing"",""ลำพูน!J520"")"),0)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IFERROR(__xludf.DUMMYFUNCTION("IMPORTRANGE(""https://docs.google.com/spreadsheets/d/11923uPwbBZFjjGgGUA6NLw09EwE0CqkOc4q9oUmW1yo/edit?usp=sharing"",""ลำพูน!I521"")"),0)</f>
        <v>0</v>
      </c>
      <c r="J626" s="190">
        <f ca="1">IFERROR(__xludf.DUMMYFUNCTION("IMPORTRANGE(""https://docs.google.com/spreadsheets/d/11923uPwbBZFjjGgGUA6NLw09EwE0CqkOc4q9oUmW1yo/edit?usp=sharing"",""ลำพูน!J521"")"),0)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IFERROR(__xludf.DUMMYFUNCTION("IMPORTRANGE(""https://docs.google.com/spreadsheets/d/11923uPwbBZFjjGgGUA6NLw09EwE0CqkOc4q9oUmW1yo/edit?usp=sharing"",""ลำพูน!I523"")"),6577500)</f>
        <v>6577500</v>
      </c>
      <c r="J628" s="342">
        <f ca="1">IFERROR(__xludf.DUMMYFUNCTION("IMPORTRANGE(""https://docs.google.com/spreadsheets/d/11923uPwbBZFjjGgGUA6NLw09EwE0CqkOc4q9oUmW1yo/edit?usp=sharing"",""ลำพูน!J523"")"),4865394)</f>
        <v>4865394</v>
      </c>
      <c r="K628" s="343">
        <f t="shared" ref="K628:K635" ca="1" si="129">IF(I628&gt;0,J628*100/I628,0)</f>
        <v>73.970262257696689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IFERROR(__xludf.DUMMYFUNCTION("IMPORTRANGE(""https://docs.google.com/spreadsheets/d/11923uPwbBZFjjGgGUA6NLw09EwE0CqkOc4q9oUmW1yo/edit?usp=sharing"",""ลำพูน!I524"")"),219)</f>
        <v>219</v>
      </c>
      <c r="J629" s="342">
        <f ca="1">IFERROR(__xludf.DUMMYFUNCTION("IMPORTRANGE(""https://docs.google.com/spreadsheets/d/11923uPwbBZFjjGgGUA6NLw09EwE0CqkOc4q9oUmW1yo/edit?usp=sharing"",""ลำพูน!J524"")"),166)</f>
        <v>166</v>
      </c>
      <c r="K629" s="343">
        <f t="shared" ca="1" si="129"/>
        <v>75.799086757990864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42">
        <f ca="1">IFERROR(__xludf.DUMMYFUNCTION("IMPORTRANGE(""https://docs.google.com/spreadsheets/d/11923uPwbBZFjjGgGUA6NLw09EwE0CqkOc4q9oUmW1yo/edit?usp=sharing"",""ลำพูน!J525"")"),132163.62)</f>
        <v>132163.62</v>
      </c>
      <c r="K630" s="343">
        <f t="shared" ca="1" si="129"/>
        <v>2.4201076475634364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IFERROR(__xludf.DUMMYFUNCTION("IMPORTRANGE(""https://docs.google.com/spreadsheets/d/11923uPwbBZFjjGgGUA6NLw09EwE0CqkOc4q9oUmW1yo/edit?usp=sharing"",""ลำพูน!I526"")"),213)</f>
        <v>213</v>
      </c>
      <c r="J631" s="342">
        <f ca="1">IFERROR(__xludf.DUMMYFUNCTION("IMPORTRANGE(""https://docs.google.com/spreadsheets/d/11923uPwbBZFjjGgGUA6NLw09EwE0CqkOc4q9oUmW1yo/edit?usp=sharing"",""ลำพูน!J526"")"),24)</f>
        <v>24</v>
      </c>
      <c r="K631" s="343">
        <f t="shared" ca="1" si="129"/>
        <v>11.267605633802816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IFERROR(__xludf.DUMMYFUNCTION("IMPORTRANGE(""https://docs.google.com/spreadsheets/d/11923uPwbBZFjjGgGUA6NLw09EwE0CqkOc4q9oUmW1yo/edit?usp=sharing"",""ลำพูน!I527"")"),3460652.83)</f>
        <v>3460652.83</v>
      </c>
      <c r="J632" s="342">
        <f ca="1">IFERROR(__xludf.DUMMYFUNCTION("IMPORTRANGE(""https://docs.google.com/spreadsheets/d/11923uPwbBZFjjGgGUA6NLw09EwE0CqkOc4q9oUmW1yo/edit?usp=sharing"",""ลำพูน!J527"")"),286230.91)</f>
        <v>286230.90999999997</v>
      </c>
      <c r="K632" s="343">
        <f t="shared" ca="1" si="129"/>
        <v>8.271009085878168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IFERROR(__xludf.DUMMYFUNCTION("IMPORTRANGE(""https://docs.google.com/spreadsheets/d/11923uPwbBZFjjGgGUA6NLw09EwE0CqkOc4q9oUmW1yo/edit?usp=sharing"",""ลำพูน!I528"")"),468)</f>
        <v>468</v>
      </c>
      <c r="J633" s="342">
        <f ca="1">IFERROR(__xludf.DUMMYFUNCTION("IMPORTRANGE(""https://docs.google.com/spreadsheets/d/11923uPwbBZFjjGgGUA6NLw09EwE0CqkOc4q9oUmW1yo/edit?usp=sharing"",""ลำพูน!J528"")"),126)</f>
        <v>126</v>
      </c>
      <c r="K633" s="343">
        <f t="shared" ca="1" si="129"/>
        <v>26.923076923076923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IFERROR(__xludf.DUMMYFUNCTION("IMPORTRANGE(""https://docs.google.com/spreadsheets/d/11923uPwbBZFjjGgGUA6NLw09EwE0CqkOc4q9oUmW1yo/edit?usp=sharing"",""ลำพูน!I529"")"),7000000)</f>
        <v>7000000</v>
      </c>
      <c r="J634" s="342">
        <f ca="1">IFERROR(__xludf.DUMMYFUNCTION("IMPORTRANGE(""https://docs.google.com/spreadsheets/d/11923uPwbBZFjjGgGUA6NLw09EwE0CqkOc4q9oUmW1yo/edit?usp=sharing"",""ลำพูน!J529"")"),4120000)</f>
        <v>4120000</v>
      </c>
      <c r="K634" s="343">
        <f t="shared" ca="1" si="129"/>
        <v>58.857142857142854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IFERROR(__xludf.DUMMYFUNCTION("IMPORTRANGE(""https://docs.google.com/spreadsheets/d/11923uPwbBZFjjGgGUA6NLw09EwE0CqkOc4q9oUmW1yo/edit?usp=sharing"",""ลำพูน!I530"")"),230)</f>
        <v>230</v>
      </c>
      <c r="J635" s="506">
        <f ca="1">IFERROR(__xludf.DUMMYFUNCTION("IMPORTRANGE(""https://docs.google.com/spreadsheets/d/11923uPwbBZFjjGgGUA6NLw09EwE0CqkOc4q9oUmW1yo/edit?usp=sharing"",""ลำพูน!J530"")"),132)</f>
        <v>132</v>
      </c>
      <c r="K635" s="488">
        <f t="shared" ca="1" si="129"/>
        <v>57.391304347826086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33500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33500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33500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IFERROR(__xludf.DUMMYFUNCTION("IMPORTRANGE(""https://docs.google.com/spreadsheets/d/11923uPwbBZFjjGgGUA6NLw09EwE0CqkOc4q9oUmW1yo/edit?usp=sharing"",""ลำพูน!J541"")"),0)</f>
        <v>0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IFERROR(__xludf.DUMMYFUNCTION("IMPORTRANGE(""https://docs.google.com/spreadsheets/d/11923uPwbBZFjjGgGUA6NLw09EwE0CqkOc4q9oUmW1yo/edit?usp=sharing"",""ลำพูน!J542"")"),0)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IFERROR(__xludf.DUMMYFUNCTION("IMPORTRANGE(""https://docs.google.com/spreadsheets/d/11923uPwbBZFjjGgGUA6NLw09EwE0CqkOc4q9oUmW1yo/edit?usp=sharing"",""ลำพูน!I543"")"),0)</f>
        <v>0</v>
      </c>
      <c r="J648" s="537">
        <f ca="1">IFERROR(__xludf.DUMMYFUNCTION("IMPORTRANGE(""https://docs.google.com/spreadsheets/d/11923uPwbBZFjjGgGUA6NLw09EwE0CqkOc4q9oUmW1yo/edit?usp=sharing"",""ลำพูน!J543"")"),0)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IFERROR(__xludf.DUMMYFUNCTION("IMPORTRANGE(""https://docs.google.com/spreadsheets/d/11923uPwbBZFjjGgGUA6NLw09EwE0CqkOc4q9oUmW1yo/edit?usp=sharing"",""ลำพูน!L543"")"),0)</f>
        <v>0</v>
      </c>
      <c r="M648" s="522"/>
      <c r="N648" s="539">
        <f ca="1">IFERROR(__xludf.DUMMYFUNCTION("IMPORTRANGE(""https://docs.google.com/spreadsheets/d/11923uPwbBZFjjGgGUA6NLw09EwE0CqkOc4q9oUmW1yo/edit?usp=sharing"",""ลำพูน!M543"")"),0)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IFERROR(__xludf.DUMMYFUNCTION("IMPORTRANGE(""https://docs.google.com/spreadsheets/d/11923uPwbBZFjjGgGUA6NLw09EwE0CqkOc4q9oUmW1yo/edit?usp=sharing"",""ลำพูน!I544"")"),24)</f>
        <v>24</v>
      </c>
      <c r="J649" s="537">
        <f ca="1">IFERROR(__xludf.DUMMYFUNCTION("IMPORTRANGE(""https://docs.google.com/spreadsheets/d/11923uPwbBZFjjGgGUA6NLw09EwE0CqkOc4q9oUmW1yo/edit?usp=sharing"",""ลำพูน!J544"")"),0)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IFERROR(__xludf.DUMMYFUNCTION("IMPORTRANGE(""https://docs.google.com/spreadsheets/d/11923uPwbBZFjjGgGUA6NLw09EwE0CqkOc4q9oUmW1yo/edit?usp=sharing"",""ลำพูน!L544"")"),2880)</f>
        <v>2880</v>
      </c>
      <c r="M649" s="522"/>
      <c r="N649" s="539">
        <f ca="1">IFERROR(__xludf.DUMMYFUNCTION("IMPORTRANGE(""https://docs.google.com/spreadsheets/d/11923uPwbBZFjjGgGUA6NLw09EwE0CqkOc4q9oUmW1yo/edit?usp=sharing"",""ลำพูน!M544"")"),0)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IFERROR(__xludf.DUMMYFUNCTION("IMPORTRANGE(""https://docs.google.com/spreadsheets/d/11923uPwbBZFjjGgGUA6NLw09EwE0CqkOc4q9oUmW1yo/edit?usp=sharing"",""ลำพูน!I545"")"),200)</f>
        <v>200</v>
      </c>
      <c r="J650" s="537">
        <f ca="1">IFERROR(__xludf.DUMMYFUNCTION("IMPORTRANGE(""https://docs.google.com/spreadsheets/d/11923uPwbBZFjjGgGUA6NLw09EwE0CqkOc4q9oUmW1yo/edit?usp=sharing"",""ลำพูน!J545"")"),0)</f>
        <v>0</v>
      </c>
      <c r="K650" s="538">
        <f t="shared" ca="1" si="131"/>
        <v>0</v>
      </c>
      <c r="L650" s="523">
        <f ca="1">IFERROR(__xludf.DUMMYFUNCTION("IMPORTRANGE(""https://docs.google.com/spreadsheets/d/11923uPwbBZFjjGgGUA6NLw09EwE0CqkOc4q9oUmW1yo/edit?usp=sharing"",""ลำพูน!L545"")"),1000)</f>
        <v>1000</v>
      </c>
      <c r="M650" s="522"/>
      <c r="N650" s="539">
        <f ca="1">IFERROR(__xludf.DUMMYFUNCTION("IMPORTRANGE(""https://docs.google.com/spreadsheets/d/11923uPwbBZFjjGgGUA6NLw09EwE0CqkOc4q9oUmW1yo/edit?usp=sharing"",""ลำพูน!M545"")"),0)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IFERROR(__xludf.DUMMYFUNCTION("IMPORTRANGE(""https://docs.google.com/spreadsheets/d/11923uPwbBZFjjGgGUA6NLw09EwE0CqkOc4q9oUmW1yo/edit?usp=sharing"",""ลำพูน!I546"")"),100)</f>
        <v>100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IFERROR(__xludf.DUMMYFUNCTION("IMPORTRANGE(""https://docs.google.com/spreadsheets/d/11923uPwbBZFjjGgGUA6NLw09EwE0CqkOc4q9oUmW1yo/edit?usp=sharing"",""ลำพูน!L546"")"),2500)</f>
        <v>2500</v>
      </c>
      <c r="M651" s="522"/>
      <c r="N651" s="539">
        <f ca="1">IFERROR(__xludf.DUMMYFUNCTION("IMPORTRANGE(""https://docs.google.com/spreadsheets/d/11923uPwbBZFjjGgGUA6NLw09EwE0CqkOc4q9oUmW1yo/edit?usp=sharing"",""ลำพูน!M546"")"),0)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IFERROR(__xludf.DUMMYFUNCTION("IMPORTRANGE(""https://docs.google.com/spreadsheets/d/11923uPwbBZFjjGgGUA6NLw09EwE0CqkOc4q9oUmW1yo/edit?usp=sharing"",""ลำพูน!J547"")"),0)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IFERROR(__xludf.DUMMYFUNCTION("IMPORTRANGE(""https://docs.google.com/spreadsheets/d/11923uPwbBZFjjGgGUA6NLw09EwE0CqkOc4q9oUmW1yo/edit?usp=sharing"",""ลำพูน!J548"")"),0)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IFERROR(__xludf.DUMMYFUNCTION("IMPORTRANGE(""https://docs.google.com/spreadsheets/d/11923uPwbBZFjjGgGUA6NLw09EwE0CqkOc4q9oUmW1yo/edit?usp=sharing"",""ลำพูน!J550"")"),0)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IFERROR(__xludf.DUMMYFUNCTION("IMPORTRANGE(""https://docs.google.com/spreadsheets/d/11923uPwbBZFjjGgGUA6NLw09EwE0CqkOc4q9oUmW1yo/edit?usp=sharing"",""ลำพูน!J551"")"),0)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IFERROR(__xludf.DUMMYFUNCTION("IMPORTRANGE(""https://docs.google.com/spreadsheets/d/11923uPwbBZFjjGgGUA6NLw09EwE0CqkOc4q9oUmW1yo/edit?usp=sharing"",""ลำพูน!J552"")"),0)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IFERROR(__xludf.DUMMYFUNCTION("IMPORTRANGE(""https://docs.google.com/spreadsheets/d/11923uPwbBZFjjGgGUA6NLw09EwE0CqkOc4q9oUmW1yo/edit?usp=sharing"",""ลำพูน!J553"")"),0)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IFERROR(__xludf.DUMMYFUNCTION("IMPORTRANGE(""https://docs.google.com/spreadsheets/d/11923uPwbBZFjjGgGUA6NLw09EwE0CqkOc4q9oUmW1yo/edit?usp=sharing"",""ลำพูน!J554"")"),0)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IFERROR(__xludf.DUMMYFUNCTION("IMPORTRANGE(""https://docs.google.com/spreadsheets/d/11923uPwbBZFjjGgGUA6NLw09EwE0CqkOc4q9oUmW1yo/edit?usp=sharing"",""ลำพูน!J555"")"),0)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IFERROR(__xludf.DUMMYFUNCTION("IMPORTRANGE(""https://docs.google.com/spreadsheets/d/11923uPwbBZFjjGgGUA6NLw09EwE0CqkOc4q9oUmW1yo/edit?usp=sharing"",""ลำพูน!J556"")"),0)</f>
        <v>0</v>
      </c>
      <c r="K661" s="538"/>
      <c r="L661" s="523">
        <f ca="1">IFERROR(__xludf.DUMMYFUNCTION("IMPORTRANGE(""https://docs.google.com/spreadsheets/d/11923uPwbBZFjjGgGUA6NLw09EwE0CqkOc4q9oUmW1yo/edit?usp=sharing"",""ลำพูน!L556"")"),16000)</f>
        <v>16000</v>
      </c>
      <c r="M661" s="522"/>
      <c r="N661" s="539">
        <f ca="1">IFERROR(__xludf.DUMMYFUNCTION("IMPORTRANGE(""https://docs.google.com/spreadsheets/d/11923uPwbBZFjjGgGUA6NLw09EwE0CqkOc4q9oUmW1yo/edit?usp=sharing"",""ลำพูน!M556"")"),0)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IFERROR(__xludf.DUMMYFUNCTION("IMPORTRANGE(""https://docs.google.com/spreadsheets/d/11923uPwbBZFjjGgGUA6NLw09EwE0CqkOc4q9oUmW1yo/edit?usp=sharing"",""ลำพูน!J557"")"),0)</f>
        <v>0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IFERROR(__xludf.DUMMYFUNCTION("IMPORTRANGE(""https://docs.google.com/spreadsheets/d/11923uPwbBZFjjGgGUA6NLw09EwE0CqkOc4q9oUmW1yo/edit?usp=sharing"",""ลำพูน!I558"")"),400)</f>
        <v>400</v>
      </c>
      <c r="J663" s="537">
        <f ca="1">IFERROR(__xludf.DUMMYFUNCTION("IMPORTRANGE(""https://docs.google.com/spreadsheets/d/11923uPwbBZFjjGgGUA6NLw09EwE0CqkOc4q9oUmW1yo/edit?usp=sharing"",""ลำพูน!J558"")"),0)</f>
        <v>0</v>
      </c>
      <c r="K663" s="538">
        <f ca="1">IF(I663&gt;0,J663*100/I663,0)</f>
        <v>0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IFERROR(__xludf.DUMMYFUNCTION("IMPORTRANGE(""https://docs.google.com/spreadsheets/d/11923uPwbBZFjjGgGUA6NLw09EwE0CqkOc4q9oUmW1yo/edit?usp=sharing"",""ลำพูน!I560"")"),20)</f>
        <v>20</v>
      </c>
      <c r="J665" s="537">
        <f ca="1">IFERROR(__xludf.DUMMYFUNCTION("IMPORTRANGE(""https://docs.google.com/spreadsheets/d/11923uPwbBZFjjGgGUA6NLw09EwE0CqkOc4q9oUmW1yo/edit?usp=sharing"",""ลำพูน!J560"")"),0)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IFERROR(__xludf.DUMMYFUNCTION("IMPORTRANGE(""https://docs.google.com/spreadsheets/d/11923uPwbBZFjjGgGUA6NLw09EwE0CqkOc4q9oUmW1yo/edit?usp=sharing"",""ลำพูน!L560"")"),2400)</f>
        <v>2400</v>
      </c>
      <c r="M665" s="522"/>
      <c r="N665" s="539">
        <f ca="1">IFERROR(__xludf.DUMMYFUNCTION("IMPORTRANGE(""https://docs.google.com/spreadsheets/d/11923uPwbBZFjjGgGUA6NLw09EwE0CqkOc4q9oUmW1yo/edit?usp=sharing"",""ลำพูน!M560"")"),0)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IFERROR(__xludf.DUMMYFUNCTION("IMPORTRANGE(""https://docs.google.com/spreadsheets/d/11923uPwbBZFjjGgGUA6NLw09EwE0CqkOc4q9oUmW1yo/edit?usp=sharing"",""ลำพูน!J561"")"),0)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IFERROR(__xludf.DUMMYFUNCTION("IMPORTRANGE(""https://docs.google.com/spreadsheets/d/11923uPwbBZFjjGgGUA6NLw09EwE0CqkOc4q9oUmW1yo/edit?usp=sharing"",""ลำพูน!J562"")"),0)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IFERROR(__xludf.DUMMYFUNCTION("IMPORTRANGE(""https://docs.google.com/spreadsheets/d/11923uPwbBZFjjGgGUA6NLw09EwE0CqkOc4q9oUmW1yo/edit?usp=sharing"",""ลำพูน!I563"")"),6)</f>
        <v>6</v>
      </c>
      <c r="J668" s="537">
        <f ca="1">IFERROR(__xludf.DUMMYFUNCTION("IMPORTRANGE(""https://docs.google.com/spreadsheets/d/11923uPwbBZFjjGgGUA6NLw09EwE0CqkOc4q9oUmW1yo/edit?usp=sharing"",""ลำพูน!J563"")"),0)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IFERROR(__xludf.DUMMYFUNCTION("IMPORTRANGE(""https://docs.google.com/spreadsheets/d/11923uPwbBZFjjGgGUA6NLw09EwE0CqkOc4q9oUmW1yo/edit?usp=sharing"",""ลำพูน!L563"")"),5520)</f>
        <v>5520</v>
      </c>
      <c r="M668" s="522"/>
      <c r="N668" s="539">
        <f ca="1">IFERROR(__xludf.DUMMYFUNCTION("IMPORTRANGE(""https://docs.google.com/spreadsheets/d/11923uPwbBZFjjGgGUA6NLw09EwE0CqkOc4q9oUmW1yo/edit?usp=sharing"",""ลำพูน!M563"")"),0)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IFERROR(__xludf.DUMMYFUNCTION("IMPORTRANGE(""https://docs.google.com/spreadsheets/d/11923uPwbBZFjjGgGUA6NLw09EwE0CqkOc4q9oUmW1yo/edit?usp=sharing"",""ลำพูน!J564"")"),0)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IFERROR(__xludf.DUMMYFUNCTION("IMPORTRANGE(""https://docs.google.com/spreadsheets/d/11923uPwbBZFjjGgGUA6NLw09EwE0CqkOc4q9oUmW1yo/edit?usp=sharing"",""ลำพูน!J565"")"),0)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IFERROR(__xludf.DUMMYFUNCTION("IMPORTRANGE(""https://docs.google.com/spreadsheets/d/11923uPwbBZFjjGgGUA6NLw09EwE0CqkOc4q9oUmW1yo/edit?usp=sharing"",""ลำพูน!I566"")"),40)</f>
        <v>40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IFERROR(__xludf.DUMMYFUNCTION("IMPORTRANGE(""https://docs.google.com/spreadsheets/d/11923uPwbBZFjjGgGUA6NLw09EwE0CqkOc4q9oUmW1yo/edit?usp=sharing"",""ลำพูน!L566"")"),3200)</f>
        <v>3200</v>
      </c>
      <c r="M671" s="522"/>
      <c r="N671" s="539">
        <f ca="1">IFERROR(__xludf.DUMMYFUNCTION("IMPORTRANGE(""https://docs.google.com/spreadsheets/d/11923uPwbBZFjjGgGUA6NLw09EwE0CqkOc4q9oUmW1yo/edit?usp=sharing"",""ลำพูน!M566"")"),0)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IFERROR(__xludf.DUMMYFUNCTION("IMPORTRANGE(""https://docs.google.com/spreadsheets/d/11923uPwbBZFjjGgGUA6NLw09EwE0CqkOc4q9oUmW1yo/edit?usp=sharing"",""ลำพูน!J567"")"),0)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IFERROR(__xludf.DUMMYFUNCTION("IMPORTRANGE(""https://docs.google.com/spreadsheets/d/11923uPwbBZFjjGgGUA6NLw09EwE0CqkOc4q9oUmW1yo/edit?usp=sharing"",""ลำพูน!J568"")"),0)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IFERROR(__xludf.DUMMYFUNCTION("IMPORTRANGE(""https://docs.google.com/spreadsheets/d/11923uPwbBZFjjGgGUA6NLw09EwE0CqkOc4q9oUmW1yo/edit?usp=sharing"",""ลำพูน!J569"")"),0)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IFERROR(__xludf.DUMMYFUNCTION("IMPORTRANGE(""https://docs.google.com/spreadsheets/d/11923uPwbBZFjjGgGUA6NLw09EwE0CqkOc4q9oUmW1yo/edit?usp=sharing"",""ลำพูน!J570"")"),0)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IFERROR(__xludf.DUMMYFUNCTION("IMPORTRANGE(""https://docs.google.com/spreadsheets/d/11923uPwbBZFjjGgGUA6NLw09EwE0CqkOc4q9oUmW1yo/edit?usp=sharing"",""ลำพูน!J571"")"),0)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IFERROR(__xludf.DUMMYFUNCTION("IMPORTRANGE(""https://docs.google.com/spreadsheets/d/11923uPwbBZFjjGgGUA6NLw09EwE0CqkOc4q9oUmW1yo/edit?usp=sharing"",""ลำพูน!J572"")"),0)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288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5477348</v>
      </c>
      <c r="M8" s="25">
        <f t="shared" ca="1" si="0"/>
        <v>2867193</v>
      </c>
      <c r="N8" s="25">
        <f t="shared" ca="1" si="0"/>
        <v>3023179.9299999997</v>
      </c>
      <c r="O8" s="24">
        <f t="shared" ref="O8:O16" ca="1" si="1">IF(L8&gt;0,N8*100/L8,0)</f>
        <v>55.194227754015266</v>
      </c>
      <c r="P8" s="24">
        <f t="shared" ref="P8:P16" ca="1" si="2">IF(M8&gt;0,N8*100/M8,0)</f>
        <v>105.44040565110197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5477348</v>
      </c>
      <c r="M10" s="32">
        <f t="shared" ca="1" si="4"/>
        <v>2867193</v>
      </c>
      <c r="N10" s="32">
        <f t="shared" ca="1" si="4"/>
        <v>3023179.9299999997</v>
      </c>
      <c r="O10" s="31">
        <f t="shared" ca="1" si="1"/>
        <v>55.194227754015266</v>
      </c>
      <c r="P10" s="31">
        <f t="shared" ca="1" si="2"/>
        <v>105.44040565110197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5301348</v>
      </c>
      <c r="M12" s="41">
        <f t="shared" ca="1" si="6"/>
        <v>2691193</v>
      </c>
      <c r="N12" s="41">
        <f t="shared" ca="1" si="6"/>
        <v>2847179.9299999997</v>
      </c>
      <c r="O12" s="41">
        <f t="shared" ca="1" si="1"/>
        <v>53.706716291780886</v>
      </c>
      <c r="P12" s="41">
        <f t="shared" ca="1" si="2"/>
        <v>105.79620004956909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2053100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3248248</v>
      </c>
      <c r="M14" s="41">
        <f t="shared" si="8"/>
        <v>0</v>
      </c>
      <c r="N14" s="41">
        <f t="shared" ca="1" si="8"/>
        <v>814943.66999999981</v>
      </c>
      <c r="O14" s="41">
        <f t="shared" ca="1" si="1"/>
        <v>25.088714593220711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176000</v>
      </c>
      <c r="M16" s="41">
        <f t="shared" ca="1" si="10"/>
        <v>176000</v>
      </c>
      <c r="N16" s="41">
        <f t="shared" ca="1" si="10"/>
        <v>176000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3474365</v>
      </c>
      <c r="M18" s="25">
        <f t="shared" ca="1" si="11"/>
        <v>2867193</v>
      </c>
      <c r="N18" s="25">
        <f t="shared" ca="1" si="11"/>
        <v>2208236.2599999998</v>
      </c>
      <c r="O18" s="24">
        <f t="shared" ref="O18:O20" ca="1" si="12">IF(L18&gt;0,N18*100/L18,0)</f>
        <v>63.557981386526741</v>
      </c>
      <c r="P18" s="24">
        <f t="shared" ref="P18:P26" ca="1" si="13">IF(M18&gt;0,N18*100/M18,0)</f>
        <v>77.017356696950628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3474365</v>
      </c>
      <c r="M20" s="32">
        <f t="shared" ca="1" si="15"/>
        <v>2867193</v>
      </c>
      <c r="N20" s="32">
        <f t="shared" ca="1" si="15"/>
        <v>2208236.2599999998</v>
      </c>
      <c r="O20" s="31">
        <f t="shared" ca="1" si="12"/>
        <v>63.557981386526741</v>
      </c>
      <c r="P20" s="31">
        <f t="shared" ca="1" si="13"/>
        <v>77.017356696950628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3298365</v>
      </c>
      <c r="M22" s="44">
        <f t="shared" ca="1" si="18"/>
        <v>2691193</v>
      </c>
      <c r="N22" s="41">
        <f t="shared" ca="1" si="18"/>
        <v>2032236.26</v>
      </c>
      <c r="O22" s="41">
        <f t="shared" ca="1" si="17"/>
        <v>61.61344363040476</v>
      </c>
      <c r="P22" s="41">
        <f t="shared" ca="1" si="13"/>
        <v>75.514326174302624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2053100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1245265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176000</v>
      </c>
      <c r="M26" s="52">
        <f t="shared" ca="1" si="22"/>
        <v>176000</v>
      </c>
      <c r="N26" s="52">
        <f t="shared" ca="1" si="22"/>
        <v>176000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2002983</v>
      </c>
      <c r="M28" s="25">
        <f t="shared" si="23"/>
        <v>0</v>
      </c>
      <c r="N28" s="25">
        <f t="shared" ca="1" si="23"/>
        <v>814943.66999999981</v>
      </c>
      <c r="O28" s="24">
        <f t="shared" ref="O28:O30" ca="1" si="24">IF(L28&gt;0,N28*100/L28,0)</f>
        <v>40.686499585867672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2002983</v>
      </c>
      <c r="M30" s="32">
        <f t="shared" si="27"/>
        <v>0</v>
      </c>
      <c r="N30" s="32">
        <f t="shared" ca="1" si="27"/>
        <v>814943.66999999981</v>
      </c>
      <c r="O30" s="31">
        <f t="shared" ca="1" si="24"/>
        <v>40.686499585867672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2002983</v>
      </c>
      <c r="M32" s="41">
        <f t="shared" si="30"/>
        <v>0</v>
      </c>
      <c r="N32" s="41">
        <f t="shared" ca="1" si="30"/>
        <v>814943.66999999981</v>
      </c>
      <c r="O32" s="41">
        <f t="shared" ca="1" si="29"/>
        <v>40.686499585867672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2002983</v>
      </c>
      <c r="M34" s="41">
        <f t="shared" si="32"/>
        <v>0</v>
      </c>
      <c r="N34" s="41">
        <f t="shared" ca="1" si="32"/>
        <v>814943.66999999981</v>
      </c>
      <c r="O34" s="41">
        <f t="shared" ca="1" si="29"/>
        <v>40.686499585867672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3474365</v>
      </c>
      <c r="M37" s="57">
        <f t="shared" ca="1" si="33"/>
        <v>2867193</v>
      </c>
      <c r="N37" s="57">
        <f t="shared" ca="1" si="33"/>
        <v>2208236.2599999998</v>
      </c>
      <c r="O37" s="58">
        <f t="shared" ca="1" si="29"/>
        <v>63.557981386526741</v>
      </c>
      <c r="P37" s="58">
        <f t="shared" ca="1" si="25"/>
        <v>77.017356696950628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777100</v>
      </c>
      <c r="M41" s="81">
        <f t="shared" ca="1" si="34"/>
        <v>635320</v>
      </c>
      <c r="N41" s="81">
        <f t="shared" ca="1" si="34"/>
        <v>451075.02</v>
      </c>
      <c r="O41" s="80">
        <f t="shared" ref="O41:O43" ca="1" si="35">IF(L41&gt;0,N41*100/L41,0)</f>
        <v>58.045942607129071</v>
      </c>
      <c r="P41" s="80">
        <f t="shared" ref="P41:P43" ca="1" si="36">IF(M41&gt;0,N41*100/M41,0)</f>
        <v>70.999656865831398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777100</v>
      </c>
      <c r="M43" s="81">
        <f t="shared" ca="1" si="38"/>
        <v>635320</v>
      </c>
      <c r="N43" s="81">
        <f t="shared" ca="1" si="38"/>
        <v>451075.02</v>
      </c>
      <c r="O43" s="80">
        <f t="shared" ca="1" si="35"/>
        <v>58.045942607129071</v>
      </c>
      <c r="P43" s="80">
        <f t="shared" ca="1" si="36"/>
        <v>70.999656865831398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751100</v>
      </c>
      <c r="M45" s="52">
        <f ca="1">IFERROR(__xludf.DUMMYFUNCTION("IMPORTRANGE(""https://docs.google.com/spreadsheets/d/1Yj_ptqi66GCucihVvJfMjLAmec39IyEx_6qawtMGysU/edit?usp=sharing"",""สบก!Q34"")"),609320)</f>
        <v>609320</v>
      </c>
      <c r="N45" s="52">
        <f ca="1">IFERROR(__xludf.DUMMYFUNCTION("IMPORTRANGE(""https://docs.google.com/spreadsheets/d/1Yj_ptqi66GCucihVvJfMjLAmec39IyEx_6qawtMGysU/edit?usp=sharing"",""สบก!R34"")"),425075.02)</f>
        <v>425075.02</v>
      </c>
      <c r="O45" s="41">
        <f ca="1">IF(L45&gt;0,N45*100/L45,0)</f>
        <v>56.593665290906671</v>
      </c>
      <c r="P45" s="41">
        <f ca="1">IF(M45&gt;0,N45*100/M45,0)</f>
        <v>69.762197203439896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IFERROR(__xludf.DUMMYFUNCTION("IMPORTRANGE(""https://docs.google.com/spreadsheets/d/1Yj_ptqi66GCucihVvJfMjLAmec39IyEx_6qawtMGysU/edit?usp=sharing"",""สบก!M34"")"),751100)</f>
        <v>751100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IFERROR(__xludf.DUMMYFUNCTION("IMPORTRANGE(""https://docs.google.com/spreadsheets/d/1Yj_ptqi66GCucihVvJfMjLAmec39IyEx_6qawtMGysU/edit?usp=sharing"",""สบก!N34"")"),0)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IFERROR(__xludf.DUMMYFUNCTION("IMPORTRANGE(""https://docs.google.com/spreadsheets/d/1Yj_ptqi66GCucihVvJfMjLAmec39IyEx_6qawtMGysU/edit?usp=sharing"",""สบก!O34"")"),26000)</f>
        <v>26000</v>
      </c>
      <c r="M49" s="52">
        <f ca="1">L49</f>
        <v>26000</v>
      </c>
      <c r="N49" s="52">
        <f ca="1">IFERROR(__xludf.DUMMYFUNCTION("IMPORTRANGE(""https://docs.google.com/spreadsheets/d/1Yj_ptqi66GCucihVvJfMjLAmec39IyEx_6qawtMGysU/edit?usp=sharing"",""สบก!S34"")"),26000)</f>
        <v>26000</v>
      </c>
      <c r="O49" s="52">
        <f ca="1">IF(L49&gt;0,N49*100/L49,0)</f>
        <v>100</v>
      </c>
      <c r="P49" s="52">
        <f ca="1">IF(M49&gt;0,N49*100/M49,0)</f>
        <v>100</v>
      </c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450000</v>
      </c>
      <c r="M53" s="123">
        <f t="shared" ca="1" si="39"/>
        <v>365963</v>
      </c>
      <c r="N53" s="123">
        <f t="shared" ca="1" si="39"/>
        <v>351958.84</v>
      </c>
      <c r="O53" s="122">
        <f t="shared" ref="O53:O55" ca="1" si="40">IF(L53&gt;0,N53*100/L53,0)</f>
        <v>78.213075555555562</v>
      </c>
      <c r="P53" s="122">
        <f t="shared" ref="P53:P55" ca="1" si="41">IF(M53&gt;0,N53*100/M53,0)</f>
        <v>96.173339927806907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450000</v>
      </c>
      <c r="M55" s="123">
        <f t="shared" ca="1" si="43"/>
        <v>365963</v>
      </c>
      <c r="N55" s="123">
        <f t="shared" ca="1" si="43"/>
        <v>351958.84</v>
      </c>
      <c r="O55" s="122">
        <f t="shared" ca="1" si="40"/>
        <v>78.213075555555562</v>
      </c>
      <c r="P55" s="122">
        <f t="shared" ca="1" si="41"/>
        <v>96.173339927806907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450000</v>
      </c>
      <c r="M57" s="52">
        <f ca="1">IFERROR(__xludf.DUMMYFUNCTION("IMPORTRANGE(""https://docs.google.com/spreadsheets/d/1Yj_ptqi66GCucihVvJfMjLAmec39IyEx_6qawtMGysU/edit?usp=sharing"",""สบก!Z34"")"),365963)</f>
        <v>365963</v>
      </c>
      <c r="N57" s="52">
        <f ca="1">IFERROR(__xludf.DUMMYFUNCTION("IMPORTRANGE(""https://docs.google.com/spreadsheets/d/1Yj_ptqi66GCucihVvJfMjLAmec39IyEx_6qawtMGysU/edit?usp=sharing"",""สบก!AA34"")"),351958.84)</f>
        <v>351958.84</v>
      </c>
      <c r="O57" s="41">
        <f ca="1">IF(L57&gt;0,N57*100/L57,0)</f>
        <v>78.213075555555562</v>
      </c>
      <c r="P57" s="41">
        <f ca="1">IF(M57&gt;0,N57*100/M57,0)</f>
        <v>96.173339927806907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IFERROR(__xludf.DUMMYFUNCTION("IMPORTRANGE(""https://docs.google.com/spreadsheets/d/1Yj_ptqi66GCucihVvJfMjLAmec39IyEx_6qawtMGysU/edit?usp=sharing"",""สบก!V34"")"),450000)</f>
        <v>450000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IFERROR(__xludf.DUMMYFUNCTION("IMPORTRANGE(""https://docs.google.com/spreadsheets/d/1Yj_ptqi66GCucihVvJfMjLAmec39IyEx_6qawtMGysU/edit?usp=sharing"",""สบก!W34"")"),0)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IFERROR(__xludf.DUMMYFUNCTION("IMPORTRANGE(""https://docs.google.com/spreadsheets/d/1Yj_ptqi66GCucihVvJfMjLAmec39IyEx_6qawtMGysU/edit?usp=sharing"",""สบก!X34"")"),0)</f>
        <v>0</v>
      </c>
      <c r="M61" s="52"/>
      <c r="N61" s="52">
        <f ca="1">IFERROR(__xludf.DUMMYFUNCTION("IMPORTRANGE(""https://docs.google.com/spreadsheets/d/1Yj_ptqi66GCucihVvJfMjLAmec39IyEx_6qawtMGysU/edit?usp=sharing"",""สบก!AB34"")"),0)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IFERROR(__xludf.DUMMYFUNCTION("IMPORTRANGE(""https://docs.google.com/spreadsheets/d/11923uPwbBZFjjGgGUA6NLw09EwE0CqkOc4q9oUmW1yo/edit?usp=sharing"",""สุโขทัย!I9"")"),1)</f>
        <v>1</v>
      </c>
      <c r="J64" s="144">
        <f ca="1">IFERROR(__xludf.DUMMYFUNCTION("IMPORTRANGE(""https://docs.google.com/spreadsheets/d/11923uPwbBZFjjGgGUA6NLw09EwE0CqkOc4q9oUmW1yo/edit?usp=sharing"",""สุโขทัย!J9"")"),1)</f>
        <v>1</v>
      </c>
      <c r="K64" s="145">
        <f t="shared" ref="K64:K65" ca="1" si="44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IFERROR(__xludf.DUMMYFUNCTION("IMPORTRANGE(""https://docs.google.com/spreadsheets/d/11923uPwbBZFjjGgGUA6NLw09EwE0CqkOc4q9oUmW1yo/edit?usp=sharing"",""สุโขทัย!I10"")"),75)</f>
        <v>75</v>
      </c>
      <c r="J65" s="144">
        <f ca="1">IFERROR(__xludf.DUMMYFUNCTION("IMPORTRANGE(""https://docs.google.com/spreadsheets/d/11923uPwbBZFjjGgGUA6NLw09EwE0CqkOc4q9oUmW1yo/edit?usp=sharing"",""สุโขทัย!J10"")"),75)</f>
        <v>75</v>
      </c>
      <c r="K65" s="145">
        <f t="shared" ca="1" si="44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956800</v>
      </c>
      <c r="M66" s="154">
        <f t="shared" ca="1" si="45"/>
        <v>876720</v>
      </c>
      <c r="N66" s="154">
        <f t="shared" ca="1" si="45"/>
        <v>707253.6</v>
      </c>
      <c r="O66" s="153">
        <f t="shared" ref="O66:O68" ca="1" si="46">IF(L66&gt;0,N66*100/L66,0)</f>
        <v>73.918645484949835</v>
      </c>
      <c r="P66" s="153">
        <f t="shared" ref="P66:P68" ca="1" si="47">IF(M66&gt;0,N66*100/M66,0)</f>
        <v>80.67040788393102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956800</v>
      </c>
      <c r="M68" s="90">
        <f t="shared" ca="1" si="49"/>
        <v>876720</v>
      </c>
      <c r="N68" s="90">
        <f t="shared" ca="1" si="49"/>
        <v>707253.6</v>
      </c>
      <c r="O68" s="158">
        <f t="shared" ca="1" si="46"/>
        <v>73.918645484949835</v>
      </c>
      <c r="P68" s="158">
        <f t="shared" ca="1" si="47"/>
        <v>80.67040788393102</v>
      </c>
    </row>
    <row r="69" spans="1:16" ht="21.75" customHeight="1">
      <c r="A69" s="159"/>
      <c r="B69" s="160"/>
      <c r="C69" s="160" t="s">
        <v>16</v>
      </c>
      <c r="D69" s="570" t="s">
        <v>20</v>
      </c>
      <c r="E69" s="565"/>
      <c r="F69" s="565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806800</v>
      </c>
      <c r="M70" s="169">
        <f ca="1">IFERROR(__xludf.DUMMYFUNCTION("IMPORTRANGE(""https://docs.google.com/spreadsheets/d/1Yj_ptqi66GCucihVvJfMjLAmec39IyEx_6qawtMGysU/edit?usp=sharing"",""สบก!AI34"")"),726720)</f>
        <v>726720</v>
      </c>
      <c r="N70" s="170">
        <f ca="1">IFERROR(__xludf.DUMMYFUNCTION("IMPORTRANGE(""https://docs.google.com/spreadsheets/d/1Yj_ptqi66GCucihVvJfMjLAmec39IyEx_6qawtMGysU/edit?usp=sharing"",""สบก!AJ34"")"),557253.6)</f>
        <v>557253.6</v>
      </c>
      <c r="O70" s="170">
        <f ca="1">IF(L70&gt;0,N70*100/L70,0)</f>
        <v>69.069608329201785</v>
      </c>
      <c r="P70" s="170">
        <f ca="1">IF(M70&gt;0,N70*100/M70,0)</f>
        <v>76.680647291941881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IFERROR(__xludf.DUMMYFUNCTION("IMPORTRANGE(""https://docs.google.com/spreadsheets/d/1Yj_ptqi66GCucihVvJfMjLAmec39IyEx_6qawtMGysU/edit?usp=sharing"",""สบก!AE34"")"),190800)</f>
        <v>190800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IFERROR(__xludf.DUMMYFUNCTION("IMPORTRANGE(""https://docs.google.com/spreadsheets/d/1Yj_ptqi66GCucihVvJfMjLAmec39IyEx_6qawtMGysU/edit?usp=sharing"",""สบก!AF34"")"),616000)</f>
        <v>616000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IFERROR(__xludf.DUMMYFUNCTION("IMPORTRANGE(""https://docs.google.com/spreadsheets/d/1Yj_ptqi66GCucihVvJfMjLAmec39IyEx_6qawtMGysU/edit?usp=sharing"",""สบก!AG34"")"),150000)</f>
        <v>150000</v>
      </c>
      <c r="M74" s="52">
        <f ca="1">L74</f>
        <v>150000</v>
      </c>
      <c r="N74" s="52">
        <f ca="1">IFERROR(__xludf.DUMMYFUNCTION("IMPORTRANGE(""https://docs.google.com/spreadsheets/d/1Yj_ptqi66GCucihVvJfMjLAmec39IyEx_6qawtMGysU/edit?usp=sharing"",""สบก!AK34"")"),150000)</f>
        <v>150000</v>
      </c>
      <c r="O74" s="52">
        <f ca="1">IF(L74&gt;0,N74*100/L74,0)</f>
        <v>100</v>
      </c>
      <c r="P74" s="52">
        <f ca="1">IF(M74&gt;0,N74*100/M74,0)</f>
        <v>100</v>
      </c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IFERROR(__xludf.DUMMYFUNCTION("IMPORTRANGE(""https://docs.google.com/spreadsheets/d/11923uPwbBZFjjGgGUA6NLw09EwE0CqkOc4q9oUmW1yo/edit?usp=sharing"",""สุโขทัย!J16"")"),0)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IFERROR(__xludf.DUMMYFUNCTION("IMPORTRANGE(""https://docs.google.com/spreadsheets/d/11923uPwbBZFjjGgGUA6NLw09EwE0CqkOc4q9oUmW1yo/edit?usp=sharing"",""สุโขทัย!J17"")"),1)</f>
        <v>1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IFERROR(__xludf.DUMMYFUNCTION("IMPORTRANGE(""https://docs.google.com/spreadsheets/d/11923uPwbBZFjjGgGUA6NLw09EwE0CqkOc4q9oUmW1yo/edit?usp=sharing"",""สุโขทัย!J18"")"),1)</f>
        <v>1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IFERROR(__xludf.DUMMYFUNCTION("IMPORTRANGE(""https://docs.google.com/spreadsheets/d/11923uPwbBZFjjGgGUA6NLw09EwE0CqkOc4q9oUmW1yo/edit?usp=sharing"",""สุโขทัย!J19"")"),1)</f>
        <v>1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IFERROR(__xludf.DUMMYFUNCTION("IMPORTRANGE(""https://docs.google.com/spreadsheets/d/11923uPwbBZFjjGgGUA6NLw09EwE0CqkOc4q9oUmW1yo/edit?usp=sharing"",""สุโขทัย!I20"")"),1)</f>
        <v>1</v>
      </c>
      <c r="J80" s="202">
        <f ca="1">IFERROR(__xludf.DUMMYFUNCTION("IMPORTRANGE(""https://docs.google.com/spreadsheets/d/11923uPwbBZFjjGgGUA6NLw09EwE0CqkOc4q9oUmW1yo/edit?usp=sharing"",""สุโขทัย!J20"")"),1)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IFERROR(__xludf.DUMMYFUNCTION("IMPORTRANGE(""https://docs.google.com/spreadsheets/d/11923uPwbBZFjjGgGUA6NLw09EwE0CqkOc4q9oUmW1yo/edit?usp=sharing"",""สุโขทัย!I21"")"),75)</f>
        <v>75</v>
      </c>
      <c r="J81" s="202">
        <f ca="1">IFERROR(__xludf.DUMMYFUNCTION("IMPORTRANGE(""https://docs.google.com/spreadsheets/d/11923uPwbBZFjjGgGUA6NLw09EwE0CqkOc4q9oUmW1yo/edit?usp=sharing"",""สุโขทัย!J21"")"),75)</f>
        <v>75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IFERROR(__xludf.DUMMYFUNCTION("IMPORTRANGE(""https://docs.google.com/spreadsheets/d/11923uPwbBZFjjGgGUA6NLw09EwE0CqkOc4q9oUmW1yo/edit?usp=sharing"",""สุโขทัย!I22"")"),0)</f>
        <v>0</v>
      </c>
      <c r="J82" s="205">
        <f ca="1">IFERROR(__xludf.DUMMYFUNCTION("IMPORTRANGE(""https://docs.google.com/spreadsheets/d/11923uPwbBZFjjGgGUA6NLw09EwE0CqkOc4q9oUmW1yo/edit?usp=sharing"",""สุโขทัย!J22"")"),0)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IFERROR(__xludf.DUMMYFUNCTION("IMPORTRANGE(""https://docs.google.com/spreadsheets/d/11923uPwbBZFjjGgGUA6NLw09EwE0CqkOc4q9oUmW1yo/edit?usp=sharing"",""สุโขทัย!I23"")"),0)</f>
        <v>0</v>
      </c>
      <c r="J83" s="205">
        <f ca="1">IFERROR(__xludf.DUMMYFUNCTION("IMPORTRANGE(""https://docs.google.com/spreadsheets/d/11923uPwbBZFjjGgGUA6NLw09EwE0CqkOc4q9oUmW1yo/edit?usp=sharing"",""สุโขทัย!J23"")"),0)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IFERROR(__xludf.DUMMYFUNCTION("IMPORTRANGE(""https://docs.google.com/spreadsheets/d/11923uPwbBZFjjGgGUA6NLw09EwE0CqkOc4q9oUmW1yo/edit?usp=sharing"",""สุโขทัย!I24"")"),1)</f>
        <v>1</v>
      </c>
      <c r="J84" s="190">
        <f ca="1">IFERROR(__xludf.DUMMYFUNCTION("IMPORTRANGE(""https://docs.google.com/spreadsheets/d/11923uPwbBZFjjGgGUA6NLw09EwE0CqkOc4q9oUmW1yo/edit?usp=sharing"",""สุโขทัย!J24"")"),1)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IFERROR(__xludf.DUMMYFUNCTION("IMPORTRANGE(""https://docs.google.com/spreadsheets/d/11923uPwbBZFjjGgGUA6NLw09EwE0CqkOc4q9oUmW1yo/edit?usp=sharing"",""สุโขทัย!I25"")"),75)</f>
        <v>75</v>
      </c>
      <c r="J85" s="190">
        <f ca="1">IFERROR(__xludf.DUMMYFUNCTION("IMPORTRANGE(""https://docs.google.com/spreadsheets/d/11923uPwbBZFjjGgGUA6NLw09EwE0CqkOc4q9oUmW1yo/edit?usp=sharing"",""สุโขทัย!J25"")"),75)</f>
        <v>75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IFERROR(__xludf.DUMMYFUNCTION("IMPORTRANGE(""https://docs.google.com/spreadsheets/d/11923uPwbBZFjjGgGUA6NLw09EwE0CqkOc4q9oUmW1yo/edit?usp=sharing"",""สุโขทัย!I26"")"),0)</f>
        <v>0</v>
      </c>
      <c r="J86" s="205">
        <f ca="1">IFERROR(__xludf.DUMMYFUNCTION("IMPORTRANGE(""https://docs.google.com/spreadsheets/d/11923uPwbBZFjjGgGUA6NLw09EwE0CqkOc4q9oUmW1yo/edit?usp=sharing"",""สุโขทัย!J26"")"),0)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IFERROR(__xludf.DUMMYFUNCTION("IMPORTRANGE(""https://docs.google.com/spreadsheets/d/11923uPwbBZFjjGgGUA6NLw09EwE0CqkOc4q9oUmW1yo/edit?usp=sharing"",""สุโขทัย!I27"")"),0)</f>
        <v>0</v>
      </c>
      <c r="J87" s="205">
        <f ca="1">IFERROR(__xludf.DUMMYFUNCTION("IMPORTRANGE(""https://docs.google.com/spreadsheets/d/11923uPwbBZFjjGgGUA6NLw09EwE0CqkOc4q9oUmW1yo/edit?usp=sharing"",""สุโขทัย!J27"")"),0)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IFERROR(__xludf.DUMMYFUNCTION("IMPORTRANGE(""https://docs.google.com/spreadsheets/d/11923uPwbBZFjjGgGUA6NLw09EwE0CqkOc4q9oUmW1yo/edit?usp=sharing"",""สุโขทัย!I28"")"),0)</f>
        <v>0</v>
      </c>
      <c r="J88" s="205">
        <f ca="1">IFERROR(__xludf.DUMMYFUNCTION("IMPORTRANGE(""https://docs.google.com/spreadsheets/d/11923uPwbBZFjjGgGUA6NLw09EwE0CqkOc4q9oUmW1yo/edit?usp=sharing"",""สุโขทัย!J28"")"),0)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IFERROR(__xludf.DUMMYFUNCTION("IMPORTRANGE(""https://docs.google.com/spreadsheets/d/11923uPwbBZFjjGgGUA6NLw09EwE0CqkOc4q9oUmW1yo/edit?usp=sharing"",""สุโขทัย!J29"")"),0)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IFERROR(__xludf.DUMMYFUNCTION("IMPORTRANGE(""https://docs.google.com/spreadsheets/d/11923uPwbBZFjjGgGUA6NLw09EwE0CqkOc4q9oUmW1yo/edit?usp=sharing"",""สุโขทัย!J30"")"),0)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IFERROR(__xludf.DUMMYFUNCTION("IMPORTRANGE(""https://docs.google.com/spreadsheets/d/11923uPwbBZFjjGgGUA6NLw09EwE0CqkOc4q9oUmW1yo/edit?usp=sharing"",""สุโขทัย!I32"")"),0)</f>
        <v>0</v>
      </c>
      <c r="J92" s="144">
        <f ca="1">IFERROR(__xludf.DUMMYFUNCTION("IMPORTRANGE(""https://docs.google.com/spreadsheets/d/11923uPwbBZFjjGgGUA6NLw09EwE0CqkOc4q9oUmW1yo/edit?usp=sharing"",""สุโขทัย!J32"")"),0)</f>
        <v>0</v>
      </c>
      <c r="K92" s="145">
        <f t="shared" ref="K92:K93" ca="1" si="51">IF(I92&gt;0,J92*100/I92,0)</f>
        <v>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IFERROR(__xludf.DUMMYFUNCTION("IMPORTRANGE(""https://docs.google.com/spreadsheets/d/11923uPwbBZFjjGgGUA6NLw09EwE0CqkOc4q9oUmW1yo/edit?usp=sharing"",""สุโขทัย!I33"")"),0)</f>
        <v>0</v>
      </c>
      <c r="J93" s="144">
        <f ca="1">IFERROR(__xludf.DUMMYFUNCTION("IMPORTRANGE(""https://docs.google.com/spreadsheets/d/11923uPwbBZFjjGgGUA6NLw09EwE0CqkOc4q9oUmW1yo/edit?usp=sharing"",""สุโขทัย!J33"")"),0)</f>
        <v>0</v>
      </c>
      <c r="K93" s="145">
        <f t="shared" ca="1" si="51"/>
        <v>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0</v>
      </c>
      <c r="M96" s="90">
        <f t="shared" ca="1" si="56"/>
        <v>0</v>
      </c>
      <c r="N96" s="90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59"/>
      <c r="B97" s="160"/>
      <c r="C97" s="160" t="s">
        <v>16</v>
      </c>
      <c r="D97" s="570" t="s">
        <v>20</v>
      </c>
      <c r="E97" s="565"/>
      <c r="F97" s="565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IFERROR(__xludf.DUMMYFUNCTION("IMPORTRANGE(""https://docs.google.com/spreadsheets/d/1Yj_ptqi66GCucihVvJfMjLAmec39IyEx_6qawtMGysU/edit?usp=sharing"",""สบก!AR34"")"),0)</f>
        <v>0</v>
      </c>
      <c r="N98" s="170">
        <f ca="1">IFERROR(__xludf.DUMMYFUNCTION("IMPORTRANGE(""https://docs.google.com/spreadsheets/d/1Yj_ptqi66GCucihVvJfMjLAmec39IyEx_6qawtMGysU/edit?usp=sharing"",""สบก!AS34"")"),0)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IFERROR(__xludf.DUMMYFUNCTION("IMPORTRANGE(""https://docs.google.com/spreadsheets/d/1Yj_ptqi66GCucihVvJfMjLAmec39IyEx_6qawtMGysU/edit?usp=sharing"",""สบก!AN34"")"),0)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IFERROR(__xludf.DUMMYFUNCTION("IMPORTRANGE(""https://docs.google.com/spreadsheets/d/1Yj_ptqi66GCucihVvJfMjLAmec39IyEx_6qawtMGysU/edit?usp=sharing"",""สบก!AO34"")"),0)</f>
        <v>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IFERROR(__xludf.DUMMYFUNCTION("IMPORTRANGE(""https://docs.google.com/spreadsheets/d/1Yj_ptqi66GCucihVvJfMjLAmec39IyEx_6qawtMGysU/edit?usp=sharing"",""สบก!AP34"")"),0)</f>
        <v>0</v>
      </c>
      <c r="M102" s="52"/>
      <c r="N102" s="52">
        <f ca="1">IFERROR(__xludf.DUMMYFUNCTION("IMPORTRANGE(""https://docs.google.com/spreadsheets/d/1Yj_ptqi66GCucihVvJfMjLAmec39IyEx_6qawtMGysU/edit?usp=sharing"",""สบก!AT34"")"),0)</f>
        <v>0</v>
      </c>
      <c r="O102" s="52">
        <f ca="1">IF(L102&gt;0,N102*100/L102,0)</f>
        <v>0</v>
      </c>
      <c r="P102" s="52"/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IFERROR(__xludf.DUMMYFUNCTION("IMPORTRANGE(""https://docs.google.com/spreadsheets/d/11923uPwbBZFjjGgGUA6NLw09EwE0CqkOc4q9oUmW1yo/edit?usp=sharing"",""สุโขทัย!J39"")"),0)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IFERROR(__xludf.DUMMYFUNCTION("IMPORTRANGE(""https://docs.google.com/spreadsheets/d/11923uPwbBZFjjGgGUA6NLw09EwE0CqkOc4q9oUmW1yo/edit?usp=sharing"",""สุโขทัย!J40"")"),0)</f>
        <v>0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IFERROR(__xludf.DUMMYFUNCTION("IMPORTRANGE(""https://docs.google.com/spreadsheets/d/11923uPwbBZFjjGgGUA6NLw09EwE0CqkOc4q9oUmW1yo/edit?usp=sharing"",""สุโขทัย!J41"")"),0)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IFERROR(__xludf.DUMMYFUNCTION("IMPORTRANGE(""https://docs.google.com/spreadsheets/d/11923uPwbBZFjjGgGUA6NLw09EwE0CqkOc4q9oUmW1yo/edit?usp=sharing"",""สุโขทัย!J42"")"),0)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IFERROR(__xludf.DUMMYFUNCTION("IMPORTRANGE(""https://docs.google.com/spreadsheets/d/11923uPwbBZFjjGgGUA6NLw09EwE0CqkOc4q9oUmW1yo/edit?usp=sharing"",""สุโขทัย!I43"")"),0)</f>
        <v>0</v>
      </c>
      <c r="J108" s="205">
        <f ca="1">IFERROR(__xludf.DUMMYFUNCTION("IMPORTRANGE(""https://docs.google.com/spreadsheets/d/11923uPwbBZFjjGgGUA6NLw09EwE0CqkOc4q9oUmW1yo/edit?usp=sharing"",""สุโขทัย!J43"")"),0)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IFERROR(__xludf.DUMMYFUNCTION("IMPORTRANGE(""https://docs.google.com/spreadsheets/d/11923uPwbBZFjjGgGUA6NLw09EwE0CqkOc4q9oUmW1yo/edit?usp=sharing"",""สุโขทัย!I44"")"),0)</f>
        <v>0</v>
      </c>
      <c r="J109" s="205">
        <f ca="1">IFERROR(__xludf.DUMMYFUNCTION("IMPORTRANGE(""https://docs.google.com/spreadsheets/d/11923uPwbBZFjjGgGUA6NLw09EwE0CqkOc4q9oUmW1yo/edit?usp=sharing"",""สุโขทัย!J44"")"),0)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IFERROR(__xludf.DUMMYFUNCTION("IMPORTRANGE(""https://docs.google.com/spreadsheets/d/11923uPwbBZFjjGgGUA6NLw09EwE0CqkOc4q9oUmW1yo/edit?usp=sharing"",""สุโขทัย!I45"")"),0)</f>
        <v>0</v>
      </c>
      <c r="J110" s="205">
        <f ca="1">IFERROR(__xludf.DUMMYFUNCTION("IMPORTRANGE(""https://docs.google.com/spreadsheets/d/11923uPwbBZFjjGgGUA6NLw09EwE0CqkOc4q9oUmW1yo/edit?usp=sharing"",""สุโขทัย!J45"")"),0)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IFERROR(__xludf.DUMMYFUNCTION("IMPORTRANGE(""https://docs.google.com/spreadsheets/d/11923uPwbBZFjjGgGUA6NLw09EwE0CqkOc4q9oUmW1yo/edit?usp=sharing"",""สุโขทัย!I46"")"),0)</f>
        <v>0</v>
      </c>
      <c r="J111" s="205">
        <f ca="1">IFERROR(__xludf.DUMMYFUNCTION("IMPORTRANGE(""https://docs.google.com/spreadsheets/d/11923uPwbBZFjjGgGUA6NLw09EwE0CqkOc4q9oUmW1yo/edit?usp=sharing"",""สุโขทัย!J46"")"),0)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IFERROR(__xludf.DUMMYFUNCTION("IMPORTRANGE(""https://docs.google.com/spreadsheets/d/11923uPwbBZFjjGgGUA6NLw09EwE0CqkOc4q9oUmW1yo/edit?usp=sharing"",""สุโขทัย!I47"")"),0)</f>
        <v>0</v>
      </c>
      <c r="J112" s="205">
        <f ca="1">IFERROR(__xludf.DUMMYFUNCTION("IMPORTRANGE(""https://docs.google.com/spreadsheets/d/11923uPwbBZFjjGgGUA6NLw09EwE0CqkOc4q9oUmW1yo/edit?usp=sharing"",""สุโขทัย!J47"")"),0)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IFERROR(__xludf.DUMMYFUNCTION("IMPORTRANGE(""https://docs.google.com/spreadsheets/d/11923uPwbBZFjjGgGUA6NLw09EwE0CqkOc4q9oUmW1yo/edit?usp=sharing"",""สุโขทัย!I48"")"),0)</f>
        <v>0</v>
      </c>
      <c r="J113" s="205">
        <f ca="1">IFERROR(__xludf.DUMMYFUNCTION("IMPORTRANGE(""https://docs.google.com/spreadsheets/d/11923uPwbBZFjjGgGUA6NLw09EwE0CqkOc4q9oUmW1yo/edit?usp=sharing"",""สุโขทัย!J48"")"),0)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IFERROR(__xludf.DUMMYFUNCTION("IMPORTRANGE(""https://docs.google.com/spreadsheets/d/11923uPwbBZFjjGgGUA6NLw09EwE0CqkOc4q9oUmW1yo/edit?usp=sharing"",""สุโขทัย!J49"")"),0)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IFERROR(__xludf.DUMMYFUNCTION("IMPORTRANGE(""https://docs.google.com/spreadsheets/d/11923uPwbBZFjjGgGUA6NLw09EwE0CqkOc4q9oUmW1yo/edit?usp=sharing"",""สุโขทัย!J50"")"),0)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IFERROR(__xludf.DUMMYFUNCTION("IMPORTRANGE(""https://docs.google.com/spreadsheets/d/11923uPwbBZFjjGgGUA6NLw09EwE0CqkOc4q9oUmW1yo/edit?usp=sharing"",""สุโขทัย!I52"")"),20)</f>
        <v>20</v>
      </c>
      <c r="J117" s="144">
        <f ca="1">IFERROR(__xludf.DUMMYFUNCTION("IMPORTRANGE(""https://docs.google.com/spreadsheets/d/11923uPwbBZFjjGgGUA6NLw09EwE0CqkOc4q9oUmW1yo/edit?usp=sharing"",""สุโขทัย!J52"")"),20)</f>
        <v>20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82440</v>
      </c>
      <c r="M118" s="154">
        <f t="shared" ca="1" si="58"/>
        <v>82440</v>
      </c>
      <c r="N118" s="154">
        <f t="shared" ca="1" si="58"/>
        <v>58430</v>
      </c>
      <c r="O118" s="153">
        <f t="shared" ref="O118:O120" ca="1" si="59">IF(L118&gt;0,N118*100/L118,0)</f>
        <v>70.875788452207672</v>
      </c>
      <c r="P118" s="153">
        <f t="shared" ref="P118:P120" ca="1" si="60">IF(M118&gt;0,N118*100/M118,0)</f>
        <v>70.875788452207672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82440</v>
      </c>
      <c r="M120" s="90">
        <f t="shared" ca="1" si="62"/>
        <v>82440</v>
      </c>
      <c r="N120" s="90">
        <f t="shared" ca="1" si="62"/>
        <v>58430</v>
      </c>
      <c r="O120" s="158">
        <f t="shared" ca="1" si="59"/>
        <v>70.875788452207672</v>
      </c>
      <c r="P120" s="158">
        <f t="shared" ca="1" si="60"/>
        <v>70.875788452207672</v>
      </c>
    </row>
    <row r="121" spans="1:16" ht="21.75" customHeight="1">
      <c r="A121" s="159"/>
      <c r="B121" s="160"/>
      <c r="C121" s="160" t="s">
        <v>16</v>
      </c>
      <c r="D121" s="570" t="s">
        <v>20</v>
      </c>
      <c r="E121" s="565"/>
      <c r="F121" s="565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IFERROR(__xludf.DUMMYFUNCTION("IMPORTRANGE(""https://docs.google.com/spreadsheets/d/1Yj_ptqi66GCucihVvJfMjLAmec39IyEx_6qawtMGysU/edit?usp=sharing"",""สบก!BA34"")"),82440)</f>
        <v>82440</v>
      </c>
      <c r="N122" s="170">
        <f ca="1">IFERROR(__xludf.DUMMYFUNCTION("IMPORTRANGE(""https://docs.google.com/spreadsheets/d/1Yj_ptqi66GCucihVvJfMjLAmec39IyEx_6qawtMGysU/edit?usp=sharing"",""สบก!BB34"")"),58430)</f>
        <v>58430</v>
      </c>
      <c r="O122" s="170">
        <f ca="1">IF(L122&gt;0,N122*100/L122,0)</f>
        <v>70.875788452207672</v>
      </c>
      <c r="P122" s="170">
        <f ca="1">IF(M122&gt;0,N122*100/M122,0)</f>
        <v>70.875788452207672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IFERROR(__xludf.DUMMYFUNCTION("IMPORTRANGE(""https://docs.google.com/spreadsheets/d/1Yj_ptqi66GCucihVvJfMjLAmec39IyEx_6qawtMGysU/edit?usp=sharing"",""สบก!AW34"")"),0)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IFERROR(__xludf.DUMMYFUNCTION("IMPORTRANGE(""https://docs.google.com/spreadsheets/d/1Yj_ptqi66GCucihVvJfMjLAmec39IyEx_6qawtMGysU/edit?usp=sharing"",""สบก!AX34"")"),82440)</f>
        <v>82440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IFERROR(__xludf.DUMMYFUNCTION("IMPORTRANGE(""https://docs.google.com/spreadsheets/d/1Yj_ptqi66GCucihVvJfMjLAmec39IyEx_6qawtMGysU/edit?usp=sharing"",""สบก!AY34"")"),0)</f>
        <v>0</v>
      </c>
      <c r="M126" s="52"/>
      <c r="N126" s="52">
        <f ca="1">IFERROR(__xludf.DUMMYFUNCTION("IMPORTRANGE(""https://docs.google.com/spreadsheets/d/1Yj_ptqi66GCucihVvJfMjLAmec39IyEx_6qawtMGysU/edit?usp=sharing"",""สบก!BC34"")"),0)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289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IFERROR(__xludf.DUMMYFUNCTION("IMPORTRANGE(""https://docs.google.com/spreadsheets/d/11923uPwbBZFjjGgGUA6NLw09EwE0CqkOc4q9oUmW1yo/edit?usp=sharing"",""สุโขทัย!J58"")"),0)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IFERROR(__xludf.DUMMYFUNCTION("IMPORTRANGE(""https://docs.google.com/spreadsheets/d/11923uPwbBZFjjGgGUA6NLw09EwE0CqkOc4q9oUmW1yo/edit?usp=sharing"",""สุโขทัย!J59"")"),1)</f>
        <v>1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IFERROR(__xludf.DUMMYFUNCTION("IMPORTRANGE(""https://docs.google.com/spreadsheets/d/11923uPwbBZFjjGgGUA6NLw09EwE0CqkOc4q9oUmW1yo/edit?usp=sharing"",""สุโขทัย!J60"")"),1)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IFERROR(__xludf.DUMMYFUNCTION("IMPORTRANGE(""https://docs.google.com/spreadsheets/d/11923uPwbBZFjjGgGUA6NLw09EwE0CqkOc4q9oUmW1yo/edit?usp=sharing"",""สุโขทัย!J61"")"),1)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IFERROR(__xludf.DUMMYFUNCTION("IMPORTRANGE(""https://docs.google.com/spreadsheets/d/11923uPwbBZFjjGgGUA6NLw09EwE0CqkOc4q9oUmW1yo/edit?usp=sharing"",""สุโขทัย!I62"")"),20)</f>
        <v>20</v>
      </c>
      <c r="J132" s="205">
        <f ca="1">IFERROR(__xludf.DUMMYFUNCTION("IMPORTRANGE(""https://docs.google.com/spreadsheets/d/11923uPwbBZFjjGgGUA6NLw09EwE0CqkOc4q9oUmW1yo/edit?usp=sharing"",""สุโขทัย!J62"")"),20)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IFERROR(__xludf.DUMMYFUNCTION("IMPORTRANGE(""https://docs.google.com/spreadsheets/d/11923uPwbBZFjjGgGUA6NLw09EwE0CqkOc4q9oUmW1yo/edit?usp=sharing"",""สุโขทัย!I63"")"),20)</f>
        <v>20</v>
      </c>
      <c r="J133" s="205">
        <f ca="1">IFERROR(__xludf.DUMMYFUNCTION("IMPORTRANGE(""https://docs.google.com/spreadsheets/d/11923uPwbBZFjjGgGUA6NLw09EwE0CqkOc4q9oUmW1yo/edit?usp=sharing"",""สุโขทัย!J63"")"),20)</f>
        <v>20</v>
      </c>
      <c r="K133" s="225">
        <f t="shared" ca="1" si="63"/>
        <v>100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IFERROR(__xludf.DUMMYFUNCTION("IMPORTRANGE(""https://docs.google.com/spreadsheets/d/11923uPwbBZFjjGgGUA6NLw09EwE0CqkOc4q9oUmW1yo/edit?usp=sharing"",""สุโขทัย!J64"")"),0)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IFERROR(__xludf.DUMMYFUNCTION("IMPORTRANGE(""https://docs.google.com/spreadsheets/d/11923uPwbBZFjjGgGUA6NLw09EwE0CqkOc4q9oUmW1yo/edit?usp=sharing"",""สุโขทัย!J65"")"),0)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IFERROR(__xludf.DUMMYFUNCTION("IMPORTRANGE(""https://docs.google.com/spreadsheets/d/11923uPwbBZFjjGgGUA6NLw09EwE0CqkOc4q9oUmW1yo/edit?usp=sharing"",""สุโขทัย!I68"")"),0)</f>
        <v>0</v>
      </c>
      <c r="J138" s="268">
        <f ca="1">IFERROR(__xludf.DUMMYFUNCTION("IMPORTRANGE(""https://docs.google.com/spreadsheets/d/11923uPwbBZFjjGgGUA6NLw09EwE0CqkOc4q9oUmW1yo/edit?usp=sharing"",""สุโขทัย!J68"")"),0)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83000</v>
      </c>
      <c r="M140" s="154">
        <f t="shared" ca="1" si="64"/>
        <v>69625</v>
      </c>
      <c r="N140" s="154">
        <f t="shared" ca="1" si="64"/>
        <v>53190</v>
      </c>
      <c r="O140" s="153">
        <f t="shared" ref="O140:O142" ca="1" si="65">IF(L140&gt;0,N140*100/L140,0)</f>
        <v>64.084337349397586</v>
      </c>
      <c r="P140" s="153">
        <f t="shared" ref="P140:P142" ca="1" si="66">IF(M140&gt;0,N140*100/M140,0)</f>
        <v>76.394973070017954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83000</v>
      </c>
      <c r="M142" s="90">
        <f t="shared" ca="1" si="68"/>
        <v>69625</v>
      </c>
      <c r="N142" s="90">
        <f t="shared" ca="1" si="68"/>
        <v>53190</v>
      </c>
      <c r="O142" s="158">
        <f t="shared" ca="1" si="65"/>
        <v>64.084337349397586</v>
      </c>
      <c r="P142" s="158">
        <f t="shared" ca="1" si="66"/>
        <v>76.394973070017954</v>
      </c>
    </row>
    <row r="143" spans="1:16" ht="21.75" customHeight="1">
      <c r="A143" s="159"/>
      <c r="B143" s="160"/>
      <c r="C143" s="160" t="s">
        <v>16</v>
      </c>
      <c r="D143" s="570" t="s">
        <v>20</v>
      </c>
      <c r="E143" s="565"/>
      <c r="F143" s="565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83000</v>
      </c>
      <c r="M144" s="169">
        <f ca="1">IFERROR(__xludf.DUMMYFUNCTION("IMPORTRANGE(""https://docs.google.com/spreadsheets/d/1Yj_ptqi66GCucihVvJfMjLAmec39IyEx_6qawtMGysU/edit?usp=sharing"",""สบก!BJ34"")"),69625)</f>
        <v>69625</v>
      </c>
      <c r="N144" s="170">
        <f ca="1">IFERROR(__xludf.DUMMYFUNCTION("IMPORTRANGE(""https://docs.google.com/spreadsheets/d/1Yj_ptqi66GCucihVvJfMjLAmec39IyEx_6qawtMGysU/edit?usp=sharing"",""สบก!BK34"")"),53190)</f>
        <v>53190</v>
      </c>
      <c r="O144" s="170">
        <f ca="1">IF(L144&gt;0,N144*100/L144,0)</f>
        <v>64.084337349397586</v>
      </c>
      <c r="P144" s="170">
        <f ca="1">IF(M144&gt;0,N144*100/M144,0)</f>
        <v>76.394973070017954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IFERROR(__xludf.DUMMYFUNCTION("IMPORTRANGE(""https://docs.google.com/spreadsheets/d/1Yj_ptqi66GCucihVvJfMjLAmec39IyEx_6qawtMGysU/edit?usp=sharing"",""สบก!BF34"")"),0)</f>
        <v>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IFERROR(__xludf.DUMMYFUNCTION("IMPORTRANGE(""https://docs.google.com/spreadsheets/d/1Yj_ptqi66GCucihVvJfMjLAmec39IyEx_6qawtMGysU/edit?usp=sharing"",""สบก!BG34"")"),83000)</f>
        <v>83000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IFERROR(__xludf.DUMMYFUNCTION("IMPORTRANGE(""https://docs.google.com/spreadsheets/d/1Yj_ptqi66GCucihVvJfMjLAmec39IyEx_6qawtMGysU/edit?usp=sharing"",""สบก!BH34"")"),0)</f>
        <v>0</v>
      </c>
      <c r="M148" s="52"/>
      <c r="N148" s="52">
        <f ca="1">IFERROR(__xludf.DUMMYFUNCTION("IMPORTRANGE(""https://docs.google.com/spreadsheets/d/1Yj_ptqi66GCucihVvJfMjLAmec39IyEx_6qawtMGysU/edit?usp=sharing"",""สบก!BL34"")"),0)</f>
        <v>0</v>
      </c>
      <c r="O148" s="52">
        <f ca="1">IF(L148&gt;0,N148*100/L148,0)</f>
        <v>0</v>
      </c>
      <c r="P148" s="52"/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IFERROR(__xludf.DUMMYFUNCTION("IMPORTRANGE(""https://docs.google.com/spreadsheets/d/11923uPwbBZFjjGgGUA6NLw09EwE0CqkOc4q9oUmW1yo/edit?usp=sharing"",""สุโขทัย!I74"")"),4)</f>
        <v>4</v>
      </c>
      <c r="J149" s="276">
        <f ca="1">IFERROR(__xludf.DUMMYFUNCTION("IMPORTRANGE(""https://docs.google.com/spreadsheets/d/11923uPwbBZFjjGgGUA6NLw09EwE0CqkOc4q9oUmW1yo/edit?usp=sharing"",""สุโขทัย!J74"")"),2)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IFERROR(__xludf.DUMMYFUNCTION("IMPORTRANGE(""https://docs.google.com/spreadsheets/d/11923uPwbBZFjjGgGUA6NLw09EwE0CqkOc4q9oUmW1yo/edit?usp=sharing"",""สุโขทัย!J79"")"),0)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IFERROR(__xludf.DUMMYFUNCTION("IMPORTRANGE(""https://docs.google.com/spreadsheets/d/11923uPwbBZFjjGgGUA6NLw09EwE0CqkOc4q9oUmW1yo/edit?usp=sharing"",""สุโขทัย!J80"")"),1)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IFERROR(__xludf.DUMMYFUNCTION("IMPORTRANGE(""https://docs.google.com/spreadsheets/d/11923uPwbBZFjjGgGUA6NLw09EwE0CqkOc4q9oUmW1yo/edit?usp=sharing"",""สุโขทัย!J81"")"),1)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IFERROR(__xludf.DUMMYFUNCTION("IMPORTRANGE(""https://docs.google.com/spreadsheets/d/11923uPwbBZFjjGgGUA6NLw09EwE0CqkOc4q9oUmW1yo/edit?usp=sharing"",""สุโขทัย!J82"")"),1)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IFERROR(__xludf.DUMMYFUNCTION("IMPORTRANGE(""https://docs.google.com/spreadsheets/d/11923uPwbBZFjjGgGUA6NLw09EwE0CqkOc4q9oUmW1yo/edit?usp=sharing"",""สุโขทัย!I83"")"),4)</f>
        <v>4</v>
      </c>
      <c r="J158" s="190">
        <f ca="1">IFERROR(__xludf.DUMMYFUNCTION("IMPORTRANGE(""https://docs.google.com/spreadsheets/d/11923uPwbBZFjjGgGUA6NLw09EwE0CqkOc4q9oUmW1yo/edit?usp=sharing"",""สุโขทัย!J83"")"),2)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IFERROR(__xludf.DUMMYFUNCTION("IMPORTRANGE(""https://docs.google.com/spreadsheets/d/11923uPwbBZFjjGgGUA6NLw09EwE0CqkOc4q9oUmW1yo/edit?usp=sharing"",""สุโขทัย!J84"")"),81)</f>
        <v>81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IFERROR(__xludf.DUMMYFUNCTION("IMPORTRANGE(""https://docs.google.com/spreadsheets/d/11923uPwbBZFjjGgGUA6NLw09EwE0CqkOc4q9oUmW1yo/edit?usp=sharing"",""สุโขทัย!J85"")"),81)</f>
        <v>81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IFERROR(__xludf.DUMMYFUNCTION("IMPORTRANGE(""https://docs.google.com/spreadsheets/d/11923uPwbBZFjjGgGUA6NLw09EwE0CqkOc4q9oUmW1yo/edit?usp=sharing"",""สุโขทัย!J86"")"),0)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IFERROR(__xludf.DUMMYFUNCTION("IMPORTRANGE(""https://docs.google.com/spreadsheets/d/11923uPwbBZFjjGgGUA6NLw09EwE0CqkOc4q9oUmW1yo/edit?usp=sharing"",""สุโขทัย!J87"")"),0)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IFERROR(__xludf.DUMMYFUNCTION("IMPORTRANGE(""https://docs.google.com/spreadsheets/d/11923uPwbBZFjjGgGUA6NLw09EwE0CqkOc4q9oUmW1yo/edit?usp=sharing"",""สุโขทัย!J88"")"),0)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IFERROR(__xludf.DUMMYFUNCTION("IMPORTRANGE(""https://docs.google.com/spreadsheets/d/11923uPwbBZFjjGgGUA6NLw09EwE0CqkOc4q9oUmW1yo/edit?usp=sharing"",""สุโขทัย!I89"")"),4)</f>
        <v>4</v>
      </c>
      <c r="J164" s="285">
        <f ca="1">IFERROR(__xludf.DUMMYFUNCTION("IMPORTRANGE(""https://docs.google.com/spreadsheets/d/11923uPwbBZFjjGgGUA6NLw09EwE0CqkOc4q9oUmW1yo/edit?usp=sharing"",""สุโขทัย!J89"")"),4)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IFERROR(__xludf.DUMMYFUNCTION("IMPORTRANGE(""https://docs.google.com/spreadsheets/d/11923uPwbBZFjjGgGUA6NLw09EwE0CqkOc4q9oUmW1yo/edit?usp=sharing"",""สุโขทัย!J94"")"),0)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IFERROR(__xludf.DUMMYFUNCTION("IMPORTRANGE(""https://docs.google.com/spreadsheets/d/11923uPwbBZFjjGgGUA6NLw09EwE0CqkOc4q9oUmW1yo/edit?usp=sharing"",""สุโขทัย!J95"")"),1)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IFERROR(__xludf.DUMMYFUNCTION("IMPORTRANGE(""https://docs.google.com/spreadsheets/d/11923uPwbBZFjjGgGUA6NLw09EwE0CqkOc4q9oUmW1yo/edit?usp=sharing"",""สุโขทัย!J96"")"),1)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IFERROR(__xludf.DUMMYFUNCTION("IMPORTRANGE(""https://docs.google.com/spreadsheets/d/11923uPwbBZFjjGgGUA6NLw09EwE0CqkOc4q9oUmW1yo/edit?usp=sharing"",""สุโขทัย!J97"")"),1)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IFERROR(__xludf.DUMMYFUNCTION("IMPORTRANGE(""https://docs.google.com/spreadsheets/d/11923uPwbBZFjjGgGUA6NLw09EwE0CqkOc4q9oUmW1yo/edit?usp=sharing"",""สุโขทัย!I98"")"),4)</f>
        <v>4</v>
      </c>
      <c r="J173" s="190">
        <f ca="1">IFERROR(__xludf.DUMMYFUNCTION("IMPORTRANGE(""https://docs.google.com/spreadsheets/d/11923uPwbBZFjjGgGUA6NLw09EwE0CqkOc4q9oUmW1yo/edit?usp=sharing"",""สุโขทัย!J98"")"),4)</f>
        <v>4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IFERROR(__xludf.DUMMYFUNCTION("IMPORTRANGE(""https://docs.google.com/spreadsheets/d/11923uPwbBZFjjGgGUA6NLw09EwE0CqkOc4q9oUmW1yo/edit?usp=sharing"",""สุโขทัย!J99"")"),0)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IFERROR(__xludf.DUMMYFUNCTION("IMPORTRANGE(""https://docs.google.com/spreadsheets/d/11923uPwbBZFjjGgGUA6NLw09EwE0CqkOc4q9oUmW1yo/edit?usp=sharing"",""สุโขทัย!J100"")"),0)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IFERROR(__xludf.DUMMYFUNCTION("IMPORTRANGE(""https://docs.google.com/spreadsheets/d/11923uPwbBZFjjGgGUA6NLw09EwE0CqkOc4q9oUmW1yo/edit?usp=sharing"",""สุโขทัย!I101"")"),0)</f>
        <v>0</v>
      </c>
      <c r="J176" s="285">
        <f ca="1">IFERROR(__xludf.DUMMYFUNCTION("IMPORTRANGE(""https://docs.google.com/spreadsheets/d/11923uPwbBZFjjGgGUA6NLw09EwE0CqkOc4q9oUmW1yo/edit?usp=sharing"",""สุโขทัย!J101"")"),0)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IFERROR(__xludf.DUMMYFUNCTION("IMPORTRANGE(""https://docs.google.com/spreadsheets/d/11923uPwbBZFjjGgGUA6NLw09EwE0CqkOc4q9oUmW1yo/edit?usp=sharing"",""สุโขทัย!J106"")"),0)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IFERROR(__xludf.DUMMYFUNCTION("IMPORTRANGE(""https://docs.google.com/spreadsheets/d/11923uPwbBZFjjGgGUA6NLw09EwE0CqkOc4q9oUmW1yo/edit?usp=sharing"",""สุโขทัย!J107"")"),0)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IFERROR(__xludf.DUMMYFUNCTION("IMPORTRANGE(""https://docs.google.com/spreadsheets/d/11923uPwbBZFjjGgGUA6NLw09EwE0CqkOc4q9oUmW1yo/edit?usp=sharing"",""สุโขทัย!J108"")"),0)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IFERROR(__xludf.DUMMYFUNCTION("IMPORTRANGE(""https://docs.google.com/spreadsheets/d/11923uPwbBZFjjGgGUA6NLw09EwE0CqkOc4q9oUmW1yo/edit?usp=sharing"",""สุโขทัย!J109"")"),0)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IFERROR(__xludf.DUMMYFUNCTION("IMPORTRANGE(""https://docs.google.com/spreadsheets/d/11923uPwbBZFjjGgGUA6NLw09EwE0CqkOc4q9oUmW1yo/edit?usp=sharing"",""สุโขทัย!I110"")"),0)</f>
        <v>0</v>
      </c>
      <c r="J185" s="205">
        <f ca="1">IFERROR(__xludf.DUMMYFUNCTION("IMPORTRANGE(""https://docs.google.com/spreadsheets/d/11923uPwbBZFjjGgGUA6NLw09EwE0CqkOc4q9oUmW1yo/edit?usp=sharing"",""สุโขทัย!J110"")"),0)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IFERROR(__xludf.DUMMYFUNCTION("IMPORTRANGE(""https://docs.google.com/spreadsheets/d/11923uPwbBZFjjGgGUA6NLw09EwE0CqkOc4q9oUmW1yo/edit?usp=sharing"",""สุโขทัย!I111"")"),0)</f>
        <v>0</v>
      </c>
      <c r="J186" s="205">
        <f ca="1">IFERROR(__xludf.DUMMYFUNCTION("IMPORTRANGE(""https://docs.google.com/spreadsheets/d/11923uPwbBZFjjGgGUA6NLw09EwE0CqkOc4q9oUmW1yo/edit?usp=sharing"",""สุโขทัย!J111"")"),0)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IFERROR(__xludf.DUMMYFUNCTION("IMPORTRANGE(""https://docs.google.com/spreadsheets/d/11923uPwbBZFjjGgGUA6NLw09EwE0CqkOc4q9oUmW1yo/edit?usp=sharing"",""สุโขทัย!J112"")"),0)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IFERROR(__xludf.DUMMYFUNCTION("IMPORTRANGE(""https://docs.google.com/spreadsheets/d/11923uPwbBZFjjGgGUA6NLw09EwE0CqkOc4q9oUmW1yo/edit?usp=sharing"",""สุโขทัย!J113"")"),0)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IFERROR(__xludf.DUMMYFUNCTION("IMPORTRANGE(""https://docs.google.com/spreadsheets/d/11923uPwbBZFjjGgGUA6NLw09EwE0CqkOc4q9oUmW1yo/edit?usp=sharing"",""สุโขทัย!I114"")"),50000)</f>
        <v>50000</v>
      </c>
      <c r="J189" s="285">
        <f ca="1">IFERROR(__xludf.DUMMYFUNCTION("IMPORTRANGE(""https://docs.google.com/spreadsheets/d/11923uPwbBZFjjGgGUA6NLw09EwE0CqkOc4q9oUmW1yo/edit?usp=sharing"",""สุโขทัย!J114"")"),0)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IFERROR(__xludf.DUMMYFUNCTION("IMPORTRANGE(""https://docs.google.com/spreadsheets/d/11923uPwbBZFjjGgGUA6NLw09EwE0CqkOc4q9oUmW1yo/edit?usp=sharing"",""สุโขทัย!J119"")"),0)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IFERROR(__xludf.DUMMYFUNCTION("IMPORTRANGE(""https://docs.google.com/spreadsheets/d/11923uPwbBZFjjGgGUA6NLw09EwE0CqkOc4q9oUmW1yo/edit?usp=sharing"",""สุโขทัย!J120"")"),1)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IFERROR(__xludf.DUMMYFUNCTION("IMPORTRANGE(""https://docs.google.com/spreadsheets/d/11923uPwbBZFjjGgGUA6NLw09EwE0CqkOc4q9oUmW1yo/edit?usp=sharing"",""สุโขทัย!J121"")"),1)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IFERROR(__xludf.DUMMYFUNCTION("IMPORTRANGE(""https://docs.google.com/spreadsheets/d/11923uPwbBZFjjGgGUA6NLw09EwE0CqkOc4q9oUmW1yo/edit?usp=sharing"",""สุโขทัย!J122"")"),0)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IFERROR(__xludf.DUMMYFUNCTION("IMPORTRANGE(""https://docs.google.com/spreadsheets/d/11923uPwbBZFjjGgGUA6NLw09EwE0CqkOc4q9oUmW1yo/edit?usp=sharing"",""สุโขทัย!I124"")"),50000)</f>
        <v>50000</v>
      </c>
      <c r="J199" s="190">
        <f ca="1">IFERROR(__xludf.DUMMYFUNCTION("IMPORTRANGE(""https://docs.google.com/spreadsheets/d/11923uPwbBZFjjGgGUA6NLw09EwE0CqkOc4q9oUmW1yo/edit?usp=sharing"",""สุโขทัย!J124"")"),0)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IFERROR(__xludf.DUMMYFUNCTION("IMPORTRANGE(""https://docs.google.com/spreadsheets/d/11923uPwbBZFjjGgGUA6NLw09EwE0CqkOc4q9oUmW1yo/edit?usp=sharing"",""สุโขทัย!I125"")"),50000)</f>
        <v>50000</v>
      </c>
      <c r="J200" s="190">
        <f ca="1">IFERROR(__xludf.DUMMYFUNCTION("IMPORTRANGE(""https://docs.google.com/spreadsheets/d/11923uPwbBZFjjGgGUA6NLw09EwE0CqkOc4q9oUmW1yo/edit?usp=sharing"",""สุโขทัย!J125"")"),0)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IFERROR(__xludf.DUMMYFUNCTION("IMPORTRANGE(""https://docs.google.com/spreadsheets/d/11923uPwbBZFjjGgGUA6NLw09EwE0CqkOc4q9oUmW1yo/edit?usp=sharing"",""สุโขทัย!I126"")"),0)</f>
        <v>0</v>
      </c>
      <c r="J201" s="190">
        <f ca="1">IFERROR(__xludf.DUMMYFUNCTION("IMPORTRANGE(""https://docs.google.com/spreadsheets/d/11923uPwbBZFjjGgGUA6NLw09EwE0CqkOc4q9oUmW1yo/edit?usp=sharing"",""สุโขทัย!J126"")"),0)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IFERROR(__xludf.DUMMYFUNCTION("IMPORTRANGE(""https://docs.google.com/spreadsheets/d/11923uPwbBZFjjGgGUA6NLw09EwE0CqkOc4q9oUmW1yo/edit?usp=sharing"",""สุโขทัย!J127"")"),0)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IFERROR(__xludf.DUMMYFUNCTION("IMPORTRANGE(""https://docs.google.com/spreadsheets/d/11923uPwbBZFjjGgGUA6NLw09EwE0CqkOc4q9oUmW1yo/edit?usp=sharing"",""สุโขทัย!J128"")"),0)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IFERROR(__xludf.DUMMYFUNCTION("IMPORTRANGE(""https://docs.google.com/spreadsheets/d/11923uPwbBZFjjGgGUA6NLw09EwE0CqkOc4q9oUmW1yo/edit?usp=sharing"",""สุโขทัย!I129"")"),0)</f>
        <v>0</v>
      </c>
      <c r="J204" s="285">
        <f ca="1">IFERROR(__xludf.DUMMYFUNCTION("IMPORTRANGE(""https://docs.google.com/spreadsheets/d/11923uPwbBZFjjGgGUA6NLw09EwE0CqkOc4q9oUmW1yo/edit?usp=sharing"",""สุโขทัย!J129"")"),0)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IFERROR(__xludf.DUMMYFUNCTION("IMPORTRANGE(""https://docs.google.com/spreadsheets/d/11923uPwbBZFjjGgGUA6NLw09EwE0CqkOc4q9oUmW1yo/edit?usp=sharing"",""สุโขทัย!J134"")"),0)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IFERROR(__xludf.DUMMYFUNCTION("IMPORTRANGE(""https://docs.google.com/spreadsheets/d/11923uPwbBZFjjGgGUA6NLw09EwE0CqkOc4q9oUmW1yo/edit?usp=sharing"",""สุโขทัย!J135"")"),0)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IFERROR(__xludf.DUMMYFUNCTION("IMPORTRANGE(""https://docs.google.com/spreadsheets/d/11923uPwbBZFjjGgGUA6NLw09EwE0CqkOc4q9oUmW1yo/edit?usp=sharing"",""สุโขทัย!J136"")"),0)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IFERROR(__xludf.DUMMYFUNCTION("IMPORTRANGE(""https://docs.google.com/spreadsheets/d/11923uPwbBZFjjGgGUA6NLw09EwE0CqkOc4q9oUmW1yo/edit?usp=sharing"",""สุโขทัย!J137"")"),0)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IFERROR(__xludf.DUMMYFUNCTION("IMPORTRANGE(""https://docs.google.com/spreadsheets/d/11923uPwbBZFjjGgGUA6NLw09EwE0CqkOc4q9oUmW1yo/edit?usp=sharing"",""สุโขทัย!I138"")"),0)</f>
        <v>0</v>
      </c>
      <c r="J213" s="205">
        <f ca="1">IFERROR(__xludf.DUMMYFUNCTION("IMPORTRANGE(""https://docs.google.com/spreadsheets/d/11923uPwbBZFjjGgGUA6NLw09EwE0CqkOc4q9oUmW1yo/edit?usp=sharing"",""สุโขทัย!J138"")"),0)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IFERROR(__xludf.DUMMYFUNCTION("IMPORTRANGE(""https://docs.google.com/spreadsheets/d/11923uPwbBZFjjGgGUA6NLw09EwE0CqkOc4q9oUmW1yo/edit?usp=sharing"",""สุโขทัย!I140"")"),0)</f>
        <v>0</v>
      </c>
      <c r="J215" s="205">
        <f ca="1">IFERROR(__xludf.DUMMYFUNCTION("IMPORTRANGE(""https://docs.google.com/spreadsheets/d/11923uPwbBZFjjGgGUA6NLw09EwE0CqkOc4q9oUmW1yo/edit?usp=sharing"",""สุโขทัย!J140"")"),0)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IFERROR(__xludf.DUMMYFUNCTION("IMPORTRANGE(""https://docs.google.com/spreadsheets/d/11923uPwbBZFjjGgGUA6NLw09EwE0CqkOc4q9oUmW1yo/edit?usp=sharing"",""สุโขทัย!I141"")"),0)</f>
        <v>0</v>
      </c>
      <c r="J216" s="205">
        <f ca="1">IFERROR(__xludf.DUMMYFUNCTION("IMPORTRANGE(""https://docs.google.com/spreadsheets/d/11923uPwbBZFjjGgGUA6NLw09EwE0CqkOc4q9oUmW1yo/edit?usp=sharing"",""สุโขทัย!J141"")"),0)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IFERROR(__xludf.DUMMYFUNCTION("IMPORTRANGE(""https://docs.google.com/spreadsheets/d/11923uPwbBZFjjGgGUA6NLw09EwE0CqkOc4q9oUmW1yo/edit?usp=sharing"",""สุโขทัย!J142"")"),0)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IFERROR(__xludf.DUMMYFUNCTION("IMPORTRANGE(""https://docs.google.com/spreadsheets/d/11923uPwbBZFjjGgGUA6NLw09EwE0CqkOc4q9oUmW1yo/edit?usp=sharing"",""สุโขทัย!J143"")"),0)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IFERROR(__xludf.DUMMYFUNCTION("IMPORTRANGE(""https://docs.google.com/spreadsheets/d/11923uPwbBZFjjGgGUA6NLw09EwE0CqkOc4q9oUmW1yo/edit?usp=sharing"",""สุโขทัย!I144"")"),13)</f>
        <v>13</v>
      </c>
      <c r="J219" s="268">
        <f ca="1">IFERROR(__xludf.DUMMYFUNCTION("IMPORTRANGE(""https://docs.google.com/spreadsheets/d/11923uPwbBZFjjGgGUA6NLw09EwE0CqkOc4q9oUmW1yo/edit?usp=sharing"",""สุโขทัย!J144"")"),13)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19295</v>
      </c>
      <c r="M220" s="154">
        <f t="shared" ca="1" si="72"/>
        <v>19295</v>
      </c>
      <c r="N220" s="154">
        <f t="shared" ca="1" si="72"/>
        <v>17775</v>
      </c>
      <c r="O220" s="153">
        <f t="shared" ref="O220:O222" ca="1" si="73">IF(L220&gt;0,N220*100/L220,0)</f>
        <v>92.122311479657938</v>
      </c>
      <c r="P220" s="153">
        <f t="shared" ref="P220:P222" ca="1" si="74">IF(M220&gt;0,N220*100/M220,0)</f>
        <v>92.122311479657938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19295</v>
      </c>
      <c r="M222" s="90">
        <f t="shared" ca="1" si="76"/>
        <v>19295</v>
      </c>
      <c r="N222" s="90">
        <f t="shared" ca="1" si="76"/>
        <v>17775</v>
      </c>
      <c r="O222" s="158">
        <f t="shared" ca="1" si="73"/>
        <v>92.122311479657938</v>
      </c>
      <c r="P222" s="158">
        <f t="shared" ca="1" si="74"/>
        <v>92.122311479657938</v>
      </c>
    </row>
    <row r="223" spans="1:16" ht="21.75" customHeight="1">
      <c r="A223" s="159"/>
      <c r="B223" s="160"/>
      <c r="C223" s="160" t="s">
        <v>16</v>
      </c>
      <c r="D223" s="570" t="s">
        <v>20</v>
      </c>
      <c r="E223" s="565"/>
      <c r="F223" s="565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19295</v>
      </c>
      <c r="M224" s="169">
        <f ca="1">IFERROR(__xludf.DUMMYFUNCTION("IMPORTRANGE(""https://docs.google.com/spreadsheets/d/1Yj_ptqi66GCucihVvJfMjLAmec39IyEx_6qawtMGysU/edit?usp=sharing"",""สบก!BS34"")"),19295)</f>
        <v>19295</v>
      </c>
      <c r="N224" s="170">
        <f ca="1">IFERROR(__xludf.DUMMYFUNCTION("IMPORTRANGE(""https://docs.google.com/spreadsheets/d/1Yj_ptqi66GCucihVvJfMjLAmec39IyEx_6qawtMGysU/edit?usp=sharing"",""สบก!BT34"")"),17775)</f>
        <v>17775</v>
      </c>
      <c r="O224" s="170">
        <f ca="1">IF(L224&gt;0,N224*100/L224,0)</f>
        <v>92.122311479657938</v>
      </c>
      <c r="P224" s="170">
        <f ca="1">IF(M224&gt;0,N224*100/M224,0)</f>
        <v>92.122311479657938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IFERROR(__xludf.DUMMYFUNCTION("IMPORTRANGE(""https://docs.google.com/spreadsheets/d/1Yj_ptqi66GCucihVvJfMjLAmec39IyEx_6qawtMGysU/edit?usp=sharing"",""สบก!BO34"")"),0)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IFERROR(__xludf.DUMMYFUNCTION("IMPORTRANGE(""https://docs.google.com/spreadsheets/d/1Yj_ptqi66GCucihVvJfMjLAmec39IyEx_6qawtMGysU/edit?usp=sharing"",""สบก!BP34"")"),19295)</f>
        <v>19295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IFERROR(__xludf.DUMMYFUNCTION("IMPORTRANGE(""https://docs.google.com/spreadsheets/d/1Yj_ptqi66GCucihVvJfMjLAmec39IyEx_6qawtMGysU/edit?usp=sharing"",""สบก!BQ34"")"),0)</f>
        <v>0</v>
      </c>
      <c r="M228" s="52"/>
      <c r="N228" s="52">
        <f ca="1">IFERROR(__xludf.DUMMYFUNCTION("IMPORTRANGE(""https://docs.google.com/spreadsheets/d/1Yj_ptqi66GCucihVvJfMjLAmec39IyEx_6qawtMGysU/edit?usp=sharing"",""สบก!BU34"")"),0)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IFERROR(__xludf.DUMMYFUNCTION("IMPORTRANGE(""https://docs.google.com/spreadsheets/d/11923uPwbBZFjjGgGUA6NLw09EwE0CqkOc4q9oUmW1yo/edit?usp=sharing"",""สุโขทัย!I149"")"),13)</f>
        <v>13</v>
      </c>
      <c r="J229" s="268">
        <f ca="1">IFERROR(__xludf.DUMMYFUNCTION("IMPORTRANGE(""https://docs.google.com/spreadsheets/d/11923uPwbBZFjjGgGUA6NLw09EwE0CqkOc4q9oUmW1yo/edit?usp=sharing"",""สุโขทัย!J149"")"),13)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IFERROR(__xludf.DUMMYFUNCTION("IMPORTRANGE(""https://docs.google.com/spreadsheets/d/11923uPwbBZFjjGgGUA6NLw09EwE0CqkOc4q9oUmW1yo/edit?usp=sharing"",""สุโขทัย!J151"")"),0)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IFERROR(__xludf.DUMMYFUNCTION("IMPORTRANGE(""https://docs.google.com/spreadsheets/d/11923uPwbBZFjjGgGUA6NLw09EwE0CqkOc4q9oUmW1yo/edit?usp=sharing"",""สุโขทัย!J152"")"),1)</f>
        <v>1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IFERROR(__xludf.DUMMYFUNCTION("IMPORTRANGE(""https://docs.google.com/spreadsheets/d/11923uPwbBZFjjGgGUA6NLw09EwE0CqkOc4q9oUmW1yo/edit?usp=sharing"",""สุโขทัย!J153"")"),1)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IFERROR(__xludf.DUMMYFUNCTION("IMPORTRANGE(""https://docs.google.com/spreadsheets/d/11923uPwbBZFjjGgGUA6NLw09EwE0CqkOc4q9oUmW1yo/edit?usp=sharing"",""สุโขทัย!J154"")"),1)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IFERROR(__xludf.DUMMYFUNCTION("IMPORTRANGE(""https://docs.google.com/spreadsheets/d/11923uPwbBZFjjGgGUA6NLw09EwE0CqkOc4q9oUmW1yo/edit?usp=sharing"",""สุโขทัย!I155"")"),13)</f>
        <v>13</v>
      </c>
      <c r="J235" s="190">
        <f ca="1">IFERROR(__xludf.DUMMYFUNCTION("IMPORTRANGE(""https://docs.google.com/spreadsheets/d/11923uPwbBZFjjGgGUA6NLw09EwE0CqkOc4q9oUmW1yo/edit?usp=sharing"",""สุโขทัย!J155"")"),13)</f>
        <v>13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IFERROR(__xludf.DUMMYFUNCTION("IMPORTRANGE(""https://docs.google.com/spreadsheets/d/11923uPwbBZFjjGgGUA6NLw09EwE0CqkOc4q9oUmW1yo/edit?usp=sharing"",""สุโขทัย!J156"")"),0)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IFERROR(__xludf.DUMMYFUNCTION("IMPORTRANGE(""https://docs.google.com/spreadsheets/d/11923uPwbBZFjjGgGUA6NLw09EwE0CqkOc4q9oUmW1yo/edit?usp=sharing"",""สุโขทัย!J157"")"),0)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IFERROR(__xludf.DUMMYFUNCTION("IMPORTRANGE(""https://docs.google.com/spreadsheets/d/11923uPwbBZFjjGgGUA6NLw09EwE0CqkOc4q9oUmW1yo/edit?usp=sharing"",""สุโขทัย!I158"")"),0)</f>
        <v>0</v>
      </c>
      <c r="J238" s="268">
        <f ca="1">IFERROR(__xludf.DUMMYFUNCTION("IMPORTRANGE(""https://docs.google.com/spreadsheets/d/11923uPwbBZFjjGgGUA6NLw09EwE0CqkOc4q9oUmW1yo/edit?usp=sharing"",""สุโขทัย!J158"")"),0)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IFERROR(__xludf.DUMMYFUNCTION("IMPORTRANGE(""https://docs.google.com/spreadsheets/d/11923uPwbBZFjjGgGUA6NLw09EwE0CqkOc4q9oUmW1yo/edit?usp=sharing"",""สุโขทัย!J159"")"),"")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IFERROR(__xludf.DUMMYFUNCTION("IMPORTRANGE(""https://docs.google.com/spreadsheets/d/11923uPwbBZFjjGgGUA6NLw09EwE0CqkOc4q9oUmW1yo/edit?usp=sharing"",""สุโขทัย!J161"")"),0)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IFERROR(__xludf.DUMMYFUNCTION("IMPORTRANGE(""https://docs.google.com/spreadsheets/d/11923uPwbBZFjjGgGUA6NLw09EwE0CqkOc4q9oUmW1yo/edit?usp=sharing"",""สุโขทัย!J162"")"),0)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IFERROR(__xludf.DUMMYFUNCTION("IMPORTRANGE(""https://docs.google.com/spreadsheets/d/11923uPwbBZFjjGgGUA6NLw09EwE0CqkOc4q9oUmW1yo/edit?usp=sharing"",""สุโขทัย!J163"")"),0)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IFERROR(__xludf.DUMMYFUNCTION("IMPORTRANGE(""https://docs.google.com/spreadsheets/d/11923uPwbBZFjjGgGUA6NLw09EwE0CqkOc4q9oUmW1yo/edit?usp=sharing"",""สุโขทัย!I164"")"),0)</f>
        <v>0</v>
      </c>
      <c r="J244" s="189">
        <f ca="1">IFERROR(__xludf.DUMMYFUNCTION("IMPORTRANGE(""https://docs.google.com/spreadsheets/d/11923uPwbBZFjjGgGUA6NLw09EwE0CqkOc4q9oUmW1yo/edit?usp=sharing"",""สุโขทัย!J164"")"),0)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IFERROR(__xludf.DUMMYFUNCTION("IMPORTRANGE(""https://docs.google.com/spreadsheets/d/11923uPwbBZFjjGgGUA6NLw09EwE0CqkOc4q9oUmW1yo/edit?usp=sharing"",""สุโขทัย!J165"")"),0)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IFERROR(__xludf.DUMMYFUNCTION("IMPORTRANGE(""https://docs.google.com/spreadsheets/d/11923uPwbBZFjjGgGUA6NLw09EwE0CqkOc4q9oUmW1yo/edit?usp=sharing"",""สุโขทัย!J166"")"),0)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IFERROR(__xludf.DUMMYFUNCTION("IMPORTRANGE(""https://docs.google.com/spreadsheets/d/11923uPwbBZFjjGgGUA6NLw09EwE0CqkOc4q9oUmW1yo/edit?usp=sharing"",""สุโขทัย!I169"")"),0)</f>
        <v>0</v>
      </c>
      <c r="J249" s="317">
        <f ca="1">IFERROR(__xludf.DUMMYFUNCTION("IMPORTRANGE(""https://docs.google.com/spreadsheets/d/11923uPwbBZFjjGgGUA6NLw09EwE0CqkOc4q9oUmW1yo/edit?usp=sharing"",""สุโขทัย!J169"")"),0)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0</v>
      </c>
      <c r="M252" s="90">
        <f t="shared" ca="1" si="81"/>
        <v>0</v>
      </c>
      <c r="N252" s="90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59"/>
      <c r="B253" s="160"/>
      <c r="C253" s="160" t="s">
        <v>16</v>
      </c>
      <c r="D253" s="570" t="s">
        <v>20</v>
      </c>
      <c r="E253" s="565"/>
      <c r="F253" s="565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IFERROR(__xludf.DUMMYFUNCTION("IMPORTRANGE(""https://docs.google.com/spreadsheets/d/1Yj_ptqi66GCucihVvJfMjLAmec39IyEx_6qawtMGysU/edit?usp=sharing"",""สบก!CB34"")"),0)</f>
        <v>0</v>
      </c>
      <c r="N254" s="170">
        <f ca="1">IFERROR(__xludf.DUMMYFUNCTION("IMPORTRANGE(""https://docs.google.com/spreadsheets/d/1Yj_ptqi66GCucihVvJfMjLAmec39IyEx_6qawtMGysU/edit?usp=sharing"",""สบก!CC34"")"),0)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IFERROR(__xludf.DUMMYFUNCTION("IMPORTRANGE(""https://docs.google.com/spreadsheets/d/1Yj_ptqi66GCucihVvJfMjLAmec39IyEx_6qawtMGysU/edit?usp=sharing"",""สบก!BX34"")"),0)</f>
        <v>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IFERROR(__xludf.DUMMYFUNCTION("IMPORTRANGE(""https://docs.google.com/spreadsheets/d/1Yj_ptqi66GCucihVvJfMjLAmec39IyEx_6qawtMGysU/edit?usp=sharing"",""สบก!BY34"")"),0)</f>
        <v>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IFERROR(__xludf.DUMMYFUNCTION("IMPORTRANGE(""https://docs.google.com/spreadsheets/d/1Yj_ptqi66GCucihVvJfMjLAmec39IyEx_6qawtMGysU/edit?usp=sharing"",""สบก!BZ34"")"),0)</f>
        <v>0</v>
      </c>
      <c r="M258" s="52"/>
      <c r="N258" s="52">
        <f ca="1">IFERROR(__xludf.DUMMYFUNCTION("IMPORTRANGE(""https://docs.google.com/spreadsheets/d/1Yj_ptqi66GCucihVvJfMjLAmec39IyEx_6qawtMGysU/edit?usp=sharing"",""สบก!CD34"")"),0)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IFERROR(__xludf.DUMMYFUNCTION("IMPORTRANGE(""https://docs.google.com/spreadsheets/d/11923uPwbBZFjjGgGUA6NLw09EwE0CqkOc4q9oUmW1yo/edit?usp=sharing"",""สุโขทัย!J175"")"),0)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IFERROR(__xludf.DUMMYFUNCTION("IMPORTRANGE(""https://docs.google.com/spreadsheets/d/11923uPwbBZFjjGgGUA6NLw09EwE0CqkOc4q9oUmW1yo/edit?usp=sharing"",""สุโขทัย!J176"")"),0)</f>
        <v>0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IFERROR(__xludf.DUMMYFUNCTION("IMPORTRANGE(""https://docs.google.com/spreadsheets/d/11923uPwbBZFjjGgGUA6NLw09EwE0CqkOc4q9oUmW1yo/edit?usp=sharing"",""สุโขทัย!J177"")"),0)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IFERROR(__xludf.DUMMYFUNCTION("IMPORTRANGE(""https://docs.google.com/spreadsheets/d/11923uPwbBZFjjGgGUA6NLw09EwE0CqkOc4q9oUmW1yo/edit?usp=sharing"",""สุโขทัย!J178"")"),0)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IFERROR(__xludf.DUMMYFUNCTION("IMPORTRANGE(""https://docs.google.com/spreadsheets/d/11923uPwbBZFjjGgGUA6NLw09EwE0CqkOc4q9oUmW1yo/edit?usp=sharing"",""สุโขทัย!I179"")"),0)</f>
        <v>0</v>
      </c>
      <c r="J264" s="190">
        <f ca="1">IFERROR(__xludf.DUMMYFUNCTION("IMPORTRANGE(""https://docs.google.com/spreadsheets/d/11923uPwbBZFjjGgGUA6NLw09EwE0CqkOc4q9oUmW1yo/edit?usp=sharing"",""สุโขทัย!J179"")"),0)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IFERROR(__xludf.DUMMYFUNCTION("IMPORTRANGE(""https://docs.google.com/spreadsheets/d/11923uPwbBZFjjGgGUA6NLw09EwE0CqkOc4q9oUmW1yo/edit?usp=sharing"",""สุโขทัย!I180"")"),0)</f>
        <v>0</v>
      </c>
      <c r="J265" s="190">
        <f ca="1">IFERROR(__xludf.DUMMYFUNCTION("IMPORTRANGE(""https://docs.google.com/spreadsheets/d/11923uPwbBZFjjGgGUA6NLw09EwE0CqkOc4q9oUmW1yo/edit?usp=sharing"",""สุโขทัย!J180"")"),0)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IFERROR(__xludf.DUMMYFUNCTION("IMPORTRANGE(""https://docs.google.com/spreadsheets/d/11923uPwbBZFjjGgGUA6NLw09EwE0CqkOc4q9oUmW1yo/edit?usp=sharing"",""สุโขทัย!I181"")"),0)</f>
        <v>0</v>
      </c>
      <c r="J266" s="190">
        <f ca="1">IFERROR(__xludf.DUMMYFUNCTION("IMPORTRANGE(""https://docs.google.com/spreadsheets/d/11923uPwbBZFjjGgGUA6NLw09EwE0CqkOc4q9oUmW1yo/edit?usp=sharing"",""สุโขทัย!J181"")"),0)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IFERROR(__xludf.DUMMYFUNCTION("IMPORTRANGE(""https://docs.google.com/spreadsheets/d/11923uPwbBZFjjGgGUA6NLw09EwE0CqkOc4q9oUmW1yo/edit?usp=sharing"",""สุโขทัย!I182"")"),0)</f>
        <v>0</v>
      </c>
      <c r="J267" s="190">
        <f ca="1">IFERROR(__xludf.DUMMYFUNCTION("IMPORTRANGE(""https://docs.google.com/spreadsheets/d/11923uPwbBZFjjGgGUA6NLw09EwE0CqkOc4q9oUmW1yo/edit?usp=sharing"",""สุโขทัย!J182"")"),0)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IFERROR(__xludf.DUMMYFUNCTION("IMPORTRANGE(""https://docs.google.com/spreadsheets/d/11923uPwbBZFjjGgGUA6NLw09EwE0CqkOc4q9oUmW1yo/edit?usp=sharing"",""สุโขทัย!J183"")"),0)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IFERROR(__xludf.DUMMYFUNCTION("IMPORTRANGE(""https://docs.google.com/spreadsheets/d/11923uPwbBZFjjGgGUA6NLw09EwE0CqkOc4q9oUmW1yo/edit?usp=sharing"",""สุโขทัย!J184"")"),0)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IFERROR(__xludf.DUMMYFUNCTION("IMPORTRANGE(""https://docs.google.com/spreadsheets/d/11923uPwbBZFjjGgGUA6NLw09EwE0CqkOc4q9oUmW1yo/edit?usp=sharing"",""สุโขทัย!I185"")"),15)</f>
        <v>15</v>
      </c>
      <c r="J270" s="317">
        <f ca="1">IFERROR(__xludf.DUMMYFUNCTION("IMPORTRANGE(""https://docs.google.com/spreadsheets/d/11923uPwbBZFjjGgGUA6NLw09EwE0CqkOc4q9oUmW1yo/edit?usp=sharing"",""สุโขทัย!J185"")"),15)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237700</v>
      </c>
      <c r="M271" s="154">
        <f t="shared" ca="1" si="83"/>
        <v>179000</v>
      </c>
      <c r="N271" s="154">
        <f t="shared" ca="1" si="83"/>
        <v>122115.48</v>
      </c>
      <c r="O271" s="153">
        <f t="shared" ref="O271:O273" ca="1" si="84">IF(L271&gt;0,N271*100/L271,0)</f>
        <v>51.373782078249896</v>
      </c>
      <c r="P271" s="153">
        <f t="shared" ref="P271:P273" ca="1" si="85">IF(M271&gt;0,N271*100/M271,0)</f>
        <v>68.220938547486028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237700</v>
      </c>
      <c r="M273" s="90">
        <f t="shared" ca="1" si="87"/>
        <v>179000</v>
      </c>
      <c r="N273" s="90">
        <f t="shared" ca="1" si="87"/>
        <v>122115.48</v>
      </c>
      <c r="O273" s="158">
        <f t="shared" ca="1" si="84"/>
        <v>51.373782078249896</v>
      </c>
      <c r="P273" s="158">
        <f t="shared" ca="1" si="85"/>
        <v>68.220938547486028</v>
      </c>
    </row>
    <row r="274" spans="1:16" ht="21.75" customHeight="1">
      <c r="A274" s="159"/>
      <c r="B274" s="160"/>
      <c r="C274" s="160" t="s">
        <v>16</v>
      </c>
      <c r="D274" s="570" t="s">
        <v>20</v>
      </c>
      <c r="E274" s="565"/>
      <c r="F274" s="565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237700</v>
      </c>
      <c r="M275" s="169">
        <f ca="1">IFERROR(__xludf.DUMMYFUNCTION("IMPORTRANGE(""https://docs.google.com/spreadsheets/d/1Yj_ptqi66GCucihVvJfMjLAmec39IyEx_6qawtMGysU/edit?usp=sharing"",""สบก!CK34"")"),179000)</f>
        <v>179000</v>
      </c>
      <c r="N275" s="170">
        <f ca="1">IFERROR(__xludf.DUMMYFUNCTION("IMPORTRANGE(""https://docs.google.com/spreadsheets/d/1Yj_ptqi66GCucihVvJfMjLAmec39IyEx_6qawtMGysU/edit?usp=sharing"",""สบก!CL34"")"),122115.48)</f>
        <v>122115.48</v>
      </c>
      <c r="O275" s="170">
        <f ca="1">IF(L275&gt;0,N275*100/L275,0)</f>
        <v>51.373782078249896</v>
      </c>
      <c r="P275" s="170">
        <f ca="1">IF(M275&gt;0,N275*100/M275,0)</f>
        <v>68.220938547486028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IFERROR(__xludf.DUMMYFUNCTION("IMPORTRANGE(""https://docs.google.com/spreadsheets/d/1Yj_ptqi66GCucihVvJfMjLAmec39IyEx_6qawtMGysU/edit?usp=sharing"",""สบก!CG34"")"),132000)</f>
        <v>132000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IFERROR(__xludf.DUMMYFUNCTION("IMPORTRANGE(""https://docs.google.com/spreadsheets/d/1Yj_ptqi66GCucihVvJfMjLAmec39IyEx_6qawtMGysU/edit?usp=sharing"",""สบก!CH34"")"),105700)</f>
        <v>105700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IFERROR(__xludf.DUMMYFUNCTION("IMPORTRANGE(""https://docs.google.com/spreadsheets/d/1Yj_ptqi66GCucihVvJfMjLAmec39IyEx_6qawtMGysU/edit?usp=sharing"",""สบก!CI34"")"),0)</f>
        <v>0</v>
      </c>
      <c r="M279" s="52"/>
      <c r="N279" s="52">
        <f ca="1">IFERROR(__xludf.DUMMYFUNCTION("IMPORTRANGE(""https://docs.google.com/spreadsheets/d/1Yj_ptqi66GCucihVvJfMjLAmec39IyEx_6qawtMGysU/edit?usp=sharing"",""สบก!CM34"")"),0)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IFERROR(__xludf.DUMMYFUNCTION("IMPORTRANGE(""https://docs.google.com/spreadsheets/d/11923uPwbBZFjjGgGUA6NLw09EwE0CqkOc4q9oUmW1yo/edit?usp=sharing"",""สุโขทัย!J191"")"),0)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IFERROR(__xludf.DUMMYFUNCTION("IMPORTRANGE(""https://docs.google.com/spreadsheets/d/11923uPwbBZFjjGgGUA6NLw09EwE0CqkOc4q9oUmW1yo/edit?usp=sharing"",""สุโขทัย!J192"")"),1)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IFERROR(__xludf.DUMMYFUNCTION("IMPORTRANGE(""https://docs.google.com/spreadsheets/d/11923uPwbBZFjjGgGUA6NLw09EwE0CqkOc4q9oUmW1yo/edit?usp=sharing"",""สุโขทัย!J193"")"),1)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IFERROR(__xludf.DUMMYFUNCTION("IMPORTRANGE(""https://docs.google.com/spreadsheets/d/11923uPwbBZFjjGgGUA6NLw09EwE0CqkOc4q9oUmW1yo/edit?usp=sharing"",""สุโขทัย!J194"")"),1)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IFERROR(__xludf.DUMMYFUNCTION("IMPORTRANGE(""https://docs.google.com/spreadsheets/d/11923uPwbBZFjjGgGUA6NLw09EwE0CqkOc4q9oUmW1yo/edit?usp=sharing"",""สุโขทัย!I195"")"),15)</f>
        <v>15</v>
      </c>
      <c r="J285" s="190">
        <f ca="1">IFERROR(__xludf.DUMMYFUNCTION("IMPORTRANGE(""https://docs.google.com/spreadsheets/d/11923uPwbBZFjjGgGUA6NLw09EwE0CqkOc4q9oUmW1yo/edit?usp=sharing"",""สุโขทัย!J195"")"),15)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IFERROR(__xludf.DUMMYFUNCTION("IMPORTRANGE(""https://docs.google.com/spreadsheets/d/11923uPwbBZFjjGgGUA6NLw09EwE0CqkOc4q9oUmW1yo/edit?usp=sharing"",""สุโขทัย!J196"")"),0)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IFERROR(__xludf.DUMMYFUNCTION("IMPORTRANGE(""https://docs.google.com/spreadsheets/d/11923uPwbBZFjjGgGUA6NLw09EwE0CqkOc4q9oUmW1yo/edit?usp=sharing"",""สุโขทัย!J197"")"),0)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IFERROR(__xludf.DUMMYFUNCTION("IMPORTRANGE(""https://docs.google.com/spreadsheets/d/11923uPwbBZFjjGgGUA6NLw09EwE0CqkOc4q9oUmW1yo/edit?usp=sharing"",""สุโขทัย!I199"")"),0)</f>
        <v>0</v>
      </c>
      <c r="J289" s="317">
        <f ca="1">IFERROR(__xludf.DUMMYFUNCTION("IMPORTRANGE(""https://docs.google.com/spreadsheets/d/11923uPwbBZFjjGgGUA6NLw09EwE0CqkOc4q9oUmW1yo/edit?usp=sharing"",""สุโขทัย!J199"")"),0)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0</v>
      </c>
      <c r="M292" s="90">
        <f t="shared" ca="1" si="92"/>
        <v>0</v>
      </c>
      <c r="N292" s="90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59"/>
      <c r="B293" s="160"/>
      <c r="C293" s="160" t="s">
        <v>16</v>
      </c>
      <c r="D293" s="570" t="s">
        <v>20</v>
      </c>
      <c r="E293" s="565"/>
      <c r="F293" s="565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IFERROR(__xludf.DUMMYFUNCTION("IMPORTRANGE(""https://docs.google.com/spreadsheets/d/1Yj_ptqi66GCucihVvJfMjLAmec39IyEx_6qawtMGysU/edit?usp=sharing"",""สบก!CT34"")"),0)</f>
        <v>0</v>
      </c>
      <c r="N294" s="170">
        <f ca="1">IFERROR(__xludf.DUMMYFUNCTION("IMPORTRANGE(""https://docs.google.com/spreadsheets/d/1Yj_ptqi66GCucihVvJfMjLAmec39IyEx_6qawtMGysU/edit?usp=sharing"",""สบก!CU34"")"),0)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IFERROR(__xludf.DUMMYFUNCTION("IMPORTRANGE(""https://docs.google.com/spreadsheets/d/1Yj_ptqi66GCucihVvJfMjLAmec39IyEx_6qawtMGysU/edit?usp=sharing"",""สบก!CP34"")"),0)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IFERROR(__xludf.DUMMYFUNCTION("IMPORTRANGE(""https://docs.google.com/spreadsheets/d/1Yj_ptqi66GCucihVvJfMjLAmec39IyEx_6qawtMGysU/edit?usp=sharing"",""สบก!CQ34"")"),0)</f>
        <v>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IFERROR(__xludf.DUMMYFUNCTION("IMPORTRANGE(""https://docs.google.com/spreadsheets/d/1Yj_ptqi66GCucihVvJfMjLAmec39IyEx_6qawtMGysU/edit?usp=sharing"",""สบก!CR34"")"),0)</f>
        <v>0</v>
      </c>
      <c r="M298" s="52"/>
      <c r="N298" s="52">
        <f ca="1">IFERROR(__xludf.DUMMYFUNCTION("IMPORTRANGE(""https://docs.google.com/spreadsheets/d/1Yj_ptqi66GCucihVvJfMjLAmec39IyEx_6qawtMGysU/edit?usp=sharing"",""สบก!CV34"")"),0)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IFERROR(__xludf.DUMMYFUNCTION("IMPORTRANGE(""https://docs.google.com/spreadsheets/d/11923uPwbBZFjjGgGUA6NLw09EwE0CqkOc4q9oUmW1yo/edit?usp=sharing"",""สุโขทัย!J205"")"),0)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IFERROR(__xludf.DUMMYFUNCTION("IMPORTRANGE(""https://docs.google.com/spreadsheets/d/11923uPwbBZFjjGgGUA6NLw09EwE0CqkOc4q9oUmW1yo/edit?usp=sharing"",""สุโขทัย!J206"")"),0)</f>
        <v>0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IFERROR(__xludf.DUMMYFUNCTION("IMPORTRANGE(""https://docs.google.com/spreadsheets/d/11923uPwbBZFjjGgGUA6NLw09EwE0CqkOc4q9oUmW1yo/edit?usp=sharing"",""สุโขทัย!J207"")"),0)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IFERROR(__xludf.DUMMYFUNCTION("IMPORTRANGE(""https://docs.google.com/spreadsheets/d/11923uPwbBZFjjGgGUA6NLw09EwE0CqkOc4q9oUmW1yo/edit?usp=sharing"",""สุโขทัย!J208"")"),0)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IFERROR(__xludf.DUMMYFUNCTION("IMPORTRANGE(""https://docs.google.com/spreadsheets/d/11923uPwbBZFjjGgGUA6NLw09EwE0CqkOc4q9oUmW1yo/edit?usp=sharing"",""สุโขทัย!I209"")"),0)</f>
        <v>0</v>
      </c>
      <c r="J304" s="205">
        <f ca="1">IFERROR(__xludf.DUMMYFUNCTION("IMPORTRANGE(""https://docs.google.com/spreadsheets/d/11923uPwbBZFjjGgGUA6NLw09EwE0CqkOc4q9oUmW1yo/edit?usp=sharing"",""สุโขทัย!J209"")"),0)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IFERROR(__xludf.DUMMYFUNCTION("IMPORTRANGE(""https://docs.google.com/spreadsheets/d/11923uPwbBZFjjGgGUA6NLw09EwE0CqkOc4q9oUmW1yo/edit?usp=sharing"",""สุโขทัย!I211"")"),0)</f>
        <v>0</v>
      </c>
      <c r="J306" s="205">
        <f ca="1">IFERROR(__xludf.DUMMYFUNCTION("IMPORTRANGE(""https://docs.google.com/spreadsheets/d/11923uPwbBZFjjGgGUA6NLw09EwE0CqkOc4q9oUmW1yo/edit?usp=sharing"",""สุโขทัย!J211"")"),0)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IFERROR(__xludf.DUMMYFUNCTION("IMPORTRANGE(""https://docs.google.com/spreadsheets/d/11923uPwbBZFjjGgGUA6NLw09EwE0CqkOc4q9oUmW1yo/edit?usp=sharing"",""สุโขทัย!J212"")"),0)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IFERROR(__xludf.DUMMYFUNCTION("IMPORTRANGE(""https://docs.google.com/spreadsheets/d/11923uPwbBZFjjGgGUA6NLw09EwE0CqkOc4q9oUmW1yo/edit?usp=sharing"",""สุโขทัย!J213"")"),0)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IFERROR(__xludf.DUMMYFUNCTION("IMPORTRANGE(""https://docs.google.com/spreadsheets/d/11923uPwbBZFjjGgGUA6NLw09EwE0CqkOc4q9oUmW1yo/edit?usp=sharing"",""สุโขทัย!I214"")"),0)</f>
        <v>0</v>
      </c>
      <c r="J309" s="334">
        <f ca="1">IFERROR(__xludf.DUMMYFUNCTION("IMPORTRANGE(""https://docs.google.com/spreadsheets/d/11923uPwbBZFjjGgGUA6NLw09EwE0CqkOc4q9oUmW1yo/edit?usp=sharing"",""สุโขทัย!J214"")"),0)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0</v>
      </c>
      <c r="M312" s="90">
        <f t="shared" ca="1" si="97"/>
        <v>0</v>
      </c>
      <c r="N312" s="90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59"/>
      <c r="B313" s="160"/>
      <c r="C313" s="160" t="s">
        <v>16</v>
      </c>
      <c r="D313" s="570" t="s">
        <v>20</v>
      </c>
      <c r="E313" s="565"/>
      <c r="F313" s="565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IFERROR(__xludf.DUMMYFUNCTION("IMPORTRANGE(""https://docs.google.com/spreadsheets/d/1Yj_ptqi66GCucihVvJfMjLAmec39IyEx_6qawtMGysU/edit?usp=sharing"",""สบก!DC34"")"),0)</f>
        <v>0</v>
      </c>
      <c r="N314" s="170">
        <f ca="1">IFERROR(__xludf.DUMMYFUNCTION("IMPORTRANGE(""https://docs.google.com/spreadsheets/d/1Yj_ptqi66GCucihVvJfMjLAmec39IyEx_6qawtMGysU/edit?usp=sharing"",""สบก!DD34"")"),0)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IFERROR(__xludf.DUMMYFUNCTION("IMPORTRANGE(""https://docs.google.com/spreadsheets/d/1Yj_ptqi66GCucihVvJfMjLAmec39IyEx_6qawtMGysU/edit?usp=sharing"",""สบก!CY34"")"),0)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IFERROR(__xludf.DUMMYFUNCTION("IMPORTRANGE(""https://docs.google.com/spreadsheets/d/1Yj_ptqi66GCucihVvJfMjLAmec39IyEx_6qawtMGysU/edit?usp=sharing"",""สบก!CZ34"")"),0)</f>
        <v>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IFERROR(__xludf.DUMMYFUNCTION("IMPORTRANGE(""https://docs.google.com/spreadsheets/d/1Yj_ptqi66GCucihVvJfMjLAmec39IyEx_6qawtMGysU/edit?usp=sharing"",""สบก!DA34"")"),0)</f>
        <v>0</v>
      </c>
      <c r="M318" s="52"/>
      <c r="N318" s="52">
        <f ca="1">IFERROR(__xludf.DUMMYFUNCTION("IMPORTRANGE(""https://docs.google.com/spreadsheets/d/1Yj_ptqi66GCucihVvJfMjLAmec39IyEx_6qawtMGysU/edit?usp=sharing"",""สบก!DE34"")"),0)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IFERROR(__xludf.DUMMYFUNCTION("IMPORTRANGE(""https://docs.google.com/spreadsheets/d/11923uPwbBZFjjGgGUA6NLw09EwE0CqkOc4q9oUmW1yo/edit?usp=sharing"",""สุโขทัย!J220"")"),0)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IFERROR(__xludf.DUMMYFUNCTION("IMPORTRANGE(""https://docs.google.com/spreadsheets/d/11923uPwbBZFjjGgGUA6NLw09EwE0CqkOc4q9oUmW1yo/edit?usp=sharing"",""สุโขทัย!J221"")"),0)</f>
        <v>0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IFERROR(__xludf.DUMMYFUNCTION("IMPORTRANGE(""https://docs.google.com/spreadsheets/d/11923uPwbBZFjjGgGUA6NLw09EwE0CqkOc4q9oUmW1yo/edit?usp=sharing"",""สุโขทัย!J222"")"),0)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IFERROR(__xludf.DUMMYFUNCTION("IMPORTRANGE(""https://docs.google.com/spreadsheets/d/11923uPwbBZFjjGgGUA6NLw09EwE0CqkOc4q9oUmW1yo/edit?usp=sharing"",""สุโขทัย!J223"")"),0)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IFERROR(__xludf.DUMMYFUNCTION("IMPORTRANGE(""https://docs.google.com/spreadsheets/d/11923uPwbBZFjjGgGUA6NLw09EwE0CqkOc4q9oUmW1yo/edit?usp=sharing"",""สุโขทัย!I224"")"),0)</f>
        <v>0</v>
      </c>
      <c r="J324" s="205">
        <f ca="1">IFERROR(__xludf.DUMMYFUNCTION("IMPORTRANGE(""https://docs.google.com/spreadsheets/d/11923uPwbBZFjjGgGUA6NLw09EwE0CqkOc4q9oUmW1yo/edit?usp=sharing"",""สุโขทัย!J224"")"),0)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IFERROR(__xludf.DUMMYFUNCTION("IMPORTRANGE(""https://docs.google.com/spreadsheets/d/11923uPwbBZFjjGgGUA6NLw09EwE0CqkOc4q9oUmW1yo/edit?usp=sharing"",""สุโขทัย!J225"")"),0)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IFERROR(__xludf.DUMMYFUNCTION("IMPORTRANGE(""https://docs.google.com/spreadsheets/d/11923uPwbBZFjjGgGUA6NLw09EwE0CqkOc4q9oUmW1yo/edit?usp=sharing"",""สุโขทัย!J226"")"),0)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IFERROR(__xludf.DUMMYFUNCTION("IMPORTRANGE(""https://docs.google.com/spreadsheets/d/11923uPwbBZFjjGgGUA6NLw09EwE0CqkOc4q9oUmW1yo/edit?usp=sharing"",""สุโขทัย!I228"")"),270)</f>
        <v>270</v>
      </c>
      <c r="J328" s="340">
        <f ca="1">IFERROR(__xludf.DUMMYFUNCTION("IMPORTRANGE(""https://docs.google.com/spreadsheets/d/11923uPwbBZFjjGgGUA6NLw09EwE0CqkOc4q9oUmW1yo/edit?usp=sharing"",""สุโขทัย!J228"")"),141)</f>
        <v>141</v>
      </c>
      <c r="K328" s="318">
        <f ca="1">IF(I328&gt;0,J328*100/I328,0)</f>
        <v>52.222222222222221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868030</v>
      </c>
      <c r="M329" s="154">
        <f t="shared" ca="1" si="98"/>
        <v>638830</v>
      </c>
      <c r="N329" s="154">
        <f t="shared" ca="1" si="98"/>
        <v>446438.32</v>
      </c>
      <c r="O329" s="153">
        <f t="shared" ref="O329:O331" ca="1" si="99">IF(L329&gt;0,N329*100/L329,0)</f>
        <v>51.431208598781147</v>
      </c>
      <c r="P329" s="153">
        <f t="shared" ref="P329:P331" ca="1" si="100">IF(M329&gt;0,N329*100/M329,0)</f>
        <v>69.883743718986267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868030</v>
      </c>
      <c r="M331" s="90">
        <f t="shared" ca="1" si="102"/>
        <v>638830</v>
      </c>
      <c r="N331" s="90">
        <f t="shared" ca="1" si="102"/>
        <v>446438.32</v>
      </c>
      <c r="O331" s="158">
        <f t="shared" ca="1" si="99"/>
        <v>51.431208598781147</v>
      </c>
      <c r="P331" s="158">
        <f t="shared" ca="1" si="100"/>
        <v>69.883743718986267</v>
      </c>
    </row>
    <row r="332" spans="1:16" ht="21.75" customHeight="1">
      <c r="A332" s="159"/>
      <c r="B332" s="160"/>
      <c r="C332" s="160" t="s">
        <v>16</v>
      </c>
      <c r="D332" s="570" t="s">
        <v>20</v>
      </c>
      <c r="E332" s="565"/>
      <c r="F332" s="565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868030</v>
      </c>
      <c r="M333" s="169">
        <f ca="1">IFERROR(__xludf.DUMMYFUNCTION("IMPORTRANGE(""https://docs.google.com/spreadsheets/d/1Yj_ptqi66GCucihVvJfMjLAmec39IyEx_6qawtMGysU/edit?usp=sharing"",""สบก!DL34"")"),638830)</f>
        <v>638830</v>
      </c>
      <c r="N333" s="170">
        <f ca="1">IFERROR(__xludf.DUMMYFUNCTION("IMPORTRANGE(""https://docs.google.com/spreadsheets/d/1Yj_ptqi66GCucihVvJfMjLAmec39IyEx_6qawtMGysU/edit?usp=sharing"",""สบก!DM34"")"),446438.32)</f>
        <v>446438.32</v>
      </c>
      <c r="O333" s="170">
        <f ca="1">IF(L333&gt;0,N333*100/L333,0)</f>
        <v>51.431208598781147</v>
      </c>
      <c r="P333" s="170">
        <f ca="1">IF(M333&gt;0,N333*100/M333,0)</f>
        <v>69.883743718986267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IFERROR(__xludf.DUMMYFUNCTION("IMPORTRANGE(""https://docs.google.com/spreadsheets/d/1Yj_ptqi66GCucihVvJfMjLAmec39IyEx_6qawtMGysU/edit?usp=sharing"",""สบก!DH34"")"),529200)</f>
        <v>529200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IFERROR(__xludf.DUMMYFUNCTION("IMPORTRANGE(""https://docs.google.com/spreadsheets/d/1Yj_ptqi66GCucihVvJfMjLAmec39IyEx_6qawtMGysU/edit?usp=sharing"",""สบก!DI34"")"),338830)</f>
        <v>338830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IFERROR(__xludf.DUMMYFUNCTION("IMPORTRANGE(""https://docs.google.com/spreadsheets/d/1Yj_ptqi66GCucihVvJfMjLAmec39IyEx_6qawtMGysU/edit?usp=sharing"",""สบก!DJ34"")"),0)</f>
        <v>0</v>
      </c>
      <c r="M337" s="52"/>
      <c r="N337" s="52">
        <f ca="1">IFERROR(__xludf.DUMMYFUNCTION("IMPORTRANGE(""https://docs.google.com/spreadsheets/d/1Yj_ptqi66GCucihVvJfMjLAmec39IyEx_6qawtMGysU/edit?usp=sharing"",""สบก!DN34"")"),0)</f>
        <v>0</v>
      </c>
      <c r="O337" s="52">
        <f ca="1">IF(L337&gt;0,N337*100/L337,0)</f>
        <v>0</v>
      </c>
      <c r="P337" s="52"/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IFERROR(__xludf.DUMMYFUNCTION("IMPORTRANGE(""https://docs.google.com/spreadsheets/d/11923uPwbBZFjjGgGUA6NLw09EwE0CqkOc4q9oUmW1yo/edit?usp=sharing"",""สุโขทัย!I234"")"),0)</f>
        <v>0</v>
      </c>
      <c r="J339" s="189">
        <f ca="1">IFERROR(__xludf.DUMMYFUNCTION("IMPORTRANGE(""https://docs.google.com/spreadsheets/d/11923uPwbBZFjjGgGUA6NLw09EwE0CqkOc4q9oUmW1yo/edit?usp=sharing"",""สุโขทัย!J234"")"),101)</f>
        <v>101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IFERROR(__xludf.DUMMYFUNCTION("IMPORTRANGE(""https://docs.google.com/spreadsheets/d/11923uPwbBZFjjGgGUA6NLw09EwE0CqkOc4q9oUmW1yo/edit?usp=sharing"",""สุโขทัย!I235"")"),1440)</f>
        <v>1440</v>
      </c>
      <c r="J340" s="189">
        <f ca="1">IFERROR(__xludf.DUMMYFUNCTION("IMPORTRANGE(""https://docs.google.com/spreadsheets/d/11923uPwbBZFjjGgGUA6NLw09EwE0CqkOc4q9oUmW1yo/edit?usp=sharing"",""สุโขทัย!J235"")"),893)</f>
        <v>893</v>
      </c>
      <c r="K340" s="343">
        <f t="shared" ca="1" si="103"/>
        <v>62.013888888888886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IFERROR(__xludf.DUMMYFUNCTION("IMPORTRANGE(""https://docs.google.com/spreadsheets/d/11923uPwbBZFjjGgGUA6NLw09EwE0CqkOc4q9oUmW1yo/edit?usp=sharing"",""สุโขทัย!I236"")"),270)</f>
        <v>270</v>
      </c>
      <c r="J341" s="189">
        <f ca="1">IFERROR(__xludf.DUMMYFUNCTION("IMPORTRANGE(""https://docs.google.com/spreadsheets/d/11923uPwbBZFjjGgGUA6NLw09EwE0CqkOc4q9oUmW1yo/edit?usp=sharing"",""สุโขทัย!J236"")"),219)</f>
        <v>219</v>
      </c>
      <c r="K341" s="343">
        <f t="shared" ca="1" si="103"/>
        <v>81.111111111111114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IFERROR(__xludf.DUMMYFUNCTION("IMPORTRANGE(""https://docs.google.com/spreadsheets/d/11923uPwbBZFjjGgGUA6NLw09EwE0CqkOc4q9oUmW1yo/edit?usp=sharing"",""สุโขทัย!I237"")"),0)</f>
        <v>0</v>
      </c>
      <c r="J342" s="189">
        <f ca="1">IFERROR(__xludf.DUMMYFUNCTION("IMPORTRANGE(""https://docs.google.com/spreadsheets/d/11923uPwbBZFjjGgGUA6NLw09EwE0CqkOc4q9oUmW1yo/edit?usp=sharing"",""สุโขทัย!J237"")"),2607.55)</f>
        <v>2607.5500000000002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IFERROR(__xludf.DUMMYFUNCTION("IMPORTRANGE(""https://docs.google.com/spreadsheets/d/11923uPwbBZFjjGgGUA6NLw09EwE0CqkOc4q9oUmW1yo/edit?usp=sharing"",""สุโขทัย!I238"")"),270)</f>
        <v>270</v>
      </c>
      <c r="J343" s="189">
        <f ca="1">IFERROR(__xludf.DUMMYFUNCTION("IMPORTRANGE(""https://docs.google.com/spreadsheets/d/11923uPwbBZFjjGgGUA6NLw09EwE0CqkOc4q9oUmW1yo/edit?usp=sharing"",""สุโขทัย!J238"")"),0)</f>
        <v>0</v>
      </c>
      <c r="K343" s="343">
        <f t="shared" ca="1" si="103"/>
        <v>0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IFERROR(__xludf.DUMMYFUNCTION("IMPORTRANGE(""https://docs.google.com/spreadsheets/d/11923uPwbBZFjjGgGUA6NLw09EwE0CqkOc4q9oUmW1yo/edit?usp=sharing"",""สุโขทัย!I239"")"),0)</f>
        <v>0</v>
      </c>
      <c r="J344" s="189">
        <f ca="1">IFERROR(__xludf.DUMMYFUNCTION("IMPORTRANGE(""https://docs.google.com/spreadsheets/d/11923uPwbBZFjjGgGUA6NLw09EwE0CqkOc4q9oUmW1yo/edit?usp=sharing"",""สุโขทัย!J239"")"),0)</f>
        <v>0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IFERROR(__xludf.DUMMYFUNCTION("IMPORTRANGE(""https://docs.google.com/spreadsheets/d/11923uPwbBZFjjGgGUA6NLw09EwE0CqkOc4q9oUmW1yo/edit?usp=sharing"",""สุโขทัย!I240"")"),270)</f>
        <v>270</v>
      </c>
      <c r="J345" s="189">
        <f ca="1">IFERROR(__xludf.DUMMYFUNCTION("IMPORTRANGE(""https://docs.google.com/spreadsheets/d/11923uPwbBZFjjGgGUA6NLw09EwE0CqkOc4q9oUmW1yo/edit?usp=sharing"",""สุโขทัย!J240"")"),141)</f>
        <v>141</v>
      </c>
      <c r="K345" s="343">
        <f t="shared" ca="1" si="103"/>
        <v>52.222222222222221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IFERROR(__xludf.DUMMYFUNCTION("IMPORTRANGE(""https://docs.google.com/spreadsheets/d/11923uPwbBZFjjGgGUA6NLw09EwE0CqkOc4q9oUmW1yo/edit?usp=sharing"",""สุโขทัย!I241"")"),0)</f>
        <v>0</v>
      </c>
      <c r="J346" s="189">
        <f ca="1">IFERROR(__xludf.DUMMYFUNCTION("IMPORTRANGE(""https://docs.google.com/spreadsheets/d/11923uPwbBZFjjGgGUA6NLw09EwE0CqkOc4q9oUmW1yo/edit?usp=sharing"",""สุโขทัย!J241"")"),1952.74)</f>
        <v>1952.74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IFERROR(__xludf.DUMMYFUNCTION("IMPORTRANGE(""https://docs.google.com/spreadsheets/d/11923uPwbBZFjjGgGUA6NLw09EwE0CqkOc4q9oUmW1yo/edit?usp=sharing"",""สุโขทัย!L242"")"),2002983)</f>
        <v>2002983</v>
      </c>
      <c r="M347" s="359"/>
      <c r="N347" s="359">
        <f ca="1">IFERROR(__xludf.DUMMYFUNCTION("IMPORTRANGE(""https://docs.google.com/spreadsheets/d/11923uPwbBZFjjGgGUA6NLw09EwE0CqkOc4q9oUmW1yo/edit?usp=sharing"",""สุโขทัย!M242"")"),814943.669999999)</f>
        <v>814943.66999999899</v>
      </c>
      <c r="O347" s="359">
        <f ca="1">+IF(L347&gt;0,N347*100/L347,0)</f>
        <v>40.686499585867629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IFERROR(__xludf.DUMMYFUNCTION("IMPORTRANGE(""https://docs.google.com/spreadsheets/d/11923uPwbBZFjjGgGUA6NLw09EwE0CqkOc4q9oUmW1yo/edit?usp=sharing"",""สุโขทัย!I244"")"),80)</f>
        <v>80</v>
      </c>
      <c r="J349" s="372">
        <f ca="1">IFERROR(__xludf.DUMMYFUNCTION("IMPORTRANGE(""https://docs.google.com/spreadsheets/d/11923uPwbBZFjjGgGUA6NLw09EwE0CqkOc4q9oUmW1yo/edit?usp=sharing"",""สุโขทัย!J244"")"),0)</f>
        <v>0</v>
      </c>
      <c r="K349" s="373">
        <f t="shared" ref="K349:K350" ca="1" si="104">IF(I349&gt;0,J349*100/I349,0)</f>
        <v>0</v>
      </c>
      <c r="L349" s="374">
        <f ca="1">IFERROR(__xludf.DUMMYFUNCTION("IMPORTRANGE(""https://docs.google.com/spreadsheets/d/11923uPwbBZFjjGgGUA6NLw09EwE0CqkOc4q9oUmW1yo/edit?usp=sharing"",""สุโขทัย!L244"")"),367080)</f>
        <v>367080</v>
      </c>
      <c r="M349" s="374"/>
      <c r="N349" s="374">
        <f ca="1">IFERROR(__xludf.DUMMYFUNCTION("IMPORTRANGE(""https://docs.google.com/spreadsheets/d/11923uPwbBZFjjGgGUA6NLw09EwE0CqkOc4q9oUmW1yo/edit?usp=sharing"",""สุโขทัย!M244"")"),162300)</f>
        <v>162300</v>
      </c>
      <c r="O349" s="374">
        <f ca="1">+IF(L349&gt;0,N349*100/L349,0)</f>
        <v>44.213795357960116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IFERROR(__xludf.DUMMYFUNCTION("IMPORTRANGE(""https://docs.google.com/spreadsheets/d/11923uPwbBZFjjGgGUA6NLw09EwE0CqkOc4q9oUmW1yo/edit?usp=sharing"",""สุโขทัย!I245"")"),80)</f>
        <v>80</v>
      </c>
      <c r="J350" s="372">
        <f ca="1">IFERROR(__xludf.DUMMYFUNCTION("IMPORTRANGE(""https://docs.google.com/spreadsheets/d/11923uPwbBZFjjGgGUA6NLw09EwE0CqkOc4q9oUmW1yo/edit?usp=sharing"",""สุโขทัย!J245"")"),80)</f>
        <v>80</v>
      </c>
      <c r="K350" s="373">
        <f t="shared" ca="1" si="104"/>
        <v>100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IFERROR(__xludf.DUMMYFUNCTION("IMPORTRANGE(""https://docs.google.com/spreadsheets/d/11923uPwbBZFjjGgGUA6NLw09EwE0CqkOc4q9oUmW1yo/edit?usp=sharing"",""สุโขทัย!L246"")"),0)</f>
        <v>0</v>
      </c>
      <c r="M351" s="166"/>
      <c r="N351" s="166">
        <f ca="1">IFERROR(__xludf.DUMMYFUNCTION("IMPORTRANGE(""https://docs.google.com/spreadsheets/d/11923uPwbBZFjjGgGUA6NLw09EwE0CqkOc4q9oUmW1yo/edit?usp=sharing"",""สุโขทัย!M246"")"),0)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IFERROR(__xludf.DUMMYFUNCTION("IMPORTRANGE(""https://docs.google.com/spreadsheets/d/11923uPwbBZFjjGgGUA6NLw09EwE0CqkOc4q9oUmW1yo/edit?usp=sharing"",""สุโขทัย!L247"")"),367080)</f>
        <v>367080</v>
      </c>
      <c r="M352" s="167"/>
      <c r="N352" s="166">
        <f ca="1">IFERROR(__xludf.DUMMYFUNCTION("IMPORTRANGE(""https://docs.google.com/spreadsheets/d/11923uPwbBZFjjGgGUA6NLw09EwE0CqkOc4q9oUmW1yo/edit?usp=sharing"",""สุโขทัย!M247"")"),162300)</f>
        <v>162300</v>
      </c>
      <c r="O352" s="167">
        <f t="shared" ca="1" si="105"/>
        <v>44.213795357960116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IFERROR(__xludf.DUMMYFUNCTION("IMPORTRANGE(""https://docs.google.com/spreadsheets/d/11923uPwbBZFjjGgGUA6NLw09EwE0CqkOc4q9oUmW1yo/edit?usp=sharing"",""สุโขทัย!L248"")"),0)</f>
        <v>0</v>
      </c>
      <c r="M353" s="170"/>
      <c r="N353" s="170">
        <f ca="1">IFERROR(__xludf.DUMMYFUNCTION("IMPORTRANGE(""https://docs.google.com/spreadsheets/d/11923uPwbBZFjjGgGUA6NLw09EwE0CqkOc4q9oUmW1yo/edit?usp=sharing"",""สุโขทัย!M248"")"),0)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IFERROR(__xludf.DUMMYFUNCTION("IMPORTRANGE(""https://docs.google.com/spreadsheets/d/11923uPwbBZFjjGgGUA6NLw09EwE0CqkOc4q9oUmW1yo/edit?usp=sharing"",""สุโขทัย!L249"")"),367080)</f>
        <v>367080</v>
      </c>
      <c r="M354" s="170"/>
      <c r="N354" s="169">
        <f ca="1">IFERROR(__xludf.DUMMYFUNCTION("IMPORTRANGE(""https://docs.google.com/spreadsheets/d/11923uPwbBZFjjGgGUA6NLw09EwE0CqkOc4q9oUmW1yo/edit?usp=sharing"",""สุโขทัย!M249"")"),162300)</f>
        <v>162300</v>
      </c>
      <c r="O354" s="170">
        <f t="shared" ca="1" si="105"/>
        <v>44.213795357960116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IFERROR(__xludf.DUMMYFUNCTION("IMPORTRANGE(""https://docs.google.com/spreadsheets/d/11923uPwbBZFjjGgGUA6NLw09EwE0CqkOc4q9oUmW1yo/edit?usp=sharing"",""สุโขทัย!M250"")"),96000)</f>
        <v>96000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IFERROR(__xludf.DUMMYFUNCTION("IMPORTRANGE(""https://docs.google.com/spreadsheets/d/11923uPwbBZFjjGgGUA6NLw09EwE0CqkOc4q9oUmW1yo/edit?usp=sharing"",""สุโขทัย!M251"")"),0)</f>
        <v>0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IFERROR(__xludf.DUMMYFUNCTION("IMPORTRANGE(""https://docs.google.com/spreadsheets/d/11923uPwbBZFjjGgGUA6NLw09EwE0CqkOc4q9oUmW1yo/edit?usp=sharing"",""สุโขทัย!M252"")"),55000)</f>
        <v>55000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IFERROR(__xludf.DUMMYFUNCTION("IMPORTRANGE(""https://docs.google.com/spreadsheets/d/11923uPwbBZFjjGgGUA6NLw09EwE0CqkOc4q9oUmW1yo/edit?usp=sharing"",""สุโขทัย!M253"")"),11300)</f>
        <v>11300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IFERROR(__xludf.DUMMYFUNCTION("IMPORTRANGE(""https://docs.google.com/spreadsheets/d/11923uPwbBZFjjGgGUA6NLw09EwE0CqkOc4q9oUmW1yo/edit?usp=sharing"",""สุโขทัย!J255"")"),0)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IFERROR(__xludf.DUMMYFUNCTION("IMPORTRANGE(""https://docs.google.com/spreadsheets/d/11923uPwbBZFjjGgGUA6NLw09EwE0CqkOc4q9oUmW1yo/edit?usp=sharing"",""สุโขทัย!J256"")"),1)</f>
        <v>1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IFERROR(__xludf.DUMMYFUNCTION("IMPORTRANGE(""https://docs.google.com/spreadsheets/d/11923uPwbBZFjjGgGUA6NLw09EwE0CqkOc4q9oUmW1yo/edit?usp=sharing"",""สุโขทัย!J257"")"),1)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IFERROR(__xludf.DUMMYFUNCTION("IMPORTRANGE(""https://docs.google.com/spreadsheets/d/11923uPwbBZFjjGgGUA6NLw09EwE0CqkOc4q9oUmW1yo/edit?usp=sharing"",""สุโขทัย!J258"")"),1)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IFERROR(__xludf.DUMMYFUNCTION("IMPORTRANGE(""https://docs.google.com/spreadsheets/d/11923uPwbBZFjjGgGUA6NLw09EwE0CqkOc4q9oUmW1yo/edit?usp=sharing"",""สุโขทัย!J166"")"),0)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IFERROR(__xludf.DUMMYFUNCTION("IMPORTRANGE(""https://docs.google.com/spreadsheets/d/11923uPwbBZFjjGgGUA6NLw09EwE0CqkOc4q9oUmW1yo/edit?usp=sharing"",""สุโขทัย!J166"")"),0)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IFERROR(__xludf.DUMMYFUNCTION("IMPORTRANGE(""https://docs.google.com/spreadsheets/d/11923uPwbBZFjjGgGUA6NLw09EwE0CqkOc4q9oUmW1yo/edit?usp=sharing"",""สุโขทัย!J166"")"),0)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IFERROR(__xludf.DUMMYFUNCTION("IMPORTRANGE(""https://docs.google.com/spreadsheets/d/11923uPwbBZFjjGgGUA6NLw09EwE0CqkOc4q9oUmW1yo/edit?usp=sharing"",""สุโขทัย!J166"")"),0)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IFERROR(__xludf.DUMMYFUNCTION("IMPORTRANGE(""https://docs.google.com/spreadsheets/d/11923uPwbBZFjjGgGUA6NLw09EwE0CqkOc4q9oUmW1yo/edit?usp=sharing"",""สุโขทัย!I263"")"),80)</f>
        <v>80</v>
      </c>
      <c r="J368" s="189">
        <f ca="1">IFERROR(__xludf.DUMMYFUNCTION("IMPORTRANGE(""https://docs.google.com/spreadsheets/d/11923uPwbBZFjjGgGUA6NLw09EwE0CqkOc4q9oUmW1yo/edit?usp=sharing"",""สุโขทัย!J263"")"),80)</f>
        <v>80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IFERROR(__xludf.DUMMYFUNCTION("IMPORTRANGE(""https://docs.google.com/spreadsheets/d/11923uPwbBZFjjGgGUA6NLw09EwE0CqkOc4q9oUmW1yo/edit?usp=sharing"",""สุโขทัย!I164"")"),0)</f>
        <v>0</v>
      </c>
      <c r="J369" s="205">
        <f ca="1">IFERROR(__xludf.DUMMYFUNCTION("IMPORTRANGE(""https://docs.google.com/spreadsheets/d/11923uPwbBZFjjGgGUA6NLw09EwE0CqkOc4q9oUmW1yo/edit?usp=sharing"",""สุโขทัย!J164"")"),0)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IFERROR(__xludf.DUMMYFUNCTION("IMPORTRANGE(""https://docs.google.com/spreadsheets/d/11923uPwbBZFjjGgGUA6NLw09EwE0CqkOc4q9oUmW1yo/edit?usp=sharing"",""สุโขทัย!I265"")"),80)</f>
        <v>80</v>
      </c>
      <c r="J370" s="205">
        <f ca="1">IFERROR(__xludf.DUMMYFUNCTION("IMPORTRANGE(""https://docs.google.com/spreadsheets/d/11923uPwbBZFjjGgGUA6NLw09EwE0CqkOc4q9oUmW1yo/edit?usp=sharing"",""สุโขทัย!J265"")"),80)</f>
        <v>80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IFERROR(__xludf.DUMMYFUNCTION("IMPORTRANGE(""https://docs.google.com/spreadsheets/d/11923uPwbBZFjjGgGUA6NLw09EwE0CqkOc4q9oUmW1yo/edit?usp=sharing"",""สุโขทัย!I164"")"),0)</f>
        <v>0</v>
      </c>
      <c r="J371" s="190">
        <f ca="1">IFERROR(__xludf.DUMMYFUNCTION("IMPORTRANGE(""https://docs.google.com/spreadsheets/d/11923uPwbBZFjjGgGUA6NLw09EwE0CqkOc4q9oUmW1yo/edit?usp=sharing"",""สุโขทัย!J164"")"),0)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IFERROR(__xludf.DUMMYFUNCTION("IMPORTRANGE(""https://docs.google.com/spreadsheets/d/11923uPwbBZFjjGgGUA6NLw09EwE0CqkOc4q9oUmW1yo/edit?usp=sharing"",""สุโขทัย!I267"")"),80)</f>
        <v>80</v>
      </c>
      <c r="J372" s="190">
        <f ca="1">IFERROR(__xludf.DUMMYFUNCTION("IMPORTRANGE(""https://docs.google.com/spreadsheets/d/11923uPwbBZFjjGgGUA6NLw09EwE0CqkOc4q9oUmW1yo/edit?usp=sharing"",""สุโขทัย!J267"")"),80)</f>
        <v>80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IFERROR(__xludf.DUMMYFUNCTION("IMPORTRANGE(""https://docs.google.com/spreadsheets/d/11923uPwbBZFjjGgGUA6NLw09EwE0CqkOc4q9oUmW1yo/edit?usp=sharing"",""สุโขทัย!I164"")"),0)</f>
        <v>0</v>
      </c>
      <c r="J373" s="205">
        <f ca="1">IFERROR(__xludf.DUMMYFUNCTION("IMPORTRANGE(""https://docs.google.com/spreadsheets/d/11923uPwbBZFjjGgGUA6NLw09EwE0CqkOc4q9oUmW1yo/edit?usp=sharing"",""สุโขทัย!J164"")"),0)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IFERROR(__xludf.DUMMYFUNCTION("IMPORTRANGE(""https://docs.google.com/spreadsheets/d/11923uPwbBZFjjGgGUA6NLw09EwE0CqkOc4q9oUmW1yo/edit?usp=sharing"",""สุโขทัย!I164"")"),0)</f>
        <v>0</v>
      </c>
      <c r="J374" s="189">
        <f ca="1">IFERROR(__xludf.DUMMYFUNCTION("IMPORTRANGE(""https://docs.google.com/spreadsheets/d/11923uPwbBZFjjGgGUA6NLw09EwE0CqkOc4q9oUmW1yo/edit?usp=sharing"",""สุโขทัย!J164"")"),0)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IFERROR(__xludf.DUMMYFUNCTION("IMPORTRANGE(""https://docs.google.com/spreadsheets/d/11923uPwbBZFjjGgGUA6NLw09EwE0CqkOc4q9oUmW1yo/edit?usp=sharing"",""สุโขทัย!I270"")"),80)</f>
        <v>80</v>
      </c>
      <c r="J375" s="189">
        <f ca="1">IFERROR(__xludf.DUMMYFUNCTION("IMPORTRANGE(""https://docs.google.com/spreadsheets/d/11923uPwbBZFjjGgGUA6NLw09EwE0CqkOc4q9oUmW1yo/edit?usp=sharing"",""สุโขทัย!J270"")"),0)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IFERROR(__xludf.DUMMYFUNCTION("IMPORTRANGE(""https://docs.google.com/spreadsheets/d/11923uPwbBZFjjGgGUA6NLw09EwE0CqkOc4q9oUmW1yo/edit?usp=sharing"",""สุโขทัย!I271"")"),46)</f>
        <v>46</v>
      </c>
      <c r="J376" s="190">
        <f ca="1">IFERROR(__xludf.DUMMYFUNCTION("IMPORTRANGE(""https://docs.google.com/spreadsheets/d/11923uPwbBZFjjGgGUA6NLw09EwE0CqkOc4q9oUmW1yo/edit?usp=sharing"",""สุโขทัย!J271"")"),0)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IFERROR(__xludf.DUMMYFUNCTION("IMPORTRANGE(""https://docs.google.com/spreadsheets/d/11923uPwbBZFjjGgGUA6NLw09EwE0CqkOc4q9oUmW1yo/edit?usp=sharing"",""สุโขทัย!I272"")"),34)</f>
        <v>34</v>
      </c>
      <c r="J377" s="205">
        <f ca="1">IFERROR(__xludf.DUMMYFUNCTION("IMPORTRANGE(""https://docs.google.com/spreadsheets/d/11923uPwbBZFjjGgGUA6NLw09EwE0CqkOc4q9oUmW1yo/edit?usp=sharing"",""สุโขทัย!J272"")"),0)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IFERROR(__xludf.DUMMYFUNCTION("IMPORTRANGE(""https://docs.google.com/spreadsheets/d/11923uPwbBZFjjGgGUA6NLw09EwE0CqkOc4q9oUmW1yo/edit?usp=sharing"",""สุโขทัย!J273"")"),0)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IFERROR(__xludf.DUMMYFUNCTION("IMPORTRANGE(""https://docs.google.com/spreadsheets/d/11923uPwbBZFjjGgGUA6NLw09EwE0CqkOc4q9oUmW1yo/edit?usp=sharing"",""สุโขทัย!J274"")"),0)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IFERROR(__xludf.DUMMYFUNCTION("IMPORTRANGE(""https://docs.google.com/spreadsheets/d/11923uPwbBZFjjGgGUA6NLw09EwE0CqkOc4q9oUmW1yo/edit?usp=sharing"",""สุโขทัย!I275"")"),200)</f>
        <v>200</v>
      </c>
      <c r="J380" s="372">
        <f ca="1">IFERROR(__xludf.DUMMYFUNCTION("IMPORTRANGE(""https://docs.google.com/spreadsheets/d/11923uPwbBZFjjGgGUA6NLw09EwE0CqkOc4q9oUmW1yo/edit?usp=sharing"",""สุโขทัย!J275"")"),0)</f>
        <v>0</v>
      </c>
      <c r="K380" s="373">
        <f t="shared" ref="K380:K381" ca="1" si="108">IF(I380&gt;0,J380*100/I380,0)</f>
        <v>0</v>
      </c>
      <c r="L380" s="374">
        <f ca="1">IFERROR(__xludf.DUMMYFUNCTION("IMPORTRANGE(""https://docs.google.com/spreadsheets/d/11923uPwbBZFjjGgGUA6NLw09EwE0CqkOc4q9oUmW1yo/edit?usp=sharing"",""สุโขทัย!L275"")"),207560)</f>
        <v>207560</v>
      </c>
      <c r="M380" s="374"/>
      <c r="N380" s="374">
        <f ca="1">IFERROR(__xludf.DUMMYFUNCTION("IMPORTRANGE(""https://docs.google.com/spreadsheets/d/11923uPwbBZFjjGgGUA6NLw09EwE0CqkOc4q9oUmW1yo/edit?usp=sharing"",""สุโขทัย!M275"")"),48320)</f>
        <v>48320</v>
      </c>
      <c r="O380" s="374">
        <f ca="1">+IF(L380&gt;0,N380*100/L380,0)</f>
        <v>23.280015417228753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IFERROR(__xludf.DUMMYFUNCTION("IMPORTRANGE(""https://docs.google.com/spreadsheets/d/11923uPwbBZFjjGgGUA6NLw09EwE0CqkOc4q9oUmW1yo/edit?usp=sharing"",""สุโขทัย!I276"")"),20)</f>
        <v>20</v>
      </c>
      <c r="J381" s="372">
        <f ca="1">IFERROR(__xludf.DUMMYFUNCTION("IMPORTRANGE(""https://docs.google.com/spreadsheets/d/11923uPwbBZFjjGgGUA6NLw09EwE0CqkOc4q9oUmW1yo/edit?usp=sharing"",""สุโขทัย!J276"")"),20)</f>
        <v>20</v>
      </c>
      <c r="K381" s="373">
        <f t="shared" ca="1" si="108"/>
        <v>100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IFERROR(__xludf.DUMMYFUNCTION("IMPORTRANGE(""https://docs.google.com/spreadsheets/d/11923uPwbBZFjjGgGUA6NLw09EwE0CqkOc4q9oUmW1yo/edit?usp=sharing"",""สุโขทัย!L277"")"),0)</f>
        <v>0</v>
      </c>
      <c r="M382" s="166"/>
      <c r="N382" s="166">
        <f ca="1">IFERROR(__xludf.DUMMYFUNCTION("IMPORTRANGE(""https://docs.google.com/spreadsheets/d/11923uPwbBZFjjGgGUA6NLw09EwE0CqkOc4q9oUmW1yo/edit?usp=sharing"",""สุโขทัย!M277"")"),0)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IFERROR(__xludf.DUMMYFUNCTION("IMPORTRANGE(""https://docs.google.com/spreadsheets/d/11923uPwbBZFjjGgGUA6NLw09EwE0CqkOc4q9oUmW1yo/edit?usp=sharing"",""สุโขทัย!L278"")"),207560)</f>
        <v>207560</v>
      </c>
      <c r="M383" s="167"/>
      <c r="N383" s="167">
        <f ca="1">IFERROR(__xludf.DUMMYFUNCTION("IMPORTRANGE(""https://docs.google.com/spreadsheets/d/11923uPwbBZFjjGgGUA6NLw09EwE0CqkOc4q9oUmW1yo/edit?usp=sharing"",""สุโขทัย!M278"")"),48320)</f>
        <v>48320</v>
      </c>
      <c r="O383" s="167">
        <f t="shared" ca="1" si="109"/>
        <v>23.280015417228753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IFERROR(__xludf.DUMMYFUNCTION("IMPORTRANGE(""https://docs.google.com/spreadsheets/d/11923uPwbBZFjjGgGUA6NLw09EwE0CqkOc4q9oUmW1yo/edit?usp=sharing"",""สุโขทัย!L279"")"),0)</f>
        <v>0</v>
      </c>
      <c r="M384" s="170"/>
      <c r="N384" s="170">
        <f ca="1">IFERROR(__xludf.DUMMYFUNCTION("IMPORTRANGE(""https://docs.google.com/spreadsheets/d/11923uPwbBZFjjGgGUA6NLw09EwE0CqkOc4q9oUmW1yo/edit?usp=sharing"",""สุโขทัย!M279"")"),0)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IFERROR(__xludf.DUMMYFUNCTION("IMPORTRANGE(""https://docs.google.com/spreadsheets/d/11923uPwbBZFjjGgGUA6NLw09EwE0CqkOc4q9oUmW1yo/edit?usp=sharing"",""สุโขทัย!L280"")"),207560)</f>
        <v>207560</v>
      </c>
      <c r="M385" s="170"/>
      <c r="N385" s="169">
        <f ca="1">IFERROR(__xludf.DUMMYFUNCTION("IMPORTRANGE(""https://docs.google.com/spreadsheets/d/11923uPwbBZFjjGgGUA6NLw09EwE0CqkOc4q9oUmW1yo/edit?usp=sharing"",""สุโขทัย!M280"")"),48320)</f>
        <v>48320</v>
      </c>
      <c r="O385" s="170">
        <f t="shared" ca="1" si="109"/>
        <v>23.280015417228753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IFERROR(__xludf.DUMMYFUNCTION("IMPORTRANGE(""https://docs.google.com/spreadsheets/d/11923uPwbBZFjjGgGUA6NLw09EwE0CqkOc4q9oUmW1yo/edit?usp=sharing"",""สุโขทัย!M281"")"),47200)</f>
        <v>47200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IFERROR(__xludf.DUMMYFUNCTION("IMPORTRANGE(""https://docs.google.com/spreadsheets/d/11923uPwbBZFjjGgGUA6NLw09EwE0CqkOc4q9oUmW1yo/edit?usp=sharing"",""สุโขทัย!M282"")"),0)</f>
        <v>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IFERROR(__xludf.DUMMYFUNCTION("IMPORTRANGE(""https://docs.google.com/spreadsheets/d/11923uPwbBZFjjGgGUA6NLw09EwE0CqkOc4q9oUmW1yo/edit?usp=sharing"",""สุโขทัย!M283"")"),0)</f>
        <v>0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IFERROR(__xludf.DUMMYFUNCTION("IMPORTRANGE(""https://docs.google.com/spreadsheets/d/11923uPwbBZFjjGgGUA6NLw09EwE0CqkOc4q9oUmW1yo/edit?usp=sharing"",""สุโขทัย!M284"")"),1120)</f>
        <v>1120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IFERROR(__xludf.DUMMYFUNCTION("IMPORTRANGE(""https://docs.google.com/spreadsheets/d/11923uPwbBZFjjGgGUA6NLw09EwE0CqkOc4q9oUmW1yo/edit?usp=sharing"",""สุโขทัย!J286"")"),0)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IFERROR(__xludf.DUMMYFUNCTION("IMPORTRANGE(""https://docs.google.com/spreadsheets/d/11923uPwbBZFjjGgGUA6NLw09EwE0CqkOc4q9oUmW1yo/edit?usp=sharing"",""สุโขทัย!J287"")"),1)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IFERROR(__xludf.DUMMYFUNCTION("IMPORTRANGE(""https://docs.google.com/spreadsheets/d/11923uPwbBZFjjGgGUA6NLw09EwE0CqkOc4q9oUmW1yo/edit?usp=sharing"",""สุโขทัย!J288"")"),1)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IFERROR(__xludf.DUMMYFUNCTION("IMPORTRANGE(""https://docs.google.com/spreadsheets/d/11923uPwbBZFjjGgGUA6NLw09EwE0CqkOc4q9oUmW1yo/edit?usp=sharing"",""สุโขทัย!J289"")"),1)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IFERROR(__xludf.DUMMYFUNCTION("IMPORTRANGE(""https://docs.google.com/spreadsheets/d/11923uPwbBZFjjGgGUA6NLw09EwE0CqkOc4q9oUmW1yo/edit?usp=sharing"",""สุโขทัย!I291"")"),20)</f>
        <v>20</v>
      </c>
      <c r="J396" s="199">
        <f ca="1">IFERROR(__xludf.DUMMYFUNCTION("IMPORTRANGE(""https://docs.google.com/spreadsheets/d/11923uPwbBZFjjGgGUA6NLw09EwE0CqkOc4q9oUmW1yo/edit?usp=sharing"",""สุโขทัย!J291"")"),20)</f>
        <v>20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IFERROR(__xludf.DUMMYFUNCTION("IMPORTRANGE(""https://docs.google.com/spreadsheets/d/11923uPwbBZFjjGgGUA6NLw09EwE0CqkOc4q9oUmW1yo/edit?usp=sharing"",""สุโขทัย!I292"")"),200)</f>
        <v>200</v>
      </c>
      <c r="J397" s="199">
        <f ca="1">IFERROR(__xludf.DUMMYFUNCTION("IMPORTRANGE(""https://docs.google.com/spreadsheets/d/11923uPwbBZFjjGgGUA6NLw09EwE0CqkOc4q9oUmW1yo/edit?usp=sharing"",""สุโขทัย!J292"")"),0)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IFERROR(__xludf.DUMMYFUNCTION("IMPORTRANGE(""https://docs.google.com/spreadsheets/d/11923uPwbBZFjjGgGUA6NLw09EwE0CqkOc4q9oUmW1yo/edit?usp=sharing"",""สุโขทัย!I293"")"),20)</f>
        <v>20</v>
      </c>
      <c r="J398" s="199">
        <f ca="1">IFERROR(__xludf.DUMMYFUNCTION("IMPORTRANGE(""https://docs.google.com/spreadsheets/d/11923uPwbBZFjjGgGUA6NLw09EwE0CqkOc4q9oUmW1yo/edit?usp=sharing"",""สุโขทัย!J293"")"),0)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IFERROR(__xludf.DUMMYFUNCTION("IMPORTRANGE(""https://docs.google.com/spreadsheets/d/11923uPwbBZFjjGgGUA6NLw09EwE0CqkOc4q9oUmW1yo/edit?usp=sharing"",""สุโขทัย!J294"")"),0)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IFERROR(__xludf.DUMMYFUNCTION("IMPORTRANGE(""https://docs.google.com/spreadsheets/d/11923uPwbBZFjjGgGUA6NLw09EwE0CqkOc4q9oUmW1yo/edit?usp=sharing"",""สุโขทัย!J295"")"),0)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IFERROR(__xludf.DUMMYFUNCTION("IMPORTRANGE(""https://docs.google.com/spreadsheets/d/11923uPwbBZFjjGgGUA6NLw09EwE0CqkOc4q9oUmW1yo/edit?usp=sharing"",""สุโขทัย!I296"")"),285)</f>
        <v>285</v>
      </c>
      <c r="J401" s="372">
        <f ca="1">IFERROR(__xludf.DUMMYFUNCTION("IMPORTRANGE(""https://docs.google.com/spreadsheets/d/11923uPwbBZFjjGgGUA6NLw09EwE0CqkOc4q9oUmW1yo/edit?usp=sharing"",""สุโขทัย!J296"")"),285)</f>
        <v>285</v>
      </c>
      <c r="K401" s="373">
        <f t="shared" ref="K401:K402" ca="1" si="111">IF(I401&gt;0,J401*100/I401,0)</f>
        <v>100</v>
      </c>
      <c r="L401" s="374">
        <f ca="1">IFERROR(__xludf.DUMMYFUNCTION("IMPORTRANGE(""https://docs.google.com/spreadsheets/d/11923uPwbBZFjjGgGUA6NLw09EwE0CqkOc4q9oUmW1yo/edit?usp=sharing"",""สุโขทัย!L296"")"),300950)</f>
        <v>300950</v>
      </c>
      <c r="M401" s="374"/>
      <c r="N401" s="374">
        <f ca="1">IFERROR(__xludf.DUMMYFUNCTION("IMPORTRANGE(""https://docs.google.com/spreadsheets/d/11923uPwbBZFjjGgGUA6NLw09EwE0CqkOc4q9oUmW1yo/edit?usp=sharing"",""สุโขทัย!M296"")"),264665)</f>
        <v>264665</v>
      </c>
      <c r="O401" s="374">
        <f ca="1">+IF(L401&gt;0,N401*100/L401,0)</f>
        <v>87.943179930220964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IFERROR(__xludf.DUMMYFUNCTION("IMPORTRANGE(""https://docs.google.com/spreadsheets/d/11923uPwbBZFjjGgGUA6NLw09EwE0CqkOc4q9oUmW1yo/edit?usp=sharing"",""สุโขทัย!I297"")"),95)</f>
        <v>95</v>
      </c>
      <c r="J402" s="372">
        <f ca="1">IFERROR(__xludf.DUMMYFUNCTION("IMPORTRANGE(""https://docs.google.com/spreadsheets/d/11923uPwbBZFjjGgGUA6NLw09EwE0CqkOc4q9oUmW1yo/edit?usp=sharing"",""สุโขทัย!J297"")"),95)</f>
        <v>95</v>
      </c>
      <c r="K402" s="373">
        <f t="shared" ca="1" si="111"/>
        <v>100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IFERROR(__xludf.DUMMYFUNCTION("IMPORTRANGE(""https://docs.google.com/spreadsheets/d/11923uPwbBZFjjGgGUA6NLw09EwE0CqkOc4q9oUmW1yo/edit?usp=sharing"",""สุโขทัย!L298"")"),0)</f>
        <v>0</v>
      </c>
      <c r="M403" s="166"/>
      <c r="N403" s="170">
        <f ca="1">IFERROR(__xludf.DUMMYFUNCTION("IMPORTRANGE(""https://docs.google.com/spreadsheets/d/11923uPwbBZFjjGgGUA6NLw09EwE0CqkOc4q9oUmW1yo/edit?usp=sharing"",""สุโขทัย!M298"")"),0)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IFERROR(__xludf.DUMMYFUNCTION("IMPORTRANGE(""https://docs.google.com/spreadsheets/d/11923uPwbBZFjjGgGUA6NLw09EwE0CqkOc4q9oUmW1yo/edit?usp=sharing"",""สุโขทัย!L299"")"),300950)</f>
        <v>300950</v>
      </c>
      <c r="M404" s="167"/>
      <c r="N404" s="170">
        <f ca="1">IFERROR(__xludf.DUMMYFUNCTION("IMPORTRANGE(""https://docs.google.com/spreadsheets/d/11923uPwbBZFjjGgGUA6NLw09EwE0CqkOc4q9oUmW1yo/edit?usp=sharing"",""สุโขทัย!M299"")"),264665)</f>
        <v>264665</v>
      </c>
      <c r="O404" s="170">
        <f t="shared" ca="1" si="112"/>
        <v>87.943179930220964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IFERROR(__xludf.DUMMYFUNCTION("IMPORTRANGE(""https://docs.google.com/spreadsheets/d/11923uPwbBZFjjGgGUA6NLw09EwE0CqkOc4q9oUmW1yo/edit?usp=sharing"",""สุโขทัย!L300"")"),0)</f>
        <v>0</v>
      </c>
      <c r="M405" s="170"/>
      <c r="N405" s="170">
        <f ca="1">IFERROR(__xludf.DUMMYFUNCTION("IMPORTRANGE(""https://docs.google.com/spreadsheets/d/11923uPwbBZFjjGgGUA6NLw09EwE0CqkOc4q9oUmW1yo/edit?usp=sharing"",""สุโขทัย!M300"")"),0)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IFERROR(__xludf.DUMMYFUNCTION("IMPORTRANGE(""https://docs.google.com/spreadsheets/d/11923uPwbBZFjjGgGUA6NLw09EwE0CqkOc4q9oUmW1yo/edit?usp=sharing"",""สุโขทัย!L301"")"),300950)</f>
        <v>300950</v>
      </c>
      <c r="M406" s="170"/>
      <c r="N406" s="170">
        <f ca="1">IFERROR(__xludf.DUMMYFUNCTION("IMPORTRANGE(""https://docs.google.com/spreadsheets/d/11923uPwbBZFjjGgGUA6NLw09EwE0CqkOc4q9oUmW1yo/edit?usp=sharing"",""สุโขทัย!M301"")"),264665)</f>
        <v>264665</v>
      </c>
      <c r="O406" s="170">
        <f t="shared" ca="1" si="112"/>
        <v>87.943179930220964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IFERROR(__xludf.DUMMYFUNCTION("IMPORTRANGE(""https://docs.google.com/spreadsheets/d/11923uPwbBZFjjGgGUA6NLw09EwE0CqkOc4q9oUmW1yo/edit?usp=sharing"",""สุโขทัย!M302"")"),191050)</f>
        <v>191050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IFERROR(__xludf.DUMMYFUNCTION("IMPORTRANGE(""https://docs.google.com/spreadsheets/d/11923uPwbBZFjjGgGUA6NLw09EwE0CqkOc4q9oUmW1yo/edit?usp=sharing"",""สุโขทัย!M303"")"),51650)</f>
        <v>51650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IFERROR(__xludf.DUMMYFUNCTION("IMPORTRANGE(""https://docs.google.com/spreadsheets/d/11923uPwbBZFjjGgGUA6NLw09EwE0CqkOc4q9oUmW1yo/edit?usp=sharing"",""สุโขทัย!M304"")"),0)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IFERROR(__xludf.DUMMYFUNCTION("IMPORTRANGE(""https://docs.google.com/spreadsheets/d/11923uPwbBZFjjGgGUA6NLw09EwE0CqkOc4q9oUmW1yo/edit?usp=sharing"",""สุโขทัย!M305"")"),21965)</f>
        <v>21965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IFERROR(__xludf.DUMMYFUNCTION("IMPORTRANGE(""https://docs.google.com/spreadsheets/d/11923uPwbBZFjjGgGUA6NLw09EwE0CqkOc4q9oUmW1yo/edit?usp=sharing"",""สุโขทัย!J307"")"),0)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IFERROR(__xludf.DUMMYFUNCTION("IMPORTRANGE(""https://docs.google.com/spreadsheets/d/11923uPwbBZFjjGgGUA6NLw09EwE0CqkOc4q9oUmW1yo/edit?usp=sharing"",""สุโขทัย!J308"")"),1)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IFERROR(__xludf.DUMMYFUNCTION("IMPORTRANGE(""https://docs.google.com/spreadsheets/d/11923uPwbBZFjjGgGUA6NLw09EwE0CqkOc4q9oUmW1yo/edit?usp=sharing"",""สุโขทัย!J309"")"),1)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IFERROR(__xludf.DUMMYFUNCTION("IMPORTRANGE(""https://docs.google.com/spreadsheets/d/11923uPwbBZFjjGgGUA6NLw09EwE0CqkOc4q9oUmW1yo/edit?usp=sharing"",""สุโขทัย!J310"")"),1)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IFERROR(__xludf.DUMMYFUNCTION("IMPORTRANGE(""https://docs.google.com/spreadsheets/d/11923uPwbBZFjjGgGUA6NLw09EwE0CqkOc4q9oUmW1yo/edit?usp=sharing"",""สุโขทัย!I311"")"),95)</f>
        <v>95</v>
      </c>
      <c r="J416" s="202">
        <f ca="1">IFERROR(__xludf.DUMMYFUNCTION("IMPORTRANGE(""https://docs.google.com/spreadsheets/d/11923uPwbBZFjjGgGUA6NLw09EwE0CqkOc4q9oUmW1yo/edit?usp=sharing"",""สุโขทัย!J311"")"),95)</f>
        <v>95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IFERROR(__xludf.DUMMYFUNCTION("IMPORTRANGE(""https://docs.google.com/spreadsheets/d/11923uPwbBZFjjGgGUA6NLw09EwE0CqkOc4q9oUmW1yo/edit?usp=sharing"",""สุโขทัย!I312"")"),10)</f>
        <v>10</v>
      </c>
      <c r="J417" s="393">
        <f ca="1">IFERROR(__xludf.DUMMYFUNCTION("IMPORTRANGE(""https://docs.google.com/spreadsheets/d/11923uPwbBZFjjGgGUA6NLw09EwE0CqkOc4q9oUmW1yo/edit?usp=sharing"",""สุโขทัย!J312"")"),10)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IFERROR(__xludf.DUMMYFUNCTION("IMPORTRANGE(""https://docs.google.com/spreadsheets/d/11923uPwbBZFjjGgGUA6NLw09EwE0CqkOc4q9oUmW1yo/edit?usp=sharing"",""สุโขทัย!I313"")"),30)</f>
        <v>30</v>
      </c>
      <c r="J418" s="394">
        <f ca="1">IFERROR(__xludf.DUMMYFUNCTION("IMPORTRANGE(""https://docs.google.com/spreadsheets/d/11923uPwbBZFjjGgGUA6NLw09EwE0CqkOc4q9oUmW1yo/edit?usp=sharing"",""สุโขทัย!J313"")"),30)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IFERROR(__xludf.DUMMYFUNCTION("IMPORTRANGE(""https://docs.google.com/spreadsheets/d/11923uPwbBZFjjGgGUA6NLw09EwE0CqkOc4q9oUmW1yo/edit?usp=sharing"",""สุโขทัย!I314"")"),10)</f>
        <v>10</v>
      </c>
      <c r="J419" s="395">
        <f ca="1">IFERROR(__xludf.DUMMYFUNCTION("IMPORTRANGE(""https://docs.google.com/spreadsheets/d/11923uPwbBZFjjGgGUA6NLw09EwE0CqkOc4q9oUmW1yo/edit?usp=sharing"",""สุโขทัย!J314"")"),10)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IFERROR(__xludf.DUMMYFUNCTION("IMPORTRANGE(""https://docs.google.com/spreadsheets/d/11923uPwbBZFjjGgGUA6NLw09EwE0CqkOc4q9oUmW1yo/edit?usp=sharing"",""สุโขทัย!I315"")"),10)</f>
        <v>10</v>
      </c>
      <c r="J420" s="395">
        <f ca="1">IFERROR(__xludf.DUMMYFUNCTION("IMPORTRANGE(""https://docs.google.com/spreadsheets/d/11923uPwbBZFjjGgGUA6NLw09EwE0CqkOc4q9oUmW1yo/edit?usp=sharing"",""สุโขทัย!J315"")"),10)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IFERROR(__xludf.DUMMYFUNCTION("IMPORTRANGE(""https://docs.google.com/spreadsheets/d/11923uPwbBZFjjGgGUA6NLw09EwE0CqkOc4q9oUmW1yo/edit?usp=sharing"",""สุโขทัย!I316"")"),75)</f>
        <v>75</v>
      </c>
      <c r="J421" s="393">
        <f ca="1">IFERROR(__xludf.DUMMYFUNCTION("IMPORTRANGE(""https://docs.google.com/spreadsheets/d/11923uPwbBZFjjGgGUA6NLw09EwE0CqkOc4q9oUmW1yo/edit?usp=sharing"",""สุโขทัย!J316"")"),75)</f>
        <v>75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IFERROR(__xludf.DUMMYFUNCTION("IMPORTRANGE(""https://docs.google.com/spreadsheets/d/11923uPwbBZFjjGgGUA6NLw09EwE0CqkOc4q9oUmW1yo/edit?usp=sharing"",""สุโขทัย!I317"")"),225)</f>
        <v>225</v>
      </c>
      <c r="J422" s="394">
        <f ca="1">IFERROR(__xludf.DUMMYFUNCTION("IMPORTRANGE(""https://docs.google.com/spreadsheets/d/11923uPwbBZFjjGgGUA6NLw09EwE0CqkOc4q9oUmW1yo/edit?usp=sharing"",""สุโขทัย!J317"")"),225)</f>
        <v>225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IFERROR(__xludf.DUMMYFUNCTION("IMPORTRANGE(""https://docs.google.com/spreadsheets/d/11923uPwbBZFjjGgGUA6NLw09EwE0CqkOc4q9oUmW1yo/edit?usp=sharing"",""สุโขทัย!I318"")"),75)</f>
        <v>75</v>
      </c>
      <c r="J423" s="395">
        <f ca="1">IFERROR(__xludf.DUMMYFUNCTION("IMPORTRANGE(""https://docs.google.com/spreadsheets/d/11923uPwbBZFjjGgGUA6NLw09EwE0CqkOc4q9oUmW1yo/edit?usp=sharing"",""สุโขทัย!J318"")"),75)</f>
        <v>75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IFERROR(__xludf.DUMMYFUNCTION("IMPORTRANGE(""https://docs.google.com/spreadsheets/d/11923uPwbBZFjjGgGUA6NLw09EwE0CqkOc4q9oUmW1yo/edit?usp=sharing"",""สุโขทัย!I319"")"),75)</f>
        <v>75</v>
      </c>
      <c r="J424" s="395">
        <f ca="1">IFERROR(__xludf.DUMMYFUNCTION("IMPORTRANGE(""https://docs.google.com/spreadsheets/d/11923uPwbBZFjjGgGUA6NLw09EwE0CqkOc4q9oUmW1yo/edit?usp=sharing"",""สุโขทัย!J319"")"),75)</f>
        <v>75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IFERROR(__xludf.DUMMYFUNCTION("IMPORTRANGE(""https://docs.google.com/spreadsheets/d/11923uPwbBZFjjGgGUA6NLw09EwE0CqkOc4q9oUmW1yo/edit?usp=sharing"",""สุโขทัย!I320"")"),75)</f>
        <v>75</v>
      </c>
      <c r="J425" s="395">
        <f ca="1">IFERROR(__xludf.DUMMYFUNCTION("IMPORTRANGE(""https://docs.google.com/spreadsheets/d/11923uPwbBZFjjGgGUA6NLw09EwE0CqkOc4q9oUmW1yo/edit?usp=sharing"",""สุโขทัย!J320"")"),75)</f>
        <v>75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IFERROR(__xludf.DUMMYFUNCTION("IMPORTRANGE(""https://docs.google.com/spreadsheets/d/11923uPwbBZFjjGgGUA6NLw09EwE0CqkOc4q9oUmW1yo/edit?usp=sharing"",""สุโขทัย!I321"")"),10)</f>
        <v>10</v>
      </c>
      <c r="J426" s="393">
        <f ca="1">IFERROR(__xludf.DUMMYFUNCTION("IMPORTRANGE(""https://docs.google.com/spreadsheets/d/11923uPwbBZFjjGgGUA6NLw09EwE0CqkOc4q9oUmW1yo/edit?usp=sharing"",""สุโขทัย!J321"")"),10)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IFERROR(__xludf.DUMMYFUNCTION("IMPORTRANGE(""https://docs.google.com/spreadsheets/d/11923uPwbBZFjjGgGUA6NLw09EwE0CqkOc4q9oUmW1yo/edit?usp=sharing"",""สุโขทัย!I322"")"),30)</f>
        <v>30</v>
      </c>
      <c r="J427" s="394">
        <f ca="1">IFERROR(__xludf.DUMMYFUNCTION("IMPORTRANGE(""https://docs.google.com/spreadsheets/d/11923uPwbBZFjjGgGUA6NLw09EwE0CqkOc4q9oUmW1yo/edit?usp=sharing"",""สุโขทัย!J322"")"),30)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IFERROR(__xludf.DUMMYFUNCTION("IMPORTRANGE(""https://docs.google.com/spreadsheets/d/11923uPwbBZFjjGgGUA6NLw09EwE0CqkOc4q9oUmW1yo/edit?usp=sharing"",""สุโขทัย!I323"")"),10)</f>
        <v>10</v>
      </c>
      <c r="J428" s="395">
        <f ca="1">IFERROR(__xludf.DUMMYFUNCTION("IMPORTRANGE(""https://docs.google.com/spreadsheets/d/11923uPwbBZFjjGgGUA6NLw09EwE0CqkOc4q9oUmW1yo/edit?usp=sharing"",""สุโขทัย!J323"")"),10)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IFERROR(__xludf.DUMMYFUNCTION("IMPORTRANGE(""https://docs.google.com/spreadsheets/d/11923uPwbBZFjjGgGUA6NLw09EwE0CqkOc4q9oUmW1yo/edit?usp=sharing"",""สุโขทัย!I324"")"),10)</f>
        <v>10</v>
      </c>
      <c r="J429" s="395">
        <f ca="1">IFERROR(__xludf.DUMMYFUNCTION("IMPORTRANGE(""https://docs.google.com/spreadsheets/d/11923uPwbBZFjjGgGUA6NLw09EwE0CqkOc4q9oUmW1yo/edit?usp=sharing"",""สุโขทัย!J324"")"),10)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IFERROR(__xludf.DUMMYFUNCTION("IMPORTRANGE(""https://docs.google.com/spreadsheets/d/11923uPwbBZFjjGgGUA6NLw09EwE0CqkOc4q9oUmW1yo/edit?usp=sharing"",""สุโขทัย!I325"")"),85)</f>
        <v>85</v>
      </c>
      <c r="J430" s="393">
        <f ca="1">IFERROR(__xludf.DUMMYFUNCTION("IMPORTRANGE(""https://docs.google.com/spreadsheets/d/11923uPwbBZFjjGgGUA6NLw09EwE0CqkOc4q9oUmW1yo/edit?usp=sharing"",""สุโขทัย!J325"")"),75)</f>
        <v>75</v>
      </c>
      <c r="K430" s="203">
        <f t="shared" ca="1" si="113"/>
        <v>88.235294117647058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IFERROR(__xludf.DUMMYFUNCTION("IMPORTRANGE(""https://docs.google.com/spreadsheets/d/11923uPwbBZFjjGgGUA6NLw09EwE0CqkOc4q9oUmW1yo/edit?usp=sharing"",""สุโขทัย!I326"")"),10)</f>
        <v>10</v>
      </c>
      <c r="J431" s="395">
        <f ca="1">IFERROR(__xludf.DUMMYFUNCTION("IMPORTRANGE(""https://docs.google.com/spreadsheets/d/11923uPwbBZFjjGgGUA6NLw09EwE0CqkOc4q9oUmW1yo/edit?usp=sharing"",""สุโขทัย!J326"")"),0)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IFERROR(__xludf.DUMMYFUNCTION("IMPORTRANGE(""https://docs.google.com/spreadsheets/d/11923uPwbBZFjjGgGUA6NLw09EwE0CqkOc4q9oUmW1yo/edit?usp=sharing"",""สุโขทัย!I327"")"),75)</f>
        <v>75</v>
      </c>
      <c r="J432" s="395">
        <f ca="1">IFERROR(__xludf.DUMMYFUNCTION("IMPORTRANGE(""https://docs.google.com/spreadsheets/d/11923uPwbBZFjjGgGUA6NLw09EwE0CqkOc4q9oUmW1yo/edit?usp=sharing"",""สุโขทัย!J327"")"),75)</f>
        <v>75</v>
      </c>
      <c r="K432" s="165">
        <f t="shared" ca="1" si="113"/>
        <v>100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IFERROR(__xludf.DUMMYFUNCTION("IMPORTRANGE(""https://docs.google.com/spreadsheets/d/11923uPwbBZFjjGgGUA6NLw09EwE0CqkOc4q9oUmW1yo/edit?usp=sharing"",""สุโขทัย!J328"")"),0)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IFERROR(__xludf.DUMMYFUNCTION("IMPORTRANGE(""https://docs.google.com/spreadsheets/d/11923uPwbBZFjjGgGUA6NLw09EwE0CqkOc4q9oUmW1yo/edit?usp=sharing"",""สุโขทัย!J329"")"),0)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IFERROR(__xludf.DUMMYFUNCTION("IMPORTRANGE(""https://docs.google.com/spreadsheets/d/11923uPwbBZFjjGgGUA6NLw09EwE0CqkOc4q9oUmW1yo/edit?usp=sharing"",""สุโขทัย!I330"")"),81)</f>
        <v>81</v>
      </c>
      <c r="J435" s="411">
        <f ca="1">IFERROR(__xludf.DUMMYFUNCTION("IMPORTRANGE(""https://docs.google.com/spreadsheets/d/11923uPwbBZFjjGgGUA6NLw09EwE0CqkOc4q9oUmW1yo/edit?usp=sharing"",""สุโขทัย!J330"")"),81)</f>
        <v>81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IFERROR(__xludf.DUMMYFUNCTION("IMPORTRANGE(""https://docs.google.com/spreadsheets/d/11923uPwbBZFjjGgGUA6NLw09EwE0CqkOc4q9oUmW1yo/edit?usp=sharing"",""สุโขทัย!L330"")"),223000)</f>
        <v>223000</v>
      </c>
      <c r="M435" s="413"/>
      <c r="N435" s="413">
        <f ca="1">IFERROR(__xludf.DUMMYFUNCTION("IMPORTRANGE(""https://docs.google.com/spreadsheets/d/11923uPwbBZFjjGgGUA6NLw09EwE0CqkOc4q9oUmW1yo/edit?usp=sharing"",""สุโขทัย!M330"")"),177460)</f>
        <v>177460</v>
      </c>
      <c r="O435" s="413">
        <f t="shared" ref="O435:O439" ca="1" si="114">+IF(L435&gt;0,N435*100/L435,0)</f>
        <v>79.578475336322867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IFERROR(__xludf.DUMMYFUNCTION("IMPORTRANGE(""https://docs.google.com/spreadsheets/d/11923uPwbBZFjjGgGUA6NLw09EwE0CqkOc4q9oUmW1yo/edit?usp=sharing"",""สุโขทัย!L331"")"),0)</f>
        <v>0</v>
      </c>
      <c r="M436" s="166"/>
      <c r="N436" s="170">
        <f ca="1">IFERROR(__xludf.DUMMYFUNCTION("IMPORTRANGE(""https://docs.google.com/spreadsheets/d/11923uPwbBZFjjGgGUA6NLw09EwE0CqkOc4q9oUmW1yo/edit?usp=sharing"",""สุโขทัย!M331"")"),0)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IFERROR(__xludf.DUMMYFUNCTION("IMPORTRANGE(""https://docs.google.com/spreadsheets/d/11923uPwbBZFjjGgGUA6NLw09EwE0CqkOc4q9oUmW1yo/edit?usp=sharing"",""สุโขทัย!L332"")"),223000)</f>
        <v>223000</v>
      </c>
      <c r="M437" s="167"/>
      <c r="N437" s="170">
        <f ca="1">IFERROR(__xludf.DUMMYFUNCTION("IMPORTRANGE(""https://docs.google.com/spreadsheets/d/11923uPwbBZFjjGgGUA6NLw09EwE0CqkOc4q9oUmW1yo/edit?usp=sharing"",""สุโขทัย!M332"")"),177460)</f>
        <v>177460</v>
      </c>
      <c r="O437" s="170">
        <f t="shared" ca="1" si="114"/>
        <v>79.578475336322867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IFERROR(__xludf.DUMMYFUNCTION("IMPORTRANGE(""https://docs.google.com/spreadsheets/d/11923uPwbBZFjjGgGUA6NLw09EwE0CqkOc4q9oUmW1yo/edit?usp=sharing"",""สุโขทัย!L333"")"),0)</f>
        <v>0</v>
      </c>
      <c r="M438" s="170"/>
      <c r="N438" s="170">
        <f ca="1">IFERROR(__xludf.DUMMYFUNCTION("IMPORTRANGE(""https://docs.google.com/spreadsheets/d/11923uPwbBZFjjGgGUA6NLw09EwE0CqkOc4q9oUmW1yo/edit?usp=sharing"",""สุโขทัย!M333"")"),0)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IFERROR(__xludf.DUMMYFUNCTION("IMPORTRANGE(""https://docs.google.com/spreadsheets/d/11923uPwbBZFjjGgGUA6NLw09EwE0CqkOc4q9oUmW1yo/edit?usp=sharing"",""สุโขทัย!L334"")"),223000)</f>
        <v>223000</v>
      </c>
      <c r="M439" s="170"/>
      <c r="N439" s="170">
        <f ca="1">IFERROR(__xludf.DUMMYFUNCTION("IMPORTRANGE(""https://docs.google.com/spreadsheets/d/11923uPwbBZFjjGgGUA6NLw09EwE0CqkOc4q9oUmW1yo/edit?usp=sharing"",""สุโขทัย!M334"")"),177460)</f>
        <v>177460</v>
      </c>
      <c r="O439" s="170">
        <f t="shared" ca="1" si="114"/>
        <v>79.578475336322867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IFERROR(__xludf.DUMMYFUNCTION("IMPORTRANGE(""https://docs.google.com/spreadsheets/d/11923uPwbBZFjjGgGUA6NLw09EwE0CqkOc4q9oUmW1yo/edit?usp=sharing"",""สุโขทัย!M335"")"),167200)</f>
        <v>167200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IFERROR(__xludf.DUMMYFUNCTION("IMPORTRANGE(""https://docs.google.com/spreadsheets/d/11923uPwbBZFjjGgGUA6NLw09EwE0CqkOc4q9oUmW1yo/edit?usp=sharing"",""สุโขทัย!M336"")"),0)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IFERROR(__xludf.DUMMYFUNCTION("IMPORTRANGE(""https://docs.google.com/spreadsheets/d/11923uPwbBZFjjGgGUA6NLw09EwE0CqkOc4q9oUmW1yo/edit?usp=sharing"",""สุโขทัย!M337"")"),0)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IFERROR(__xludf.DUMMYFUNCTION("IMPORTRANGE(""https://docs.google.com/spreadsheets/d/11923uPwbBZFjjGgGUA6NLw09EwE0CqkOc4q9oUmW1yo/edit?usp=sharing"",""สุโขทัย!M338"")"),10260)</f>
        <v>10260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IFERROR(__xludf.DUMMYFUNCTION("IMPORTRANGE(""https://docs.google.com/spreadsheets/d/11923uPwbBZFjjGgGUA6NLw09EwE0CqkOc4q9oUmW1yo/edit?usp=sharing"",""สุโขทัย!J340"")"),0)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IFERROR(__xludf.DUMMYFUNCTION("IMPORTRANGE(""https://docs.google.com/spreadsheets/d/11923uPwbBZFjjGgGUA6NLw09EwE0CqkOc4q9oUmW1yo/edit?usp=sharing"",""สุโขทัย!J341"")"),1)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IFERROR(__xludf.DUMMYFUNCTION("IMPORTRANGE(""https://docs.google.com/spreadsheets/d/11923uPwbBZFjjGgGUA6NLw09EwE0CqkOc4q9oUmW1yo/edit?usp=sharing"",""สุโขทัย!J342"")"),1)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IFERROR(__xludf.DUMMYFUNCTION("IMPORTRANGE(""https://docs.google.com/spreadsheets/d/11923uPwbBZFjjGgGUA6NLw09EwE0CqkOc4q9oUmW1yo/edit?usp=sharing"",""สุโขทัย!J343"")"),1)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IFERROR(__xludf.DUMMYFUNCTION("IMPORTRANGE(""https://docs.google.com/spreadsheets/d/11923uPwbBZFjjGgGUA6NLw09EwE0CqkOc4q9oUmW1yo/edit?usp=sharing"",""สุโขทัย!I344"")"),81)</f>
        <v>81</v>
      </c>
      <c r="J449" s="202">
        <f ca="1">IFERROR(__xludf.DUMMYFUNCTION("IMPORTRANGE(""https://docs.google.com/spreadsheets/d/11923uPwbBZFjjGgGUA6NLw09EwE0CqkOc4q9oUmW1yo/edit?usp=sharing"",""สุโขทัย!J344"")"),81)</f>
        <v>81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IFERROR(__xludf.DUMMYFUNCTION("IMPORTRANGE(""https://docs.google.com/spreadsheets/d/11923uPwbBZFjjGgGUA6NLw09EwE0CqkOc4q9oUmW1yo/edit?usp=sharing"",""สุโขทัย!I345"")"),22)</f>
        <v>22</v>
      </c>
      <c r="J450" s="190">
        <f ca="1">IFERROR(__xludf.DUMMYFUNCTION("IMPORTRANGE(""https://docs.google.com/spreadsheets/d/11923uPwbBZFjjGgGUA6NLw09EwE0CqkOc4q9oUmW1yo/edit?usp=sharing"",""สุโขทัย!J345"")"),22)</f>
        <v>22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IFERROR(__xludf.DUMMYFUNCTION("IMPORTRANGE(""https://docs.google.com/spreadsheets/d/11923uPwbBZFjjGgGUA6NLw09EwE0CqkOc4q9oUmW1yo/edit?usp=sharing"",""สุโขทัย!I346"")"),59)</f>
        <v>59</v>
      </c>
      <c r="J451" s="189">
        <f ca="1">IFERROR(__xludf.DUMMYFUNCTION("IMPORTRANGE(""https://docs.google.com/spreadsheets/d/11923uPwbBZFjjGgGUA6NLw09EwE0CqkOc4q9oUmW1yo/edit?usp=sharing"",""สุโขทัย!J346"")"),59)</f>
        <v>59</v>
      </c>
      <c r="K451" s="165">
        <f t="shared" ca="1" si="115"/>
        <v>100</v>
      </c>
      <c r="L451" s="183"/>
      <c r="M451" s="183"/>
      <c r="N451" s="183"/>
      <c r="O451" s="183"/>
      <c r="P451" s="183"/>
    </row>
    <row r="452" spans="1:16" ht="21.75" hidden="1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IFERROR(__xludf.DUMMYFUNCTION("IMPORTRANGE(""https://docs.google.com/spreadsheets/d/11923uPwbBZFjjGgGUA6NLw09EwE0CqkOc4q9oUmW1yo/edit?usp=sharing"",""สุโขทัย!I347"")"),0)</f>
        <v>0</v>
      </c>
      <c r="J452" s="189">
        <f ca="1">IFERROR(__xludf.DUMMYFUNCTION("IMPORTRANGE(""https://docs.google.com/spreadsheets/d/11923uPwbBZFjjGgGUA6NLw09EwE0CqkOc4q9oUmW1yo/edit?usp=sharing"",""สุโขทัย!J347"")"),0)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IFERROR(__xludf.DUMMYFUNCTION("IMPORTRANGE(""https://docs.google.com/spreadsheets/d/11923uPwbBZFjjGgGUA6NLw09EwE0CqkOc4q9oUmW1yo/edit?usp=sharing"",""สุโขทัย!J348"")"),0)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IFERROR(__xludf.DUMMYFUNCTION("IMPORTRANGE(""https://docs.google.com/spreadsheets/d/11923uPwbBZFjjGgGUA6NLw09EwE0CqkOc4q9oUmW1yo/edit?usp=sharing"",""สุโขทัย!J349"")"),0)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IFERROR(__xludf.DUMMYFUNCTION("IMPORTRANGE(""https://docs.google.com/spreadsheets/d/11923uPwbBZFjjGgGUA6NLw09EwE0CqkOc4q9oUmW1yo/edit?usp=sharing"",""สุโขทัย!I350"")"),35801)</f>
        <v>35801</v>
      </c>
      <c r="J455" s="372">
        <f ca="1">IFERROR(__xludf.DUMMYFUNCTION("IMPORTRANGE(""https://docs.google.com/spreadsheets/d/11923uPwbBZFjjGgGUA6NLw09EwE0CqkOc4q9oUmW1yo/edit?usp=sharing"",""สุโขทัย!J350"")"),30832)</f>
        <v>30832</v>
      </c>
      <c r="K455" s="373">
        <f ca="1">IF(I455&gt;0,J455*100/I455,0)</f>
        <v>86.1204994273903</v>
      </c>
      <c r="L455" s="374">
        <f ca="1">IFERROR(__xludf.DUMMYFUNCTION("IMPORTRANGE(""https://docs.google.com/spreadsheets/d/11923uPwbBZFjjGgGUA6NLw09EwE0CqkOc4q9oUmW1yo/edit?usp=sharing"",""สุโขทัย!L350"")"),424323)</f>
        <v>424323</v>
      </c>
      <c r="M455" s="374"/>
      <c r="N455" s="374">
        <f ca="1">IFERROR(__xludf.DUMMYFUNCTION("IMPORTRANGE(""https://docs.google.com/spreadsheets/d/11923uPwbBZFjjGgGUA6NLw09EwE0CqkOc4q9oUmW1yo/edit?usp=sharing"",""สุโขทัย!M350"")"),90223.19)</f>
        <v>90223.19</v>
      </c>
      <c r="O455" s="374">
        <f t="shared" ref="O455:O459" ca="1" si="116">+IF(L455&gt;0,N455*100/L455,0)</f>
        <v>21.262856361781001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IFERROR(__xludf.DUMMYFUNCTION("IMPORTRANGE(""https://docs.google.com/spreadsheets/d/11923uPwbBZFjjGgGUA6NLw09EwE0CqkOc4q9oUmW1yo/edit?usp=sharing"",""สุโขทัย!L351"")"),0)</f>
        <v>0</v>
      </c>
      <c r="M456" s="166"/>
      <c r="N456" s="170">
        <f ca="1">IFERROR(__xludf.DUMMYFUNCTION("IMPORTRANGE(""https://docs.google.com/spreadsheets/d/11923uPwbBZFjjGgGUA6NLw09EwE0CqkOc4q9oUmW1yo/edit?usp=sharing"",""สุโขทัย!M351"")"),0)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IFERROR(__xludf.DUMMYFUNCTION("IMPORTRANGE(""https://docs.google.com/spreadsheets/d/11923uPwbBZFjjGgGUA6NLw09EwE0CqkOc4q9oUmW1yo/edit?usp=sharing"",""สุโขทัย!L352"")"),424323)</f>
        <v>424323</v>
      </c>
      <c r="M457" s="167"/>
      <c r="N457" s="170">
        <f ca="1">IFERROR(__xludf.DUMMYFUNCTION("IMPORTRANGE(""https://docs.google.com/spreadsheets/d/11923uPwbBZFjjGgGUA6NLw09EwE0CqkOc4q9oUmW1yo/edit?usp=sharing"",""สุโขทัย!M352"")"),90223.19)</f>
        <v>90223.19</v>
      </c>
      <c r="O457" s="170">
        <f t="shared" ca="1" si="116"/>
        <v>21.262856361781001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IFERROR(__xludf.DUMMYFUNCTION("IMPORTRANGE(""https://docs.google.com/spreadsheets/d/11923uPwbBZFjjGgGUA6NLw09EwE0CqkOc4q9oUmW1yo/edit?usp=sharing"",""สุโขทัย!L353"")"),0)</f>
        <v>0</v>
      </c>
      <c r="M458" s="170"/>
      <c r="N458" s="170">
        <f ca="1">IFERROR(__xludf.DUMMYFUNCTION("IMPORTRANGE(""https://docs.google.com/spreadsheets/d/11923uPwbBZFjjGgGUA6NLw09EwE0CqkOc4q9oUmW1yo/edit?usp=sharing"",""สุโขทัย!M353"")"),0)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IFERROR(__xludf.DUMMYFUNCTION("IMPORTRANGE(""https://docs.google.com/spreadsheets/d/11923uPwbBZFjjGgGUA6NLw09EwE0CqkOc4q9oUmW1yo/edit?usp=sharing"",""สุโขทัย!L354"")"),424323)</f>
        <v>424323</v>
      </c>
      <c r="M459" s="170"/>
      <c r="N459" s="170">
        <f ca="1">IFERROR(__xludf.DUMMYFUNCTION("IMPORTRANGE(""https://docs.google.com/spreadsheets/d/11923uPwbBZFjjGgGUA6NLw09EwE0CqkOc4q9oUmW1yo/edit?usp=sharing"",""สุโขทัย!M354"")"),90223.19)</f>
        <v>90223.19</v>
      </c>
      <c r="O459" s="170">
        <f t="shared" ca="1" si="116"/>
        <v>21.262856361781001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IFERROR(__xludf.DUMMYFUNCTION("IMPORTRANGE(""https://docs.google.com/spreadsheets/d/11923uPwbBZFjjGgGUA6NLw09EwE0CqkOc4q9oUmW1yo/edit?usp=sharing"",""สุโขทัย!M355"")"),0)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IFERROR(__xludf.DUMMYFUNCTION("IMPORTRANGE(""https://docs.google.com/spreadsheets/d/11923uPwbBZFjjGgGUA6NLw09EwE0CqkOc4q9oUmW1yo/edit?usp=sharing"",""สุโขทัย!M356"")"),0)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IFERROR(__xludf.DUMMYFUNCTION("IMPORTRANGE(""https://docs.google.com/spreadsheets/d/11923uPwbBZFjjGgGUA6NLw09EwE0CqkOc4q9oUmW1yo/edit?usp=sharing"",""สุโขทัย!M357"")"),55000)</f>
        <v>55000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IFERROR(__xludf.DUMMYFUNCTION("IMPORTRANGE(""https://docs.google.com/spreadsheets/d/11923uPwbBZFjjGgGUA6NLw09EwE0CqkOc4q9oUmW1yo/edit?usp=sharing"",""สุโขทัย!M358"")"),35223.19)</f>
        <v>35223.19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IFERROR(__xludf.DUMMYFUNCTION("IMPORTRANGE(""https://docs.google.com/spreadsheets/d/11923uPwbBZFjjGgGUA6NLw09EwE0CqkOc4q9oUmW1yo/edit?usp=sharing"",""สุโขทัย!I359"")"),35801)</f>
        <v>35801</v>
      </c>
      <c r="J464" s="268">
        <f ca="1">IFERROR(__xludf.DUMMYFUNCTION("IMPORTRANGE(""https://docs.google.com/spreadsheets/d/11923uPwbBZFjjGgGUA6NLw09EwE0CqkOc4q9oUmW1yo/edit?usp=sharing"",""สุโขทัย!J359"")"),30832)</f>
        <v>30832</v>
      </c>
      <c r="K464" s="269">
        <f t="shared" ref="K464:K515" ca="1" si="117">IF(I464&gt;0,J464*100/I464,0)</f>
        <v>86.1204994273903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IFERROR(__xludf.DUMMYFUNCTION("IMPORTRANGE(""https://docs.google.com/spreadsheets/d/11923uPwbBZFjjGgGUA6NLw09EwE0CqkOc4q9oUmW1yo/edit?usp=sharing"",""สุโขทัย!I360"")"),35801)</f>
        <v>35801</v>
      </c>
      <c r="J465" s="422">
        <f ca="1">IFERROR(__xludf.DUMMYFUNCTION("IMPORTRANGE(""https://docs.google.com/spreadsheets/d/11923uPwbBZFjjGgGUA6NLw09EwE0CqkOc4q9oUmW1yo/edit?usp=sharing"",""สุโขทัย!J360"")"),35801)</f>
        <v>35801</v>
      </c>
      <c r="K465" s="203">
        <f t="shared" ca="1" si="117"/>
        <v>100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IFERROR(__xludf.DUMMYFUNCTION("IMPORTRANGE(""https://docs.google.com/spreadsheets/d/11923uPwbBZFjjGgGUA6NLw09EwE0CqkOc4q9oUmW1yo/edit?usp=sharing"",""สุโขทัย!I361"")"),4578)</f>
        <v>4578</v>
      </c>
      <c r="J466" s="422">
        <f ca="1">IFERROR(__xludf.DUMMYFUNCTION("IMPORTRANGE(""https://docs.google.com/spreadsheets/d/11923uPwbBZFjjGgGUA6NLw09EwE0CqkOc4q9oUmW1yo/edit?usp=sharing"",""สุโขทัย!J361"")"),4578)</f>
        <v>4578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IFERROR(__xludf.DUMMYFUNCTION("IMPORTRANGE(""https://docs.google.com/spreadsheets/d/11923uPwbBZFjjGgGUA6NLw09EwE0CqkOc4q9oUmW1yo/edit?usp=sharing"",""สุโขทัย!I362"")"),0)</f>
        <v>0</v>
      </c>
      <c r="J467" s="190">
        <f ca="1">IFERROR(__xludf.DUMMYFUNCTION("IMPORTRANGE(""https://docs.google.com/spreadsheets/d/11923uPwbBZFjjGgGUA6NLw09EwE0CqkOc4q9oUmW1yo/edit?usp=sharing"",""สุโขทัย!J362"")"),22957)</f>
        <v>22957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IFERROR(__xludf.DUMMYFUNCTION("IMPORTRANGE(""https://docs.google.com/spreadsheets/d/11923uPwbBZFjjGgGUA6NLw09EwE0CqkOc4q9oUmW1yo/edit?usp=sharing"",""สุโขทัย!I363"")"),0)</f>
        <v>0</v>
      </c>
      <c r="J468" s="190">
        <f ca="1">IFERROR(__xludf.DUMMYFUNCTION("IMPORTRANGE(""https://docs.google.com/spreadsheets/d/11923uPwbBZFjjGgGUA6NLw09EwE0CqkOc4q9oUmW1yo/edit?usp=sharing"",""สุโขทัย!J363"")"),2801)</f>
        <v>2801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IFERROR(__xludf.DUMMYFUNCTION("IMPORTRANGE(""https://docs.google.com/spreadsheets/d/11923uPwbBZFjjGgGUA6NLw09EwE0CqkOc4q9oUmW1yo/edit?usp=sharing"",""สุโขทัย!I364"")"),0)</f>
        <v>0</v>
      </c>
      <c r="J469" s="190">
        <f ca="1">IFERROR(__xludf.DUMMYFUNCTION("IMPORTRANGE(""https://docs.google.com/spreadsheets/d/11923uPwbBZFjjGgGUA6NLw09EwE0CqkOc4q9oUmW1yo/edit?usp=sharing"",""สุโขทัย!J364"")"),12109)</f>
        <v>12109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IFERROR(__xludf.DUMMYFUNCTION("IMPORTRANGE(""https://docs.google.com/spreadsheets/d/11923uPwbBZFjjGgGUA6NLw09EwE0CqkOc4q9oUmW1yo/edit?usp=sharing"",""สุโขทัย!I365"")"),0)</f>
        <v>0</v>
      </c>
      <c r="J470" s="190">
        <f ca="1">IFERROR(__xludf.DUMMYFUNCTION("IMPORTRANGE(""https://docs.google.com/spreadsheets/d/11923uPwbBZFjjGgGUA6NLw09EwE0CqkOc4q9oUmW1yo/edit?usp=sharing"",""สุโขทัย!J365"")"),1697)</f>
        <v>1697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IFERROR(__xludf.DUMMYFUNCTION("IMPORTRANGE(""https://docs.google.com/spreadsheets/d/11923uPwbBZFjjGgGUA6NLw09EwE0CqkOc4q9oUmW1yo/edit?usp=sharing"",""สุโขทัย!I366"")"),0)</f>
        <v>0</v>
      </c>
      <c r="J471" s="190">
        <f ca="1">IFERROR(__xludf.DUMMYFUNCTION("IMPORTRANGE(""https://docs.google.com/spreadsheets/d/11923uPwbBZFjjGgGUA6NLw09EwE0CqkOc4q9oUmW1yo/edit?usp=sharing"",""สุโขทัย!J366"")"),735)</f>
        <v>735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IFERROR(__xludf.DUMMYFUNCTION("IMPORTRANGE(""https://docs.google.com/spreadsheets/d/11923uPwbBZFjjGgGUA6NLw09EwE0CqkOc4q9oUmW1yo/edit?usp=sharing"",""สุโขทัย!I367"")"),0)</f>
        <v>0</v>
      </c>
      <c r="J472" s="190">
        <f ca="1">IFERROR(__xludf.DUMMYFUNCTION("IMPORTRANGE(""https://docs.google.com/spreadsheets/d/11923uPwbBZFjjGgGUA6NLw09EwE0CqkOc4q9oUmW1yo/edit?usp=sharing"",""สุโขทัย!J367"")"),80)</f>
        <v>80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IFERROR(__xludf.DUMMYFUNCTION("IMPORTRANGE(""https://docs.google.com/spreadsheets/d/11923uPwbBZFjjGgGUA6NLw09EwE0CqkOc4q9oUmW1yo/edit?usp=sharing"",""สุโขทัย!I368"")"),35801)</f>
        <v>35801</v>
      </c>
      <c r="J473" s="422">
        <f ca="1">IFERROR(__xludf.DUMMYFUNCTION("IMPORTRANGE(""https://docs.google.com/spreadsheets/d/11923uPwbBZFjjGgGUA6NLw09EwE0CqkOc4q9oUmW1yo/edit?usp=sharing"",""สุโขทัย!J368"")"),35802)</f>
        <v>35802</v>
      </c>
      <c r="K473" s="203">
        <f t="shared" ca="1" si="117"/>
        <v>100.00279321806653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IFERROR(__xludf.DUMMYFUNCTION("IMPORTRANGE(""https://docs.google.com/spreadsheets/d/11923uPwbBZFjjGgGUA6NLw09EwE0CqkOc4q9oUmW1yo/edit?usp=sharing"",""สุโขทัย!I369"")"),4578)</f>
        <v>4578</v>
      </c>
      <c r="J474" s="422">
        <f ca="1">IFERROR(__xludf.DUMMYFUNCTION("IMPORTRANGE(""https://docs.google.com/spreadsheets/d/11923uPwbBZFjjGgGUA6NLw09EwE0CqkOc4q9oUmW1yo/edit?usp=sharing"",""สุโขทัย!J369"")"),4578)</f>
        <v>4578</v>
      </c>
      <c r="K474" s="203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IFERROR(__xludf.DUMMYFUNCTION("IMPORTRANGE(""https://docs.google.com/spreadsheets/d/11923uPwbBZFjjGgGUA6NLw09EwE0CqkOc4q9oUmW1yo/edit?usp=sharing"",""สุโขทัย!I370"")"),0)</f>
        <v>0</v>
      </c>
      <c r="J475" s="190">
        <f ca="1">IFERROR(__xludf.DUMMYFUNCTION("IMPORTRANGE(""https://docs.google.com/spreadsheets/d/11923uPwbBZFjjGgGUA6NLw09EwE0CqkOc4q9oUmW1yo/edit?usp=sharing"",""สุโขทัย!J370"")"),30832)</f>
        <v>30832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IFERROR(__xludf.DUMMYFUNCTION("IMPORTRANGE(""https://docs.google.com/spreadsheets/d/11923uPwbBZFjjGgGUA6NLw09EwE0CqkOc4q9oUmW1yo/edit?usp=sharing"",""สุโขทัย!I371"")"),0)</f>
        <v>0</v>
      </c>
      <c r="J476" s="190">
        <f ca="1">IFERROR(__xludf.DUMMYFUNCTION("IMPORTRANGE(""https://docs.google.com/spreadsheets/d/11923uPwbBZFjjGgGUA6NLw09EwE0CqkOc4q9oUmW1yo/edit?usp=sharing"",""สุโขทัย!J371"")"),4045)</f>
        <v>4045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IFERROR(__xludf.DUMMYFUNCTION("IMPORTRANGE(""https://docs.google.com/spreadsheets/d/11923uPwbBZFjjGgGUA6NLw09EwE0CqkOc4q9oUmW1yo/edit?usp=sharing"",""สุโขทัย!I372"")"),0)</f>
        <v>0</v>
      </c>
      <c r="J477" s="190">
        <f ca="1">IFERROR(__xludf.DUMMYFUNCTION("IMPORTRANGE(""https://docs.google.com/spreadsheets/d/11923uPwbBZFjjGgGUA6NLw09EwE0CqkOc4q9oUmW1yo/edit?usp=sharing"",""สุโขทัย!J372"")"),4158)</f>
        <v>4158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IFERROR(__xludf.DUMMYFUNCTION("IMPORTRANGE(""https://docs.google.com/spreadsheets/d/11923uPwbBZFjjGgGUA6NLw09EwE0CqkOc4q9oUmW1yo/edit?usp=sharing"",""สุโขทัย!I373"")"),0)</f>
        <v>0</v>
      </c>
      <c r="J478" s="190">
        <f ca="1">IFERROR(__xludf.DUMMYFUNCTION("IMPORTRANGE(""https://docs.google.com/spreadsheets/d/11923uPwbBZFjjGgGUA6NLw09EwE0CqkOc4q9oUmW1yo/edit?usp=sharing"",""สุโขทัย!J373"")"),444)</f>
        <v>444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IFERROR(__xludf.DUMMYFUNCTION("IMPORTRANGE(""https://docs.google.com/spreadsheets/d/11923uPwbBZFjjGgGUA6NLw09EwE0CqkOc4q9oUmW1yo/edit?usp=sharing"",""สุโขทัย!I374"")"),0)</f>
        <v>0</v>
      </c>
      <c r="J479" s="190">
        <f ca="1">IFERROR(__xludf.DUMMYFUNCTION("IMPORTRANGE(""https://docs.google.com/spreadsheets/d/11923uPwbBZFjjGgGUA6NLw09EwE0CqkOc4q9oUmW1yo/edit?usp=sharing"",""สุโขทัย!J374"")"),812)</f>
        <v>812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IFERROR(__xludf.DUMMYFUNCTION("IMPORTRANGE(""https://docs.google.com/spreadsheets/d/11923uPwbBZFjjGgGUA6NLw09EwE0CqkOc4q9oUmW1yo/edit?usp=sharing"",""สุโขทัย!I375"")"),0)</f>
        <v>0</v>
      </c>
      <c r="J480" s="190">
        <f ca="1">IFERROR(__xludf.DUMMYFUNCTION("IMPORTRANGE(""https://docs.google.com/spreadsheets/d/11923uPwbBZFjjGgGUA6NLw09EwE0CqkOc4q9oUmW1yo/edit?usp=sharing"",""สุโขทัย!J375"")"),89)</f>
        <v>89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IFERROR(__xludf.DUMMYFUNCTION("IMPORTRANGE(""https://docs.google.com/spreadsheets/d/11923uPwbBZFjjGgGUA6NLw09EwE0CqkOc4q9oUmW1yo/edit?usp=sharing"",""สุโขทัย!I376"")"),35801)</f>
        <v>35801</v>
      </c>
      <c r="J481" s="422">
        <f ca="1">IFERROR(__xludf.DUMMYFUNCTION("IMPORTRANGE(""https://docs.google.com/spreadsheets/d/11923uPwbBZFjjGgGUA6NLw09EwE0CqkOc4q9oUmW1yo/edit?usp=sharing"",""สุโขทัย!J376"")"),30832)</f>
        <v>30832</v>
      </c>
      <c r="K481" s="203">
        <f t="shared" ca="1" si="117"/>
        <v>86.1204994273903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IFERROR(__xludf.DUMMYFUNCTION("IMPORTRANGE(""https://docs.google.com/spreadsheets/d/11923uPwbBZFjjGgGUA6NLw09EwE0CqkOc4q9oUmW1yo/edit?usp=sharing"",""สุโขทัย!I377"")"),4578)</f>
        <v>4578</v>
      </c>
      <c r="J482" s="422">
        <f ca="1">IFERROR(__xludf.DUMMYFUNCTION("IMPORTRANGE(""https://docs.google.com/spreadsheets/d/11923uPwbBZFjjGgGUA6NLw09EwE0CqkOc4q9oUmW1yo/edit?usp=sharing"",""สุโขทัย!J377"")"),4045)</f>
        <v>4045</v>
      </c>
      <c r="K482" s="203">
        <f t="shared" ca="1" si="117"/>
        <v>88.357361293141111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IFERROR(__xludf.DUMMYFUNCTION("IMPORTRANGE(""https://docs.google.com/spreadsheets/d/11923uPwbBZFjjGgGUA6NLw09EwE0CqkOc4q9oUmW1yo/edit?usp=sharing"",""สุโขทัย!I378"")"),0)</f>
        <v>0</v>
      </c>
      <c r="J483" s="190">
        <f ca="1">IFERROR(__xludf.DUMMYFUNCTION("IMPORTRANGE(""https://docs.google.com/spreadsheets/d/11923uPwbBZFjjGgGUA6NLw09EwE0CqkOc4q9oUmW1yo/edit?usp=sharing"",""สุโขทัย!J378"")"),30832)</f>
        <v>30832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IFERROR(__xludf.DUMMYFUNCTION("IMPORTRANGE(""https://docs.google.com/spreadsheets/d/11923uPwbBZFjjGgGUA6NLw09EwE0CqkOc4q9oUmW1yo/edit?usp=sharing"",""สุโขทัย!I379"")"),0)</f>
        <v>0</v>
      </c>
      <c r="J484" s="190">
        <f ca="1">IFERROR(__xludf.DUMMYFUNCTION("IMPORTRANGE(""https://docs.google.com/spreadsheets/d/11923uPwbBZFjjGgGUA6NLw09EwE0CqkOc4q9oUmW1yo/edit?usp=sharing"",""สุโขทัย!J379"")"),4045)</f>
        <v>4045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IFERROR(__xludf.DUMMYFUNCTION("IMPORTRANGE(""https://docs.google.com/spreadsheets/d/11923uPwbBZFjjGgGUA6NLw09EwE0CqkOc4q9oUmW1yo/edit?usp=sharing"",""สุโขทัย!I380"")"),0)</f>
        <v>0</v>
      </c>
      <c r="J485" s="190">
        <f ca="1">IFERROR(__xludf.DUMMYFUNCTION("IMPORTRANGE(""https://docs.google.com/spreadsheets/d/11923uPwbBZFjjGgGUA6NLw09EwE0CqkOc4q9oUmW1yo/edit?usp=sharing"",""สุโขทัย!J380"")"),0)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IFERROR(__xludf.DUMMYFUNCTION("IMPORTRANGE(""https://docs.google.com/spreadsheets/d/11923uPwbBZFjjGgGUA6NLw09EwE0CqkOc4q9oUmW1yo/edit?usp=sharing"",""สุโขทัย!I381"")"),0)</f>
        <v>0</v>
      </c>
      <c r="J486" s="190">
        <f ca="1">IFERROR(__xludf.DUMMYFUNCTION("IMPORTRANGE(""https://docs.google.com/spreadsheets/d/11923uPwbBZFjjGgGUA6NLw09EwE0CqkOc4q9oUmW1yo/edit?usp=sharing"",""สุโขทัย!J381"")"),0)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IFERROR(__xludf.DUMMYFUNCTION("IMPORTRANGE(""https://docs.google.com/spreadsheets/d/11923uPwbBZFjjGgGUA6NLw09EwE0CqkOc4q9oUmW1yo/edit?usp=sharing"",""สุโขทัย!I382"")"),0)</f>
        <v>0</v>
      </c>
      <c r="J487" s="422">
        <f ca="1">IFERROR(__xludf.DUMMYFUNCTION("IMPORTRANGE(""https://docs.google.com/spreadsheets/d/11923uPwbBZFjjGgGUA6NLw09EwE0CqkOc4q9oUmW1yo/edit?usp=sharing"",""สุโขทัย!J382"")"),0)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IFERROR(__xludf.DUMMYFUNCTION("IMPORTRANGE(""https://docs.google.com/spreadsheets/d/11923uPwbBZFjjGgGUA6NLw09EwE0CqkOc4q9oUmW1yo/edit?usp=sharing"",""สุโขทัย!I383"")"),0)</f>
        <v>0</v>
      </c>
      <c r="J488" s="422">
        <f ca="1">IFERROR(__xludf.DUMMYFUNCTION("IMPORTRANGE(""https://docs.google.com/spreadsheets/d/11923uPwbBZFjjGgGUA6NLw09EwE0CqkOc4q9oUmW1yo/edit?usp=sharing"",""สุโขทัย!J383"")"),0)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IFERROR(__xludf.DUMMYFUNCTION("IMPORTRANGE(""https://docs.google.com/spreadsheets/d/11923uPwbBZFjjGgGUA6NLw09EwE0CqkOc4q9oUmW1yo/edit?usp=sharing"",""สุโขทัย!I384"")"),0)</f>
        <v>0</v>
      </c>
      <c r="J489" s="190">
        <f ca="1">IFERROR(__xludf.DUMMYFUNCTION("IMPORTRANGE(""https://docs.google.com/spreadsheets/d/11923uPwbBZFjjGgGUA6NLw09EwE0CqkOc4q9oUmW1yo/edit?usp=sharing"",""สุโขทัย!J384"")"),0)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IFERROR(__xludf.DUMMYFUNCTION("IMPORTRANGE(""https://docs.google.com/spreadsheets/d/11923uPwbBZFjjGgGUA6NLw09EwE0CqkOc4q9oUmW1yo/edit?usp=sharing"",""สุโขทัย!I385"")"),0)</f>
        <v>0</v>
      </c>
      <c r="J490" s="190">
        <f ca="1">IFERROR(__xludf.DUMMYFUNCTION("IMPORTRANGE(""https://docs.google.com/spreadsheets/d/11923uPwbBZFjjGgGUA6NLw09EwE0CqkOc4q9oUmW1yo/edit?usp=sharing"",""สุโขทัย!J385"")"),0)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IFERROR(__xludf.DUMMYFUNCTION("IMPORTRANGE(""https://docs.google.com/spreadsheets/d/11923uPwbBZFjjGgGUA6NLw09EwE0CqkOc4q9oUmW1yo/edit?usp=sharing"",""สุโขทัย!I386"")"),0)</f>
        <v>0</v>
      </c>
      <c r="J491" s="190">
        <f ca="1">IFERROR(__xludf.DUMMYFUNCTION("IMPORTRANGE(""https://docs.google.com/spreadsheets/d/11923uPwbBZFjjGgGUA6NLw09EwE0CqkOc4q9oUmW1yo/edit?usp=sharing"",""สุโขทัย!J386"")"),0)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IFERROR(__xludf.DUMMYFUNCTION("IMPORTRANGE(""https://docs.google.com/spreadsheets/d/11923uPwbBZFjjGgGUA6NLw09EwE0CqkOc4q9oUmW1yo/edit?usp=sharing"",""สุโขทัย!I387"")"),0)</f>
        <v>0</v>
      </c>
      <c r="J492" s="190">
        <f ca="1">IFERROR(__xludf.DUMMYFUNCTION("IMPORTRANGE(""https://docs.google.com/spreadsheets/d/11923uPwbBZFjjGgGUA6NLw09EwE0CqkOc4q9oUmW1yo/edit?usp=sharing"",""สุโขทัย!J387"")"),0)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IFERROR(__xludf.DUMMYFUNCTION("IMPORTRANGE(""https://docs.google.com/spreadsheets/d/11923uPwbBZFjjGgGUA6NLw09EwE0CqkOc4q9oUmW1yo/edit?usp=sharing"",""สุโขทัย!I388"")"),0)</f>
        <v>0</v>
      </c>
      <c r="J493" s="190">
        <f ca="1">IFERROR(__xludf.DUMMYFUNCTION("IMPORTRANGE(""https://docs.google.com/spreadsheets/d/11923uPwbBZFjjGgGUA6NLw09EwE0CqkOc4q9oUmW1yo/edit?usp=sharing"",""สุโขทัย!J388"")"),0)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IFERROR(__xludf.DUMMYFUNCTION("IMPORTRANGE(""https://docs.google.com/spreadsheets/d/11923uPwbBZFjjGgGUA6NLw09EwE0CqkOc4q9oUmW1yo/edit?usp=sharing"",""สุโขทัย!I389"")"),0)</f>
        <v>0</v>
      </c>
      <c r="J494" s="438">
        <f ca="1">IFERROR(__xludf.DUMMYFUNCTION("IMPORTRANGE(""https://docs.google.com/spreadsheets/d/11923uPwbBZFjjGgGUA6NLw09EwE0CqkOc4q9oUmW1yo/edit?usp=sharing"",""สุโขทัย!J389"")"),0)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IFERROR(__xludf.DUMMYFUNCTION("IMPORTRANGE(""https://docs.google.com/spreadsheets/d/11923uPwbBZFjjGgGUA6NLw09EwE0CqkOc4q9oUmW1yo/edit?usp=sharing"",""สุโขทัย!I390"")"),0)</f>
        <v>0</v>
      </c>
      <c r="J495" s="438">
        <f ca="1">IFERROR(__xludf.DUMMYFUNCTION("IMPORTRANGE(""https://docs.google.com/spreadsheets/d/11923uPwbBZFjjGgGUA6NLw09EwE0CqkOc4q9oUmW1yo/edit?usp=sharing"",""สุโขทัย!J390"")"),0)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IFERROR(__xludf.DUMMYFUNCTION("IMPORTRANGE(""https://docs.google.com/spreadsheets/d/11923uPwbBZFjjGgGUA6NLw09EwE0CqkOc4q9oUmW1yo/edit?usp=sharing"",""สุโขทัย!I391"")"),0)</f>
        <v>0</v>
      </c>
      <c r="J496" s="438">
        <f ca="1">IFERROR(__xludf.DUMMYFUNCTION("IMPORTRANGE(""https://docs.google.com/spreadsheets/d/11923uPwbBZFjjGgGUA6NLw09EwE0CqkOc4q9oUmW1yo/edit?usp=sharing"",""สุโขทัย!J391"")"),0)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IFERROR(__xludf.DUMMYFUNCTION("IMPORTRANGE(""https://docs.google.com/spreadsheets/d/11923uPwbBZFjjGgGUA6NLw09EwE0CqkOc4q9oUmW1yo/edit?usp=sharing"",""สุโขทัย!I392"")"),1851)</f>
        <v>1851</v>
      </c>
      <c r="J497" s="445">
        <f ca="1">IFERROR(__xludf.DUMMYFUNCTION("IMPORTRANGE(""https://docs.google.com/spreadsheets/d/11923uPwbBZFjjGgGUA6NLw09EwE0CqkOc4q9oUmW1yo/edit?usp=sharing"",""สุโขทัย!J392"")"),1328)</f>
        <v>1328</v>
      </c>
      <c r="K497" s="446">
        <f t="shared" ca="1" si="117"/>
        <v>71.745002701242569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IFERROR(__xludf.DUMMYFUNCTION("IMPORTRANGE(""https://docs.google.com/spreadsheets/d/11923uPwbBZFjjGgGUA6NLw09EwE0CqkOc4q9oUmW1yo/edit?usp=sharing"",""สุโขทัย!I393"")"),1851)</f>
        <v>1851</v>
      </c>
      <c r="J498" s="422">
        <f ca="1">IFERROR(__xludf.DUMMYFUNCTION("IMPORTRANGE(""https://docs.google.com/spreadsheets/d/11923uPwbBZFjjGgGUA6NLw09EwE0CqkOc4q9oUmW1yo/edit?usp=sharing"",""สุโขทัย!J393"")"),1328)</f>
        <v>1328</v>
      </c>
      <c r="K498" s="165">
        <f t="shared" ca="1" si="117"/>
        <v>71.745002701242569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IFERROR(__xludf.DUMMYFUNCTION("IMPORTRANGE(""https://docs.google.com/spreadsheets/d/11923uPwbBZFjjGgGUA6NLw09EwE0CqkOc4q9oUmW1yo/edit?usp=sharing"",""สุโขทัย!I394"")"),138)</f>
        <v>138</v>
      </c>
      <c r="J499" s="422">
        <f ca="1">IFERROR(__xludf.DUMMYFUNCTION("IMPORTRANGE(""https://docs.google.com/spreadsheets/d/11923uPwbBZFjjGgGUA6NLw09EwE0CqkOc4q9oUmW1yo/edit?usp=sharing"",""สุโขทัย!J394"")"),98)</f>
        <v>98</v>
      </c>
      <c r="K499" s="203">
        <f t="shared" ca="1" si="117"/>
        <v>71.014492753623188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IFERROR(__xludf.DUMMYFUNCTION("IMPORTRANGE(""https://docs.google.com/spreadsheets/d/11923uPwbBZFjjGgGUA6NLw09EwE0CqkOc4q9oUmW1yo/edit?usp=sharing"",""สุโขทัย!I395"")"),0)</f>
        <v>0</v>
      </c>
      <c r="J500" s="164">
        <f ca="1">IFERROR(__xludf.DUMMYFUNCTION("IMPORTRANGE(""https://docs.google.com/spreadsheets/d/11923uPwbBZFjjGgGUA6NLw09EwE0CqkOc4q9oUmW1yo/edit?usp=sharing"",""สุโขทัย!J395"")"),1190)</f>
        <v>1190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IFERROR(__xludf.DUMMYFUNCTION("IMPORTRANGE(""https://docs.google.com/spreadsheets/d/11923uPwbBZFjjGgGUA6NLw09EwE0CqkOc4q9oUmW1yo/edit?usp=sharing"",""สุโขทัย!I396"")"),0)</f>
        <v>0</v>
      </c>
      <c r="J501" s="164">
        <f ca="1">IFERROR(__xludf.DUMMYFUNCTION("IMPORTRANGE(""https://docs.google.com/spreadsheets/d/11923uPwbBZFjjGgGUA6NLw09EwE0CqkOc4q9oUmW1yo/edit?usp=sharing"",""สุโขทัย!J396"")"),89)</f>
        <v>89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IFERROR(__xludf.DUMMYFUNCTION("IMPORTRANGE(""https://docs.google.com/spreadsheets/d/11923uPwbBZFjjGgGUA6NLw09EwE0CqkOc4q9oUmW1yo/edit?usp=sharing"",""สุโขทัย!I397"")"),0)</f>
        <v>0</v>
      </c>
      <c r="J502" s="190">
        <f ca="1">IFERROR(__xludf.DUMMYFUNCTION("IMPORTRANGE(""https://docs.google.com/spreadsheets/d/11923uPwbBZFjjGgGUA6NLw09EwE0CqkOc4q9oUmW1yo/edit?usp=sharing"",""สุโขทัย!J397"")"),1145)</f>
        <v>1145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IFERROR(__xludf.DUMMYFUNCTION("IMPORTRANGE(""https://docs.google.com/spreadsheets/d/11923uPwbBZFjjGgGUA6NLw09EwE0CqkOc4q9oUmW1yo/edit?usp=sharing"",""สุโขทัย!I398"")"),0)</f>
        <v>0</v>
      </c>
      <c r="J503" s="199">
        <f ca="1">IFERROR(__xludf.DUMMYFUNCTION("IMPORTRANGE(""https://docs.google.com/spreadsheets/d/11923uPwbBZFjjGgGUA6NLw09EwE0CqkOc4q9oUmW1yo/edit?usp=sharing"",""สุโขทัย!J398"")"),84)</f>
        <v>84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IFERROR(__xludf.DUMMYFUNCTION("IMPORTRANGE(""https://docs.google.com/spreadsheets/d/11923uPwbBZFjjGgGUA6NLw09EwE0CqkOc4q9oUmW1yo/edit?usp=sharing"",""สุโขทัย!I399"")"),0)</f>
        <v>0</v>
      </c>
      <c r="J504" s="190">
        <f ca="1">IFERROR(__xludf.DUMMYFUNCTION("IMPORTRANGE(""https://docs.google.com/spreadsheets/d/11923uPwbBZFjjGgGUA6NLw09EwE0CqkOc4q9oUmW1yo/edit?usp=sharing"",""สุโขทัย!J399"")"),45)</f>
        <v>45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IFERROR(__xludf.DUMMYFUNCTION("IMPORTRANGE(""https://docs.google.com/spreadsheets/d/11923uPwbBZFjjGgGUA6NLw09EwE0CqkOc4q9oUmW1yo/edit?usp=sharing"",""สุโขทัย!I400"")"),0)</f>
        <v>0</v>
      </c>
      <c r="J505" s="199">
        <f ca="1">IFERROR(__xludf.DUMMYFUNCTION("IMPORTRANGE(""https://docs.google.com/spreadsheets/d/11923uPwbBZFjjGgGUA6NLw09EwE0CqkOc4q9oUmW1yo/edit?usp=sharing"",""สุโขทัย!J400"")"),5)</f>
        <v>5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IFERROR(__xludf.DUMMYFUNCTION("IMPORTRANGE(""https://docs.google.com/spreadsheets/d/11923uPwbBZFjjGgGUA6NLw09EwE0CqkOc4q9oUmW1yo/edit?usp=sharing"",""สุโขทัย!I401"")"),0)</f>
        <v>0</v>
      </c>
      <c r="J506" s="190">
        <f ca="1">IFERROR(__xludf.DUMMYFUNCTION("IMPORTRANGE(""https://docs.google.com/spreadsheets/d/11923uPwbBZFjjGgGUA6NLw09EwE0CqkOc4q9oUmW1yo/edit?usp=sharing"",""สุโขทัย!J401"")"),0)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IFERROR(__xludf.DUMMYFUNCTION("IMPORTRANGE(""https://docs.google.com/spreadsheets/d/11923uPwbBZFjjGgGUA6NLw09EwE0CqkOc4q9oUmW1yo/edit?usp=sharing"",""สุโขทัย!I402"")"),0)</f>
        <v>0</v>
      </c>
      <c r="J507" s="199">
        <f ca="1">IFERROR(__xludf.DUMMYFUNCTION("IMPORTRANGE(""https://docs.google.com/spreadsheets/d/11923uPwbBZFjjGgGUA6NLw09EwE0CqkOc4q9oUmW1yo/edit?usp=sharing"",""สุโขทัย!J402"")"),0)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IFERROR(__xludf.DUMMYFUNCTION("IMPORTRANGE(""https://docs.google.com/spreadsheets/d/11923uPwbBZFjjGgGUA6NLw09EwE0CqkOc4q9oUmW1yo/edit?usp=sharing"",""สุโขทัย!I403"")"),0)</f>
        <v>0</v>
      </c>
      <c r="J508" s="164">
        <f ca="1">IFERROR(__xludf.DUMMYFUNCTION("IMPORTRANGE(""https://docs.google.com/spreadsheets/d/11923uPwbBZFjjGgGUA6NLw09EwE0CqkOc4q9oUmW1yo/edit?usp=sharing"",""สุโขทัย!J403"")"),138)</f>
        <v>138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IFERROR(__xludf.DUMMYFUNCTION("IMPORTRANGE(""https://docs.google.com/spreadsheets/d/11923uPwbBZFjjGgGUA6NLw09EwE0CqkOc4q9oUmW1yo/edit?usp=sharing"",""สุโขทัย!I404"")"),0)</f>
        <v>0</v>
      </c>
      <c r="J509" s="164">
        <f ca="1">IFERROR(__xludf.DUMMYFUNCTION("IMPORTRANGE(""https://docs.google.com/spreadsheets/d/11923uPwbBZFjjGgGUA6NLw09EwE0CqkOc4q9oUmW1yo/edit?usp=sharing"",""สุโขทัย!J404"")"),9)</f>
        <v>9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IFERROR(__xludf.DUMMYFUNCTION("IMPORTRANGE(""https://docs.google.com/spreadsheets/d/11923uPwbBZFjjGgGUA6NLw09EwE0CqkOc4q9oUmW1yo/edit?usp=sharing"",""สุโขทัย!I405"")"),0)</f>
        <v>0</v>
      </c>
      <c r="J510" s="199">
        <f ca="1">IFERROR(__xludf.DUMMYFUNCTION("IMPORTRANGE(""https://docs.google.com/spreadsheets/d/11923uPwbBZFjjGgGUA6NLw09EwE0CqkOc4q9oUmW1yo/edit?usp=sharing"",""สุโขทัย!J405"")"),138)</f>
        <v>138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IFERROR(__xludf.DUMMYFUNCTION("IMPORTRANGE(""https://docs.google.com/spreadsheets/d/11923uPwbBZFjjGgGUA6NLw09EwE0CqkOc4q9oUmW1yo/edit?usp=sharing"",""สุโขทัย!I406"")"),0)</f>
        <v>0</v>
      </c>
      <c r="J511" s="199">
        <f ca="1">IFERROR(__xludf.DUMMYFUNCTION("IMPORTRANGE(""https://docs.google.com/spreadsheets/d/11923uPwbBZFjjGgGUA6NLw09EwE0CqkOc4q9oUmW1yo/edit?usp=sharing"",""สุโขทัย!J406"")"),9)</f>
        <v>9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IFERROR(__xludf.DUMMYFUNCTION("IMPORTRANGE(""https://docs.google.com/spreadsheets/d/11923uPwbBZFjjGgGUA6NLw09EwE0CqkOc4q9oUmW1yo/edit?usp=sharing"",""สุโขทัย!I407"")"),0)</f>
        <v>0</v>
      </c>
      <c r="J512" s="199">
        <f ca="1">IFERROR(__xludf.DUMMYFUNCTION("IMPORTRANGE(""https://docs.google.com/spreadsheets/d/11923uPwbBZFjjGgGUA6NLw09EwE0CqkOc4q9oUmW1yo/edit?usp=sharing"",""สุโขทัย!J407"")"),0)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IFERROR(__xludf.DUMMYFUNCTION("IMPORTRANGE(""https://docs.google.com/spreadsheets/d/11923uPwbBZFjjGgGUA6NLw09EwE0CqkOc4q9oUmW1yo/edit?usp=sharing"",""สุโขทัย!I408"")"),0)</f>
        <v>0</v>
      </c>
      <c r="J513" s="199">
        <f ca="1">IFERROR(__xludf.DUMMYFUNCTION("IMPORTRANGE(""https://docs.google.com/spreadsheets/d/11923uPwbBZFjjGgGUA6NLw09EwE0CqkOc4q9oUmW1yo/edit?usp=sharing"",""สุโขทัย!J408"")"),0)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IFERROR(__xludf.DUMMYFUNCTION("IMPORTRANGE(""https://docs.google.com/spreadsheets/d/11923uPwbBZFjjGgGUA6NLw09EwE0CqkOc4q9oUmW1yo/edit?usp=sharing"",""สุโขทัย!I409"")"),0)</f>
        <v>0</v>
      </c>
      <c r="J514" s="199">
        <f ca="1">IFERROR(__xludf.DUMMYFUNCTION("IMPORTRANGE(""https://docs.google.com/spreadsheets/d/11923uPwbBZFjjGgGUA6NLw09EwE0CqkOc4q9oUmW1yo/edit?usp=sharing"",""สุโขทัย!J409"")"),0)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IFERROR(__xludf.DUMMYFUNCTION("IMPORTRANGE(""https://docs.google.com/spreadsheets/d/11923uPwbBZFjjGgGUA6NLw09EwE0CqkOc4q9oUmW1yo/edit?usp=sharing"",""สุโขทัย!I410"")"),0)</f>
        <v>0</v>
      </c>
      <c r="J515" s="199">
        <f ca="1">IFERROR(__xludf.DUMMYFUNCTION("IMPORTRANGE(""https://docs.google.com/spreadsheets/d/11923uPwbBZFjjGgGUA6NLw09EwE0CqkOc4q9oUmW1yo/edit?usp=sharing"",""สุโขทัย!J410"")"),0)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IFERROR(__xludf.DUMMYFUNCTION("IMPORTRANGE(""https://docs.google.com/spreadsheets/d/11923uPwbBZFjjGgGUA6NLw09EwE0CqkOc4q9oUmW1yo/edit?usp=sharing"",""สุโขทัย!I411"")"),0)</f>
        <v>0</v>
      </c>
      <c r="J516" s="268">
        <f ca="1">IFERROR(__xludf.DUMMYFUNCTION("IMPORTRANGE(""https://docs.google.com/spreadsheets/d/11923uPwbBZFjjGgGUA6NLw09EwE0CqkOc4q9oUmW1yo/edit?usp=sharing"",""สุโขทัย!J411"")"),0)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IFERROR(__xludf.DUMMYFUNCTION("IMPORTRANGE(""https://docs.google.com/spreadsheets/d/11923uPwbBZFjjGgGUA6NLw09EwE0CqkOc4q9oUmW1yo/edit?usp=sharing"",""สุโขทัย!I412"")"),0)</f>
        <v>0</v>
      </c>
      <c r="J517" s="285">
        <f ca="1">IFERROR(__xludf.DUMMYFUNCTION("IMPORTRANGE(""https://docs.google.com/spreadsheets/d/11923uPwbBZFjjGgGUA6NLw09EwE0CqkOc4q9oUmW1yo/edit?usp=sharing"",""สุโขทัย!J412"")"),0)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IFERROR(__xludf.DUMMYFUNCTION("IMPORTRANGE(""https://docs.google.com/spreadsheets/d/11923uPwbBZFjjGgGUA6NLw09EwE0CqkOc4q9oUmW1yo/edit?usp=sharing"",""สุโขทัย!I413"")"),0)</f>
        <v>0</v>
      </c>
      <c r="J518" s="285">
        <f ca="1">IFERROR(__xludf.DUMMYFUNCTION("IMPORTRANGE(""https://docs.google.com/spreadsheets/d/11923uPwbBZFjjGgGUA6NLw09EwE0CqkOc4q9oUmW1yo/edit?usp=sharing"",""สุโขทัย!J413"")"),0)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IFERROR(__xludf.DUMMYFUNCTION("IMPORTRANGE(""https://docs.google.com/spreadsheets/d/11923uPwbBZFjjGgGUA6NLw09EwE0CqkOc4q9oUmW1yo/edit?usp=sharing"",""สุโขทัย!I414"")"),0)</f>
        <v>0</v>
      </c>
      <c r="J519" s="189">
        <f ca="1">IFERROR(__xludf.DUMMYFUNCTION("IMPORTRANGE(""https://docs.google.com/spreadsheets/d/11923uPwbBZFjjGgGUA6NLw09EwE0CqkOc4q9oUmW1yo/edit?usp=sharing"",""สุโขทัย!J414"")"),0)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IFERROR(__xludf.DUMMYFUNCTION("IMPORTRANGE(""https://docs.google.com/spreadsheets/d/11923uPwbBZFjjGgGUA6NLw09EwE0CqkOc4q9oUmW1yo/edit?usp=sharing"",""สุโขทัย!I415"")"),0)</f>
        <v>0</v>
      </c>
      <c r="J520" s="189">
        <f ca="1">IFERROR(__xludf.DUMMYFUNCTION("IMPORTRANGE(""https://docs.google.com/spreadsheets/d/11923uPwbBZFjjGgGUA6NLw09EwE0CqkOc4q9oUmW1yo/edit?usp=sharing"",""สุโขทัย!J415"")"),0)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IFERROR(__xludf.DUMMYFUNCTION("IMPORTRANGE(""https://docs.google.com/spreadsheets/d/11923uPwbBZFjjGgGUA6NLw09EwE0CqkOc4q9oUmW1yo/edit?usp=sharing"",""สุโขทัย!I416"")"),0)</f>
        <v>0</v>
      </c>
      <c r="J521" s="189">
        <f ca="1">IFERROR(__xludf.DUMMYFUNCTION("IMPORTRANGE(""https://docs.google.com/spreadsheets/d/11923uPwbBZFjjGgGUA6NLw09EwE0CqkOc4q9oUmW1yo/edit?usp=sharing"",""สุโขทัย!J416"")"),0)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IFERROR(__xludf.DUMMYFUNCTION("IMPORTRANGE(""https://docs.google.com/spreadsheets/d/11923uPwbBZFjjGgGUA6NLw09EwE0CqkOc4q9oUmW1yo/edit?usp=sharing"",""สุโขทัย!I417"")"),0)</f>
        <v>0</v>
      </c>
      <c r="J522" s="189">
        <f ca="1">IFERROR(__xludf.DUMMYFUNCTION("IMPORTRANGE(""https://docs.google.com/spreadsheets/d/11923uPwbBZFjjGgGUA6NLw09EwE0CqkOc4q9oUmW1yo/edit?usp=sharing"",""สุโขทัย!J417"")"),0)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IFERROR(__xludf.DUMMYFUNCTION("IMPORTRANGE(""https://docs.google.com/spreadsheets/d/11923uPwbBZFjjGgGUA6NLw09EwE0CqkOc4q9oUmW1yo/edit?usp=sharing"",""สุโขทัย!I418"")"),0)</f>
        <v>0</v>
      </c>
      <c r="J523" s="189">
        <f ca="1">IFERROR(__xludf.DUMMYFUNCTION("IMPORTRANGE(""https://docs.google.com/spreadsheets/d/11923uPwbBZFjjGgGUA6NLw09EwE0CqkOc4q9oUmW1yo/edit?usp=sharing"",""สุโขทัย!J418"")"),12)</f>
        <v>12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IFERROR(__xludf.DUMMYFUNCTION("IMPORTRANGE(""https://docs.google.com/spreadsheets/d/11923uPwbBZFjjGgGUA6NLw09EwE0CqkOc4q9oUmW1yo/edit?usp=sharing"",""สุโขทัย!I419"")"),0)</f>
        <v>0</v>
      </c>
      <c r="J524" s="189">
        <f ca="1">IFERROR(__xludf.DUMMYFUNCTION("IMPORTRANGE(""https://docs.google.com/spreadsheets/d/11923uPwbBZFjjGgGUA6NLw09EwE0CqkOc4q9oUmW1yo/edit?usp=sharing"",""สุโขทัย!J419"")"),2)</f>
        <v>2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IFERROR(__xludf.DUMMYFUNCTION("IMPORTRANGE(""https://docs.google.com/spreadsheets/d/11923uPwbBZFjjGgGUA6NLw09EwE0CqkOc4q9oUmW1yo/edit?usp=sharing"",""สุโขทัย!I420"")"),12)</f>
        <v>12</v>
      </c>
      <c r="J525" s="285">
        <f ca="1">IFERROR(__xludf.DUMMYFUNCTION("IMPORTRANGE(""https://docs.google.com/spreadsheets/d/11923uPwbBZFjjGgGUA6NLw09EwE0CqkOc4q9oUmW1yo/edit?usp=sharing"",""สุโขทัย!J420"")"),12)</f>
        <v>12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IFERROR(__xludf.DUMMYFUNCTION("IMPORTRANGE(""https://docs.google.com/spreadsheets/d/11923uPwbBZFjjGgGUA6NLw09EwE0CqkOc4q9oUmW1yo/edit?usp=sharing"",""สุโขทัย!I421"")"),2)</f>
        <v>2</v>
      </c>
      <c r="J526" s="285">
        <f ca="1">IFERROR(__xludf.DUMMYFUNCTION("IMPORTRANGE(""https://docs.google.com/spreadsheets/d/11923uPwbBZFjjGgGUA6NLw09EwE0CqkOc4q9oUmW1yo/edit?usp=sharing"",""สุโขทัย!J421"")"),2)</f>
        <v>2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IFERROR(__xludf.DUMMYFUNCTION("IMPORTRANGE(""https://docs.google.com/spreadsheets/d/11923uPwbBZFjjGgGUA6NLw09EwE0CqkOc4q9oUmW1yo/edit?usp=sharing"",""สุโขทัย!I422"")"),0)</f>
        <v>0</v>
      </c>
      <c r="J527" s="199">
        <f ca="1">IFERROR(__xludf.DUMMYFUNCTION("IMPORTRANGE(""https://docs.google.com/spreadsheets/d/11923uPwbBZFjjGgGUA6NLw09EwE0CqkOc4q9oUmW1yo/edit?usp=sharing"",""สุโขทัย!J422"")"),0)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IFERROR(__xludf.DUMMYFUNCTION("IMPORTRANGE(""https://docs.google.com/spreadsheets/d/11923uPwbBZFjjGgGUA6NLw09EwE0CqkOc4q9oUmW1yo/edit?usp=sharing"",""สุโขทัย!I423"")"),0)</f>
        <v>0</v>
      </c>
      <c r="J528" s="199">
        <f ca="1">IFERROR(__xludf.DUMMYFUNCTION("IMPORTRANGE(""https://docs.google.com/spreadsheets/d/11923uPwbBZFjjGgGUA6NLw09EwE0CqkOc4q9oUmW1yo/edit?usp=sharing"",""สุโขทัย!J423"")"),0)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IFERROR(__xludf.DUMMYFUNCTION("IMPORTRANGE(""https://docs.google.com/spreadsheets/d/11923uPwbBZFjjGgGUA6NLw09EwE0CqkOc4q9oUmW1yo/edit?usp=sharing"",""สุโขทัย!I424"")"),0)</f>
        <v>0</v>
      </c>
      <c r="J529" s="199">
        <f ca="1">IFERROR(__xludf.DUMMYFUNCTION("IMPORTRANGE(""https://docs.google.com/spreadsheets/d/11923uPwbBZFjjGgGUA6NLw09EwE0CqkOc4q9oUmW1yo/edit?usp=sharing"",""สุโขทัย!J424"")"),12)</f>
        <v>12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IFERROR(__xludf.DUMMYFUNCTION("IMPORTRANGE(""https://docs.google.com/spreadsheets/d/11923uPwbBZFjjGgGUA6NLw09EwE0CqkOc4q9oUmW1yo/edit?usp=sharing"",""สุโขทัย!I425"")"),0)</f>
        <v>0</v>
      </c>
      <c r="J530" s="199">
        <f ca="1">IFERROR(__xludf.DUMMYFUNCTION("IMPORTRANGE(""https://docs.google.com/spreadsheets/d/11923uPwbBZFjjGgGUA6NLw09EwE0CqkOc4q9oUmW1yo/edit?usp=sharing"",""สุโขทัย!J425"")"),2)</f>
        <v>2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IFERROR(__xludf.DUMMYFUNCTION("IMPORTRANGE(""https://docs.google.com/spreadsheets/d/11923uPwbBZFjjGgGUA6NLw09EwE0CqkOc4q9oUmW1yo/edit?usp=sharing"",""สุโขทัย!I426"")"),0)</f>
        <v>0</v>
      </c>
      <c r="J531" s="199">
        <f ca="1">IFERROR(__xludf.DUMMYFUNCTION("IMPORTRANGE(""https://docs.google.com/spreadsheets/d/11923uPwbBZFjjGgGUA6NLw09EwE0CqkOc4q9oUmW1yo/edit?usp=sharing"",""สุโขทัย!J426"")"),0)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IFERROR(__xludf.DUMMYFUNCTION("IMPORTRANGE(""https://docs.google.com/spreadsheets/d/11923uPwbBZFjjGgGUA6NLw09EwE0CqkOc4q9oUmW1yo/edit?usp=sharing"",""สุโขทัย!I427"")"),0)</f>
        <v>0</v>
      </c>
      <c r="J532" s="468">
        <f ca="1">IFERROR(__xludf.DUMMYFUNCTION("IMPORTRANGE(""https://docs.google.com/spreadsheets/d/11923uPwbBZFjjGgGUA6NLw09EwE0CqkOc4q9oUmW1yo/edit?usp=sharing"",""สุโขทัย!J427"")"),0)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IFERROR(__xludf.DUMMYFUNCTION("IMPORTRANGE(""https://docs.google.com/spreadsheets/d/11923uPwbBZFjjGgGUA6NLw09EwE0CqkOc4q9oUmW1yo/edit?usp=sharing"",""สุโขทัย!I428"")"),22)</f>
        <v>22</v>
      </c>
      <c r="J533" s="411">
        <f ca="1">IFERROR(__xludf.DUMMYFUNCTION("IMPORTRANGE(""https://docs.google.com/spreadsheets/d/11923uPwbBZFjjGgGUA6NLw09EwE0CqkOc4q9oUmW1yo/edit?usp=sharing"",""สุโขทัย!J428"")"),22)</f>
        <v>22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IFERROR(__xludf.DUMMYFUNCTION("IMPORTRANGE(""https://docs.google.com/spreadsheets/d/11923uPwbBZFjjGgGUA6NLw09EwE0CqkOc4q9oUmW1yo/edit?usp=sharing"",""สุโขทัย!L428"")"),34340)</f>
        <v>34340</v>
      </c>
      <c r="M533" s="413"/>
      <c r="N533" s="413">
        <f ca="1">IFERROR(__xludf.DUMMYFUNCTION("IMPORTRANGE(""https://docs.google.com/spreadsheets/d/11923uPwbBZFjjGgGUA6NLw09EwE0CqkOc4q9oUmW1yo/edit?usp=sharing"",""สุโขทัย!M428"")"),18740)</f>
        <v>18740</v>
      </c>
      <c r="O533" s="413">
        <f t="shared" ref="O533:O537" ca="1" si="118">+IF(L533&gt;0,N533*100/L533,0)</f>
        <v>54.571927781013393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IFERROR(__xludf.DUMMYFUNCTION("IMPORTRANGE(""https://docs.google.com/spreadsheets/d/11923uPwbBZFjjGgGUA6NLw09EwE0CqkOc4q9oUmW1yo/edit?usp=sharing"",""สุโขทัย!L429"")"),0)</f>
        <v>0</v>
      </c>
      <c r="M534" s="166"/>
      <c r="N534" s="170">
        <f ca="1">IFERROR(__xludf.DUMMYFUNCTION("IMPORTRANGE(""https://docs.google.com/spreadsheets/d/11923uPwbBZFjjGgGUA6NLw09EwE0CqkOc4q9oUmW1yo/edit?usp=sharing"",""สุโขทัย!M429"")"),0)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IFERROR(__xludf.DUMMYFUNCTION("IMPORTRANGE(""https://docs.google.com/spreadsheets/d/11923uPwbBZFjjGgGUA6NLw09EwE0CqkOc4q9oUmW1yo/edit?usp=sharing"",""สุโขทัย!L430"")"),34340)</f>
        <v>34340</v>
      </c>
      <c r="M535" s="167"/>
      <c r="N535" s="170">
        <f ca="1">IFERROR(__xludf.DUMMYFUNCTION("IMPORTRANGE(""https://docs.google.com/spreadsheets/d/11923uPwbBZFjjGgGUA6NLw09EwE0CqkOc4q9oUmW1yo/edit?usp=sharing"",""สุโขทัย!M430"")"),18740)</f>
        <v>18740</v>
      </c>
      <c r="O535" s="170">
        <f t="shared" ca="1" si="118"/>
        <v>54.571927781013393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IFERROR(__xludf.DUMMYFUNCTION("IMPORTRANGE(""https://docs.google.com/spreadsheets/d/11923uPwbBZFjjGgGUA6NLw09EwE0CqkOc4q9oUmW1yo/edit?usp=sharing"",""สุโขทัย!L431"")"),0)</f>
        <v>0</v>
      </c>
      <c r="M536" s="170"/>
      <c r="N536" s="170">
        <f ca="1">IFERROR(__xludf.DUMMYFUNCTION("IMPORTRANGE(""https://docs.google.com/spreadsheets/d/11923uPwbBZFjjGgGUA6NLw09EwE0CqkOc4q9oUmW1yo/edit?usp=sharing"",""สุโขทัย!M431"")"),0)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IFERROR(__xludf.DUMMYFUNCTION("IMPORTRANGE(""https://docs.google.com/spreadsheets/d/11923uPwbBZFjjGgGUA6NLw09EwE0CqkOc4q9oUmW1yo/edit?usp=sharing"",""สุโขทัย!L432"")"),34340)</f>
        <v>34340</v>
      </c>
      <c r="M537" s="170"/>
      <c r="N537" s="170">
        <f ca="1">IFERROR(__xludf.DUMMYFUNCTION("IMPORTRANGE(""https://docs.google.com/spreadsheets/d/11923uPwbBZFjjGgGUA6NLw09EwE0CqkOc4q9oUmW1yo/edit?usp=sharing"",""สุโขทัย!M432"")"),18740)</f>
        <v>18740</v>
      </c>
      <c r="O537" s="170">
        <f t="shared" ca="1" si="118"/>
        <v>54.571927781013393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IFERROR(__xludf.DUMMYFUNCTION("IMPORTRANGE(""https://docs.google.com/spreadsheets/d/11923uPwbBZFjjGgGUA6NLw09EwE0CqkOc4q9oUmW1yo/edit?usp=sharing"",""สุโขทัย!M433"")"),18740)</f>
        <v>18740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IFERROR(__xludf.DUMMYFUNCTION("IMPORTRANGE(""https://docs.google.com/spreadsheets/d/11923uPwbBZFjjGgGUA6NLw09EwE0CqkOc4q9oUmW1yo/edit?usp=sharing"",""สุโขทัย!M434"")"),0)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IFERROR(__xludf.DUMMYFUNCTION("IMPORTRANGE(""https://docs.google.com/spreadsheets/d/11923uPwbBZFjjGgGUA6NLw09EwE0CqkOc4q9oUmW1yo/edit?usp=sharing"",""สุโขทัย!M435"")"),0)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IFERROR(__xludf.DUMMYFUNCTION("IMPORTRANGE(""https://docs.google.com/spreadsheets/d/11923uPwbBZFjjGgGUA6NLw09EwE0CqkOc4q9oUmW1yo/edit?usp=sharing"",""สุโขทัย!M436"")"),0)</f>
        <v>0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IFERROR(__xludf.DUMMYFUNCTION("IMPORTRANGE(""https://docs.google.com/spreadsheets/d/11923uPwbBZFjjGgGUA6NLw09EwE0CqkOc4q9oUmW1yo/edit?usp=sharing"",""สุโขทัย!J438"")"),0)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IFERROR(__xludf.DUMMYFUNCTION("IMPORTRANGE(""https://docs.google.com/spreadsheets/d/11923uPwbBZFjjGgGUA6NLw09EwE0CqkOc4q9oUmW1yo/edit?usp=sharing"",""สุโขทัย!J439"")"),1)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IFERROR(__xludf.DUMMYFUNCTION("IMPORTRANGE(""https://docs.google.com/spreadsheets/d/11923uPwbBZFjjGgGUA6NLw09EwE0CqkOc4q9oUmW1yo/edit?usp=sharing"",""สุโขทัย!J440"")"),1)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IFERROR(__xludf.DUMMYFUNCTION("IMPORTRANGE(""https://docs.google.com/spreadsheets/d/11923uPwbBZFjjGgGUA6NLw09EwE0CqkOc4q9oUmW1yo/edit?usp=sharing"",""สุโขทัย!J441"")"),1)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IFERROR(__xludf.DUMMYFUNCTION("IMPORTRANGE(""https://docs.google.com/spreadsheets/d/11923uPwbBZFjjGgGUA6NLw09EwE0CqkOc4q9oUmW1yo/edit?usp=sharing"",""สุโขทัย!I442"")"),22)</f>
        <v>22</v>
      </c>
      <c r="J547" s="190">
        <f ca="1">IFERROR(__xludf.DUMMYFUNCTION("IMPORTRANGE(""https://docs.google.com/spreadsheets/d/11923uPwbBZFjjGgGUA6NLw09EwE0CqkOc4q9oUmW1yo/edit?usp=sharing"",""สุโขทัย!J442"")"),22)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IFERROR(__xludf.DUMMYFUNCTION("IMPORTRANGE(""https://docs.google.com/spreadsheets/d/11923uPwbBZFjjGgGUA6NLw09EwE0CqkOc4q9oUmW1yo/edit?usp=sharing"",""สุโขทัย!J166"")"),0)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IFERROR(__xludf.DUMMYFUNCTION("IMPORTRANGE(""https://docs.google.com/spreadsheets/d/11923uPwbBZFjjGgGUA6NLw09EwE0CqkOc4q9oUmW1yo/edit?usp=sharing"",""สุโขทัย!J444"")"),0)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IFERROR(__xludf.DUMMYFUNCTION("IMPORTRANGE(""https://docs.google.com/spreadsheets/d/11923uPwbBZFjjGgGUA6NLw09EwE0CqkOc4q9oUmW1yo/edit?usp=sharing"",""สุโขทัย!J445"")"),0)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IFERROR(__xludf.DUMMYFUNCTION("IMPORTRANGE(""https://docs.google.com/spreadsheets/d/11923uPwbBZFjjGgGUA6NLw09EwE0CqkOc4q9oUmW1yo/edit?usp=sharing"",""สุโขทัย!I446"")"),0)</f>
        <v>0</v>
      </c>
      <c r="J551" s="411">
        <f ca="1">IFERROR(__xludf.DUMMYFUNCTION("IMPORTRANGE(""https://docs.google.com/spreadsheets/d/11923uPwbBZFjjGgGUA6NLw09EwE0CqkOc4q9oUmW1yo/edit?usp=sharing"",""สุโขทัย!J446"")"),0)</f>
        <v>0</v>
      </c>
      <c r="K551" s="412">
        <f ca="1">IF(I551&gt;0,J551*100/I551,0)</f>
        <v>0</v>
      </c>
      <c r="L551" s="413">
        <f ca="1">IFERROR(__xludf.DUMMYFUNCTION("IMPORTRANGE(""https://docs.google.com/spreadsheets/d/11923uPwbBZFjjGgGUA6NLw09EwE0CqkOc4q9oUmW1yo/edit?usp=sharing"",""สุโขทัย!L446"")"),0)</f>
        <v>0</v>
      </c>
      <c r="M551" s="413"/>
      <c r="N551" s="413">
        <f ca="1">IFERROR(__xludf.DUMMYFUNCTION("IMPORTRANGE(""https://docs.google.com/spreadsheets/d/11923uPwbBZFjjGgGUA6NLw09EwE0CqkOc4q9oUmW1yo/edit?usp=sharing"",""สุโขทัย!M446"")"),0)</f>
        <v>0</v>
      </c>
      <c r="O551" s="413">
        <f t="shared" ref="O551:O555" ca="1" si="120">+IF(L551&gt;0,N551*100/L551,0)</f>
        <v>0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IFERROR(__xludf.DUMMYFUNCTION("IMPORTRANGE(""https://docs.google.com/spreadsheets/d/11923uPwbBZFjjGgGUA6NLw09EwE0CqkOc4q9oUmW1yo/edit?usp=sharing"",""สุโขทัย!L447"")"),0)</f>
        <v>0</v>
      </c>
      <c r="M552" s="166"/>
      <c r="N552" s="170">
        <f ca="1">IFERROR(__xludf.DUMMYFUNCTION("IMPORTRANGE(""https://docs.google.com/spreadsheets/d/11923uPwbBZFjjGgGUA6NLw09EwE0CqkOc4q9oUmW1yo/edit?usp=sharing"",""สุโขทัย!M447"")"),0)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IFERROR(__xludf.DUMMYFUNCTION("IMPORTRANGE(""https://docs.google.com/spreadsheets/d/11923uPwbBZFjjGgGUA6NLw09EwE0CqkOc4q9oUmW1yo/edit?usp=sharing"",""สุโขทัย!L448"")"),0)</f>
        <v>0</v>
      </c>
      <c r="M553" s="167"/>
      <c r="N553" s="170">
        <f ca="1">IFERROR(__xludf.DUMMYFUNCTION("IMPORTRANGE(""https://docs.google.com/spreadsheets/d/11923uPwbBZFjjGgGUA6NLw09EwE0CqkOc4q9oUmW1yo/edit?usp=sharing"",""สุโขทัย!M448"")"),0)</f>
        <v>0</v>
      </c>
      <c r="O553" s="170">
        <f t="shared" ca="1" si="120"/>
        <v>0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IFERROR(__xludf.DUMMYFUNCTION("IMPORTRANGE(""https://docs.google.com/spreadsheets/d/11923uPwbBZFjjGgGUA6NLw09EwE0CqkOc4q9oUmW1yo/edit?usp=sharing"",""สุโขทัย!L449"")"),0)</f>
        <v>0</v>
      </c>
      <c r="M554" s="170"/>
      <c r="N554" s="170">
        <f ca="1">IFERROR(__xludf.DUMMYFUNCTION("IMPORTRANGE(""https://docs.google.com/spreadsheets/d/11923uPwbBZFjjGgGUA6NLw09EwE0CqkOc4q9oUmW1yo/edit?usp=sharing"",""สุโขทัย!M449"")"),0)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IFERROR(__xludf.DUMMYFUNCTION("IMPORTRANGE(""https://docs.google.com/spreadsheets/d/11923uPwbBZFjjGgGUA6NLw09EwE0CqkOc4q9oUmW1yo/edit?usp=sharing"",""สุโขทัย!L450"")"),0)</f>
        <v>0</v>
      </c>
      <c r="M555" s="170"/>
      <c r="N555" s="170">
        <f ca="1">IFERROR(__xludf.DUMMYFUNCTION("IMPORTRANGE(""https://docs.google.com/spreadsheets/d/11923uPwbBZFjjGgGUA6NLw09EwE0CqkOc4q9oUmW1yo/edit?usp=sharing"",""สุโขทัย!M450"")"),0)</f>
        <v>0</v>
      </c>
      <c r="O555" s="170">
        <f t="shared" ca="1" si="120"/>
        <v>0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IFERROR(__xludf.DUMMYFUNCTION("IMPORTRANGE(""https://docs.google.com/spreadsheets/d/11923uPwbBZFjjGgGUA6NLw09EwE0CqkOc4q9oUmW1yo/edit?usp=sharing"",""สุโขทัย!M451"")"),0)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IFERROR(__xludf.DUMMYFUNCTION("IMPORTRANGE(""https://docs.google.com/spreadsheets/d/11923uPwbBZFjjGgGUA6NLw09EwE0CqkOc4q9oUmW1yo/edit?usp=sharing"",""สุโขทัย!M452"")"),0)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IFERROR(__xludf.DUMMYFUNCTION("IMPORTRANGE(""https://docs.google.com/spreadsheets/d/11923uPwbBZFjjGgGUA6NLw09EwE0CqkOc4q9oUmW1yo/edit?usp=sharing"",""สุโขทัย!M453"")"),0)</f>
        <v>0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IFERROR(__xludf.DUMMYFUNCTION("IMPORTRANGE(""https://docs.google.com/spreadsheets/d/11923uPwbBZFjjGgGUA6NLw09EwE0CqkOc4q9oUmW1yo/edit?usp=sharing"",""สุโขทัย!M454"")"),0)</f>
        <v>0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IFERROR(__xludf.DUMMYFUNCTION("IMPORTRANGE(""https://docs.google.com/spreadsheets/d/11923uPwbBZFjjGgGUA6NLw09EwE0CqkOc4q9oUmW1yo/edit?usp=sharing"",""สุโขทัย!I455"")"),0)</f>
        <v>0</v>
      </c>
      <c r="J560" s="164">
        <f ca="1">IFERROR(__xludf.DUMMYFUNCTION("IMPORTRANGE(""https://docs.google.com/spreadsheets/d/11923uPwbBZFjjGgGUA6NLw09EwE0CqkOc4q9oUmW1yo/edit?usp=sharing"",""สุโขทัย!J455"")"),0)</f>
        <v>0</v>
      </c>
      <c r="K560" s="225">
        <f t="shared" ref="K560:K561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IFERROR(__xludf.DUMMYFUNCTION("IMPORTRANGE(""https://docs.google.com/spreadsheets/d/11923uPwbBZFjjGgGUA6NLw09EwE0CqkOc4q9oUmW1yo/edit?usp=sharing"",""สุโขทัย!I456"")"),0)</f>
        <v>0</v>
      </c>
      <c r="J561" s="205">
        <f ca="1">IFERROR(__xludf.DUMMYFUNCTION("IMPORTRANGE(""https://docs.google.com/spreadsheets/d/11923uPwbBZFjjGgGUA6NLw09EwE0CqkOc4q9oUmW1yo/edit?usp=sharing"",""สุโขทัย!J456"")"),0)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IFERROR(__xludf.DUMMYFUNCTION("IMPORTRANGE(""https://docs.google.com/spreadsheets/d/11923uPwbBZFjjGgGUA6NLw09EwE0CqkOc4q9oUmW1yo/edit?usp=sharing"",""สุโขทัย!I459"")"),2100)</f>
        <v>2100</v>
      </c>
      <c r="J564" s="372">
        <f ca="1">IFERROR(__xludf.DUMMYFUNCTION("IMPORTRANGE(""https://docs.google.com/spreadsheets/d/11923uPwbBZFjjGgGUA6NLw09EwE0CqkOc4q9oUmW1yo/edit?usp=sharing"",""สุโขทัย!J459"")"),3501)</f>
        <v>3501</v>
      </c>
      <c r="K564" s="373">
        <f ca="1">IF(I564&gt;0,J564*100/I564,0)</f>
        <v>166.71428571428572</v>
      </c>
      <c r="L564" s="374">
        <f ca="1">IFERROR(__xludf.DUMMYFUNCTION("IMPORTRANGE(""https://docs.google.com/spreadsheets/d/11923uPwbBZFjjGgGUA6NLw09EwE0CqkOc4q9oUmW1yo/edit?usp=sharing"",""สุโขทัย!L459"")"),142240)</f>
        <v>142240</v>
      </c>
      <c r="M564" s="374"/>
      <c r="N564" s="374">
        <f ca="1">IFERROR(__xludf.DUMMYFUNCTION("IMPORTRANGE(""https://docs.google.com/spreadsheets/d/11923uPwbBZFjjGgGUA6NLw09EwE0CqkOc4q9oUmW1yo/edit?usp=sharing"",""สุโขทัย!M459"")"),53235.4799999999)</f>
        <v>53235.479999999901</v>
      </c>
      <c r="O564" s="374">
        <f t="shared" ref="O564:O568" ca="1" si="122">+IF(L564&gt;0,N564*100/L564,0)</f>
        <v>37.426518560179908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IFERROR(__xludf.DUMMYFUNCTION("IMPORTRANGE(""https://docs.google.com/spreadsheets/d/11923uPwbBZFjjGgGUA6NLw09EwE0CqkOc4q9oUmW1yo/edit?usp=sharing"",""สุโขทัย!L460"")"),0)</f>
        <v>0</v>
      </c>
      <c r="M565" s="166"/>
      <c r="N565" s="170">
        <f ca="1">IFERROR(__xludf.DUMMYFUNCTION("IMPORTRANGE(""https://docs.google.com/spreadsheets/d/11923uPwbBZFjjGgGUA6NLw09EwE0CqkOc4q9oUmW1yo/edit?usp=sharing"",""สุโขทัย!M460"")"),0)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IFERROR(__xludf.DUMMYFUNCTION("IMPORTRANGE(""https://docs.google.com/spreadsheets/d/11923uPwbBZFjjGgGUA6NLw09EwE0CqkOc4q9oUmW1yo/edit?usp=sharing"",""สุโขทัย!L461"")"),142240)</f>
        <v>142240</v>
      </c>
      <c r="M566" s="167"/>
      <c r="N566" s="170">
        <f ca="1">IFERROR(__xludf.DUMMYFUNCTION("IMPORTRANGE(""https://docs.google.com/spreadsheets/d/11923uPwbBZFjjGgGUA6NLw09EwE0CqkOc4q9oUmW1yo/edit?usp=sharing"",""สุโขทัย!M461"")"),53235.4799999999)</f>
        <v>53235.479999999901</v>
      </c>
      <c r="O566" s="170">
        <f t="shared" ca="1" si="122"/>
        <v>37.426518560179908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IFERROR(__xludf.DUMMYFUNCTION("IMPORTRANGE(""https://docs.google.com/spreadsheets/d/11923uPwbBZFjjGgGUA6NLw09EwE0CqkOc4q9oUmW1yo/edit?usp=sharing"",""สุโขทัย!L462"")"),0)</f>
        <v>0</v>
      </c>
      <c r="M567" s="170"/>
      <c r="N567" s="170">
        <f ca="1">IFERROR(__xludf.DUMMYFUNCTION("IMPORTRANGE(""https://docs.google.com/spreadsheets/d/11923uPwbBZFjjGgGUA6NLw09EwE0CqkOc4q9oUmW1yo/edit?usp=sharing"",""สุโขทัย!M462"")"),0)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IFERROR(__xludf.DUMMYFUNCTION("IMPORTRANGE(""https://docs.google.com/spreadsheets/d/11923uPwbBZFjjGgGUA6NLw09EwE0CqkOc4q9oUmW1yo/edit?usp=sharing"",""สุโขทัย!L463"")"),142240)</f>
        <v>142240</v>
      </c>
      <c r="M568" s="170"/>
      <c r="N568" s="170">
        <f ca="1">IFERROR(__xludf.DUMMYFUNCTION("IMPORTRANGE(""https://docs.google.com/spreadsheets/d/11923uPwbBZFjjGgGUA6NLw09EwE0CqkOc4q9oUmW1yo/edit?usp=sharing"",""สุโขทัย!M463"")"),53235.4799999999)</f>
        <v>53235.479999999901</v>
      </c>
      <c r="O568" s="170">
        <f t="shared" ca="1" si="122"/>
        <v>37.426518560179908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IFERROR(__xludf.DUMMYFUNCTION("IMPORTRANGE(""https://docs.google.com/spreadsheets/d/11923uPwbBZFjjGgGUA6NLw09EwE0CqkOc4q9oUmW1yo/edit?usp=sharing"",""สุโขทัย!M464"")"),0)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IFERROR(__xludf.DUMMYFUNCTION("IMPORTRANGE(""https://docs.google.com/spreadsheets/d/11923uPwbBZFjjGgGUA6NLw09EwE0CqkOc4q9oUmW1yo/edit?usp=sharing"",""สุโขทัย!M465"")"),0)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IFERROR(__xludf.DUMMYFUNCTION("IMPORTRANGE(""https://docs.google.com/spreadsheets/d/11923uPwbBZFjjGgGUA6NLw09EwE0CqkOc4q9oUmW1yo/edit?usp=sharing"",""สุโขทัย!M466"")"),31935.48)</f>
        <v>31935.48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IFERROR(__xludf.DUMMYFUNCTION("IMPORTRANGE(""https://docs.google.com/spreadsheets/d/11923uPwbBZFjjGgGUA6NLw09EwE0CqkOc4q9oUmW1yo/edit?usp=sharing"",""สุโขทัย!M467"")"),21300)</f>
        <v>21300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IFERROR(__xludf.DUMMYFUNCTION("IMPORTRANGE(""https://docs.google.com/spreadsheets/d/11923uPwbBZFjjGgGUA6NLw09EwE0CqkOc4q9oUmW1yo/edit?usp=sharing"",""สุโขทัย!I468"")"),2100)</f>
        <v>2100</v>
      </c>
      <c r="J573" s="422">
        <f ca="1">IFERROR(__xludf.DUMMYFUNCTION("IMPORTRANGE(""https://docs.google.com/spreadsheets/d/11923uPwbBZFjjGgGUA6NLw09EwE0CqkOc4q9oUmW1yo/edit?usp=sharing"",""สุโขทัย!J468"")"),3501)</f>
        <v>3501</v>
      </c>
      <c r="K573" s="203">
        <f ca="1">IF(I573&gt;0,J573*100/I573,0)</f>
        <v>166.71428571428572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IFERROR(__xludf.DUMMYFUNCTION("IMPORTRANGE(""https://docs.google.com/spreadsheets/d/11923uPwbBZFjjGgGUA6NLw09EwE0CqkOc4q9oUmW1yo/edit?usp=sharing"",""สุโขทัย!I470"")"),0)</f>
        <v>0</v>
      </c>
      <c r="J575" s="199">
        <f ca="1">IFERROR(__xludf.DUMMYFUNCTION("IMPORTRANGE(""https://docs.google.com/spreadsheets/d/11923uPwbBZFjjGgGUA6NLw09EwE0CqkOc4q9oUmW1yo/edit?usp=sharing"",""สุโขทัย!J470"")"),4)</f>
        <v>4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IFERROR(__xludf.DUMMYFUNCTION("IMPORTRANGE(""https://docs.google.com/spreadsheets/d/11923uPwbBZFjjGgGUA6NLw09EwE0CqkOc4q9oUmW1yo/edit?usp=sharing"",""สุโขทัย!I471"")"),0)</f>
        <v>0</v>
      </c>
      <c r="J576" s="199">
        <f ca="1">IFERROR(__xludf.DUMMYFUNCTION("IMPORTRANGE(""https://docs.google.com/spreadsheets/d/11923uPwbBZFjjGgGUA6NLw09EwE0CqkOc4q9oUmW1yo/edit?usp=sharing"",""สุโขทัย!J471"")"),174)</f>
        <v>174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IFERROR(__xludf.DUMMYFUNCTION("IMPORTRANGE(""https://docs.google.com/spreadsheets/d/11923uPwbBZFjjGgGUA6NLw09EwE0CqkOc4q9oUmW1yo/edit?usp=sharing"",""สุโขทัย!I472"")"),0)</f>
        <v>0</v>
      </c>
      <c r="J577" s="190">
        <f ca="1">IFERROR(__xludf.DUMMYFUNCTION("IMPORTRANGE(""https://docs.google.com/spreadsheets/d/11923uPwbBZFjjGgGUA6NLw09EwE0CqkOc4q9oUmW1yo/edit?usp=sharing"",""สุโขทัย!J472"")"),3327)</f>
        <v>3327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IFERROR(__xludf.DUMMYFUNCTION("IMPORTRANGE(""https://docs.google.com/spreadsheets/d/11923uPwbBZFjjGgGUA6NLw09EwE0CqkOc4q9oUmW1yo/edit?usp=sharing"",""สุโขทัย!I473"")"),0)</f>
        <v>0</v>
      </c>
      <c r="J578" s="199">
        <f ca="1">IFERROR(__xludf.DUMMYFUNCTION("IMPORTRANGE(""https://docs.google.com/spreadsheets/d/11923uPwbBZFjjGgGUA6NLw09EwE0CqkOc4q9oUmW1yo/edit?usp=sharing"",""สุโขทัย!J473"")"),0)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IFERROR(__xludf.DUMMYFUNCTION("IMPORTRANGE(""https://docs.google.com/spreadsheets/d/11923uPwbBZFjjGgGUA6NLw09EwE0CqkOc4q9oUmW1yo/edit?usp=sharing"",""สุโขทัย!I474"")"),0)</f>
        <v>0</v>
      </c>
      <c r="J579" s="199">
        <f ca="1">IFERROR(__xludf.DUMMYFUNCTION("IMPORTRANGE(""https://docs.google.com/spreadsheets/d/11923uPwbBZFjjGgGUA6NLw09EwE0CqkOc4q9oUmW1yo/edit?usp=sharing"",""สุโขทัย!J474"")"),0)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IFERROR(__xludf.DUMMYFUNCTION("IMPORTRANGE(""https://docs.google.com/spreadsheets/d/11923uPwbBZFjjGgGUA6NLw09EwE0CqkOc4q9oUmW1yo/edit?usp=sharing"",""สุโขทัย!I475"")"),90)</f>
        <v>90</v>
      </c>
      <c r="J580" s="372">
        <f ca="1">IFERROR(__xludf.DUMMYFUNCTION("IMPORTRANGE(""https://docs.google.com/spreadsheets/d/11923uPwbBZFjjGgGUA6NLw09EwE0CqkOc4q9oUmW1yo/edit?usp=sharing"",""สุโขทัย!J475"")"),0)</f>
        <v>0</v>
      </c>
      <c r="K580" s="373">
        <f ca="1">IF(I580&gt;0,J580*100/I580,0)</f>
        <v>0</v>
      </c>
      <c r="L580" s="374">
        <f ca="1">IFERROR(__xludf.DUMMYFUNCTION("IMPORTRANGE(""https://docs.google.com/spreadsheets/d/11923uPwbBZFjjGgGUA6NLw09EwE0CqkOc4q9oUmW1yo/edit?usp=sharing"",""สุโขทัย!L475"")"),296190)</f>
        <v>296190</v>
      </c>
      <c r="M580" s="374"/>
      <c r="N580" s="374">
        <f ca="1">IFERROR(__xludf.DUMMYFUNCTION("IMPORTRANGE(""https://docs.google.com/spreadsheets/d/11923uPwbBZFjjGgGUA6NLw09EwE0CqkOc4q9oUmW1yo/edit?usp=sharing"",""สุโขทัย!M475"")"),0)</f>
        <v>0</v>
      </c>
      <c r="O580" s="374">
        <f t="shared" ref="O580:O584" ca="1" si="124">+IF(L580&gt;0,N580*100/L580,0)</f>
        <v>0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IFERROR(__xludf.DUMMYFUNCTION("IMPORTRANGE(""https://docs.google.com/spreadsheets/d/11923uPwbBZFjjGgGUA6NLw09EwE0CqkOc4q9oUmW1yo/edit?usp=sharing"",""สุโขทัย!L476"")"),0)</f>
        <v>0</v>
      </c>
      <c r="M581" s="166"/>
      <c r="N581" s="170">
        <f ca="1">IFERROR(__xludf.DUMMYFUNCTION("IMPORTRANGE(""https://docs.google.com/spreadsheets/d/11923uPwbBZFjjGgGUA6NLw09EwE0CqkOc4q9oUmW1yo/edit?usp=sharing"",""สุโขทัย!M476"")"),0)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IFERROR(__xludf.DUMMYFUNCTION("IMPORTRANGE(""https://docs.google.com/spreadsheets/d/11923uPwbBZFjjGgGUA6NLw09EwE0CqkOc4q9oUmW1yo/edit?usp=sharing"",""สุโขทัย!L477"")"),296190)</f>
        <v>296190</v>
      </c>
      <c r="M582" s="167"/>
      <c r="N582" s="170">
        <f ca="1">IFERROR(__xludf.DUMMYFUNCTION("IMPORTRANGE(""https://docs.google.com/spreadsheets/d/11923uPwbBZFjjGgGUA6NLw09EwE0CqkOc4q9oUmW1yo/edit?usp=sharing"",""สุโขทัย!M477"")"),0)</f>
        <v>0</v>
      </c>
      <c r="O582" s="170">
        <f t="shared" ca="1" si="124"/>
        <v>0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IFERROR(__xludf.DUMMYFUNCTION("IMPORTRANGE(""https://docs.google.com/spreadsheets/d/11923uPwbBZFjjGgGUA6NLw09EwE0CqkOc4q9oUmW1yo/edit?usp=sharing"",""สุโขทัย!L478"")"),0)</f>
        <v>0</v>
      </c>
      <c r="M583" s="170"/>
      <c r="N583" s="170">
        <f ca="1">IFERROR(__xludf.DUMMYFUNCTION("IMPORTRANGE(""https://docs.google.com/spreadsheets/d/11923uPwbBZFjjGgGUA6NLw09EwE0CqkOc4q9oUmW1yo/edit?usp=sharing"",""สุโขทัย!M478"")"),0)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IFERROR(__xludf.DUMMYFUNCTION("IMPORTRANGE(""https://docs.google.com/spreadsheets/d/11923uPwbBZFjjGgGUA6NLw09EwE0CqkOc4q9oUmW1yo/edit?usp=sharing"",""สุโขทัย!L479"")"),296190)</f>
        <v>296190</v>
      </c>
      <c r="M584" s="170"/>
      <c r="N584" s="170">
        <f ca="1">IFERROR(__xludf.DUMMYFUNCTION("IMPORTRANGE(""https://docs.google.com/spreadsheets/d/11923uPwbBZFjjGgGUA6NLw09EwE0CqkOc4q9oUmW1yo/edit?usp=sharing"",""สุโขทัย!M479"")"),0)</f>
        <v>0</v>
      </c>
      <c r="O584" s="170">
        <f t="shared" ca="1" si="124"/>
        <v>0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IFERROR(__xludf.DUMMYFUNCTION("IMPORTRANGE(""https://docs.google.com/spreadsheets/d/11923uPwbBZFjjGgGUA6NLw09EwE0CqkOc4q9oUmW1yo/edit?usp=sharing"",""สุโขทัย!M480"")"),0)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IFERROR(__xludf.DUMMYFUNCTION("IMPORTRANGE(""https://docs.google.com/spreadsheets/d/11923uPwbBZFjjGgGUA6NLw09EwE0CqkOc4q9oUmW1yo/edit?usp=sharing"",""สุโขทัย!M481"")"),0)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IFERROR(__xludf.DUMMYFUNCTION("IMPORTRANGE(""https://docs.google.com/spreadsheets/d/11923uPwbBZFjjGgGUA6NLw09EwE0CqkOc4q9oUmW1yo/edit?usp=sharing"",""สุโขทัย!M482"")"),0)</f>
        <v>0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IFERROR(__xludf.DUMMYFUNCTION("IMPORTRANGE(""https://docs.google.com/spreadsheets/d/11923uPwbBZFjjGgGUA6NLw09EwE0CqkOc4q9oUmW1yo/edit?usp=sharing"",""สุโขทัย!M483"")"),0)</f>
        <v>0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IFERROR(__xludf.DUMMYFUNCTION("IMPORTRANGE(""https://docs.google.com/spreadsheets/d/11923uPwbBZFjjGgGUA6NLw09EwE0CqkOc4q9oUmW1yo/edit?usp=sharing"",""สุโขทัย!I484"")"),90)</f>
        <v>90</v>
      </c>
      <c r="J589" s="189">
        <f ca="1">IFERROR(__xludf.DUMMYFUNCTION("IMPORTRANGE(""https://docs.google.com/spreadsheets/d/11923uPwbBZFjjGgGUA6NLw09EwE0CqkOc4q9oUmW1yo/edit?usp=sharing"",""สุโขทัย!J484"")"),48)</f>
        <v>48</v>
      </c>
      <c r="K589" s="165">
        <f t="shared" ref="K589:K596" ca="1" si="125">IF(I589&gt;0,J589*100/I589,0)</f>
        <v>53.333333333333336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IFERROR(__xludf.DUMMYFUNCTION("IMPORTRANGE(""https://docs.google.com/spreadsheets/d/11923uPwbBZFjjGgGUA6NLw09EwE0CqkOc4q9oUmW1yo/edit?usp=sharing"",""สุโขทัย!I485"")"),0)</f>
        <v>0</v>
      </c>
      <c r="J590" s="189">
        <f ca="1">IFERROR(__xludf.DUMMYFUNCTION("IMPORTRANGE(""https://docs.google.com/spreadsheets/d/11923uPwbBZFjjGgGUA6NLw09EwE0CqkOc4q9oUmW1yo/edit?usp=sharing"",""สุโขทัย!J485"")"),40.53)</f>
        <v>40.53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IFERROR(__xludf.DUMMYFUNCTION("IMPORTRANGE(""https://docs.google.com/spreadsheets/d/11923uPwbBZFjjGgGUA6NLw09EwE0CqkOc4q9oUmW1yo/edit?usp=sharing"",""สุโขทัย!I486"")"),90)</f>
        <v>90</v>
      </c>
      <c r="J591" s="189">
        <f ca="1">IFERROR(__xludf.DUMMYFUNCTION("IMPORTRANGE(""https://docs.google.com/spreadsheets/d/11923uPwbBZFjjGgGUA6NLw09EwE0CqkOc4q9oUmW1yo/edit?usp=sharing"",""สุโขทัย!J486"")"),53)</f>
        <v>53</v>
      </c>
      <c r="K591" s="165">
        <f t="shared" ca="1" si="125"/>
        <v>58.888888888888886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IFERROR(__xludf.DUMMYFUNCTION("IMPORTRANGE(""https://docs.google.com/spreadsheets/d/11923uPwbBZFjjGgGUA6NLw09EwE0CqkOc4q9oUmW1yo/edit?usp=sharing"",""สุโขทัย!I487"")"),0)</f>
        <v>0</v>
      </c>
      <c r="J592" s="189">
        <f ca="1">IFERROR(__xludf.DUMMYFUNCTION("IMPORTRANGE(""https://docs.google.com/spreadsheets/d/11923uPwbBZFjjGgGUA6NLw09EwE0CqkOc4q9oUmW1yo/edit?usp=sharing"",""สุโขทัย!J487"")"),56.16)</f>
        <v>56.16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IFERROR(__xludf.DUMMYFUNCTION("IMPORTRANGE(""https://docs.google.com/spreadsheets/d/11923uPwbBZFjjGgGUA6NLw09EwE0CqkOc4q9oUmW1yo/edit?usp=sharing"",""สุโขทัย!I488"")"),90)</f>
        <v>90</v>
      </c>
      <c r="J593" s="189">
        <f ca="1">IFERROR(__xludf.DUMMYFUNCTION("IMPORTRANGE(""https://docs.google.com/spreadsheets/d/11923uPwbBZFjjGgGUA6NLw09EwE0CqkOc4q9oUmW1yo/edit?usp=sharing"",""สุโขทัย!J488"")"),0)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IFERROR(__xludf.DUMMYFUNCTION("IMPORTRANGE(""https://docs.google.com/spreadsheets/d/11923uPwbBZFjjGgGUA6NLw09EwE0CqkOc4q9oUmW1yo/edit?usp=sharing"",""สุโขทัย!I489"")"),0)</f>
        <v>0</v>
      </c>
      <c r="J594" s="189">
        <f ca="1">IFERROR(__xludf.DUMMYFUNCTION("IMPORTRANGE(""https://docs.google.com/spreadsheets/d/11923uPwbBZFjjGgGUA6NLw09EwE0CqkOc4q9oUmW1yo/edit?usp=sharing"",""สุโขทัย!J489"")"),0)</f>
        <v>0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IFERROR(__xludf.DUMMYFUNCTION("IMPORTRANGE(""https://docs.google.com/spreadsheets/d/11923uPwbBZFjjGgGUA6NLw09EwE0CqkOc4q9oUmW1yo/edit?usp=sharing"",""สุโขทัย!I490"")"),90)</f>
        <v>90</v>
      </c>
      <c r="J595" s="189">
        <f ca="1">IFERROR(__xludf.DUMMYFUNCTION("IMPORTRANGE(""https://docs.google.com/spreadsheets/d/11923uPwbBZFjjGgGUA6NLw09EwE0CqkOc4q9oUmW1yo/edit?usp=sharing"",""สุโขทัย!J490"")"),0)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IFERROR(__xludf.DUMMYFUNCTION("IMPORTRANGE(""https://docs.google.com/spreadsheets/d/11923uPwbBZFjjGgGUA6NLw09EwE0CqkOc4q9oUmW1yo/edit?usp=sharing"",""สุโขทัย!I491"")"),0)</f>
        <v>0</v>
      </c>
      <c r="J596" s="242">
        <f ca="1">IFERROR(__xludf.DUMMYFUNCTION("IMPORTRANGE(""https://docs.google.com/spreadsheets/d/11923uPwbBZFjjGgGUA6NLw09EwE0CqkOc4q9oUmW1yo/edit?usp=sharing"",""สุโขทัย!J491"")"),0)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IFERROR(__xludf.DUMMYFUNCTION("IMPORTRANGE(""https://docs.google.com/spreadsheets/d/11923uPwbBZFjjGgGUA6NLw09EwE0CqkOc4q9oUmW1yo/edit?usp=sharing"",""สุโขทัย!I492"")"),100)</f>
        <v>100</v>
      </c>
      <c r="J597" s="489">
        <f ca="1">IFERROR(__xludf.DUMMYFUNCTION("IMPORTRANGE(""https://docs.google.com/spreadsheets/d/11923uPwbBZFjjGgGUA6NLw09EwE0CqkOc4q9oUmW1yo/edit?usp=sharing"",""สุโขทัย!J492"")"),0)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IFERROR(__xludf.DUMMYFUNCTION("IMPORTRANGE(""https://docs.google.com/spreadsheets/d/11923uPwbBZFjjGgGUA6NLw09EwE0CqkOc4q9oUmW1yo/edit?usp=sharing"",""สุโขทัย!L492"")"),7300)</f>
        <v>7300</v>
      </c>
      <c r="M597" s="413"/>
      <c r="N597" s="413">
        <f ca="1">IFERROR(__xludf.DUMMYFUNCTION("IMPORTRANGE(""https://docs.google.com/spreadsheets/d/11923uPwbBZFjjGgGUA6NLw09EwE0CqkOc4q9oUmW1yo/edit?usp=sharing"",""สุโขทัย!M492"")"),0)</f>
        <v>0</v>
      </c>
      <c r="O597" s="413">
        <f t="shared" ref="O597:O601" ca="1" si="126">+IF(L597&gt;0,N597*100/L597,0)</f>
        <v>0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IFERROR(__xludf.DUMMYFUNCTION("IMPORTRANGE(""https://docs.google.com/spreadsheets/d/11923uPwbBZFjjGgGUA6NLw09EwE0CqkOc4q9oUmW1yo/edit?usp=sharing"",""สุโขทัย!L493"")"),0)</f>
        <v>0</v>
      </c>
      <c r="M598" s="166"/>
      <c r="N598" s="170">
        <f ca="1">IFERROR(__xludf.DUMMYFUNCTION("IMPORTRANGE(""https://docs.google.com/spreadsheets/d/11923uPwbBZFjjGgGUA6NLw09EwE0CqkOc4q9oUmW1yo/edit?usp=sharing"",""สุโขทัย!M493"")"),0)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IFERROR(__xludf.DUMMYFUNCTION("IMPORTRANGE(""https://docs.google.com/spreadsheets/d/11923uPwbBZFjjGgGUA6NLw09EwE0CqkOc4q9oUmW1yo/edit?usp=sharing"",""สุโขทัย!L494"")"),7300)</f>
        <v>7300</v>
      </c>
      <c r="M599" s="167"/>
      <c r="N599" s="170">
        <f ca="1">IFERROR(__xludf.DUMMYFUNCTION("IMPORTRANGE(""https://docs.google.com/spreadsheets/d/11923uPwbBZFjjGgGUA6NLw09EwE0CqkOc4q9oUmW1yo/edit?usp=sharing"",""สุโขทัย!M494"")"),0)</f>
        <v>0</v>
      </c>
      <c r="O599" s="170">
        <f t="shared" ca="1" si="126"/>
        <v>0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IFERROR(__xludf.DUMMYFUNCTION("IMPORTRANGE(""https://docs.google.com/spreadsheets/d/11923uPwbBZFjjGgGUA6NLw09EwE0CqkOc4q9oUmW1yo/edit?usp=sharing"",""สุโขทัย!L495"")"),0)</f>
        <v>0</v>
      </c>
      <c r="M600" s="170"/>
      <c r="N600" s="170">
        <f ca="1">IFERROR(__xludf.DUMMYFUNCTION("IMPORTRANGE(""https://docs.google.com/spreadsheets/d/11923uPwbBZFjjGgGUA6NLw09EwE0CqkOc4q9oUmW1yo/edit?usp=sharing"",""สุโขทัย!M495"")"),0)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IFERROR(__xludf.DUMMYFUNCTION("IMPORTRANGE(""https://docs.google.com/spreadsheets/d/11923uPwbBZFjjGgGUA6NLw09EwE0CqkOc4q9oUmW1yo/edit?usp=sharing"",""สุโขทัย!L496"")"),7300)</f>
        <v>7300</v>
      </c>
      <c r="M601" s="170"/>
      <c r="N601" s="170">
        <f ca="1">IFERROR(__xludf.DUMMYFUNCTION("IMPORTRANGE(""https://docs.google.com/spreadsheets/d/11923uPwbBZFjjGgGUA6NLw09EwE0CqkOc4q9oUmW1yo/edit?usp=sharing"",""สุโขทัย!M496"")"),0)</f>
        <v>0</v>
      </c>
      <c r="O601" s="170">
        <f t="shared" ca="1" si="126"/>
        <v>0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IFERROR(__xludf.DUMMYFUNCTION("IMPORTRANGE(""https://docs.google.com/spreadsheets/d/11923uPwbBZFjjGgGUA6NLw09EwE0CqkOc4q9oUmW1yo/edit?usp=sharing"",""สุโขทัย!M497"")"),0)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IFERROR(__xludf.DUMMYFUNCTION("IMPORTRANGE(""https://docs.google.com/spreadsheets/d/11923uPwbBZFjjGgGUA6NLw09EwE0CqkOc4q9oUmW1yo/edit?usp=sharing"",""สุโขทัย!M498"")"),0)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IFERROR(__xludf.DUMMYFUNCTION("IMPORTRANGE(""https://docs.google.com/spreadsheets/d/11923uPwbBZFjjGgGUA6NLw09EwE0CqkOc4q9oUmW1yo/edit?usp=sharing"",""สุโขทัย!M499"")"),0)</f>
        <v>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IFERROR(__xludf.DUMMYFUNCTION("IMPORTRANGE(""https://docs.google.com/spreadsheets/d/11923uPwbBZFjjGgGUA6NLw09EwE0CqkOc4q9oUmW1yo/edit?usp=sharing"",""สุโขทัย!M500"")"),0)</f>
        <v>0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IFERROR(__xludf.DUMMYFUNCTION("IMPORTRANGE(""https://docs.google.com/spreadsheets/d/11923uPwbBZFjjGgGUA6NLw09EwE0CqkOc4q9oUmW1yo/edit?usp=sharing"",""สุโขทัย!J502"")"),0)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IFERROR(__xludf.DUMMYFUNCTION("IMPORTRANGE(""https://docs.google.com/spreadsheets/d/11923uPwbBZFjjGgGUA6NLw09EwE0CqkOc4q9oUmW1yo/edit?usp=sharing"",""สุโขทัย!J503"")"),1)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IFERROR(__xludf.DUMMYFUNCTION("IMPORTRANGE(""https://docs.google.com/spreadsheets/d/11923uPwbBZFjjGgGUA6NLw09EwE0CqkOc4q9oUmW1yo/edit?usp=sharing"",""สุโขทัย!J166"")"),0)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IFERROR(__xludf.DUMMYFUNCTION("IMPORTRANGE(""https://docs.google.com/spreadsheets/d/11923uPwbBZFjjGgGUA6NLw09EwE0CqkOc4q9oUmW1yo/edit?usp=sharing"",""สุโขทัย!J166"")"),0)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IFERROR(__xludf.DUMMYFUNCTION("IMPORTRANGE(""https://docs.google.com/spreadsheets/d/11923uPwbBZFjjGgGUA6NLw09EwE0CqkOc4q9oUmW1yo/edit?usp=sharing"",""สุโขทัย!I506"")"),100)</f>
        <v>100</v>
      </c>
      <c r="J611" s="164">
        <f ca="1">IFERROR(__xludf.DUMMYFUNCTION("IMPORTRANGE(""https://docs.google.com/spreadsheets/d/11923uPwbBZFjjGgGUA6NLw09EwE0CqkOc4q9oUmW1yo/edit?usp=sharing"",""สุโขทัย!J506"")"),0)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IFERROR(__xludf.DUMMYFUNCTION("IMPORTRANGE(""https://docs.google.com/spreadsheets/d/11923uPwbBZFjjGgGUA6NLw09EwE0CqkOc4q9oUmW1yo/edit?usp=sharing"",""สุโขทัย!I507"")"),0)</f>
        <v>0</v>
      </c>
      <c r="J612" s="199">
        <f ca="1">IFERROR(__xludf.DUMMYFUNCTION("IMPORTRANGE(""https://docs.google.com/spreadsheets/d/11923uPwbBZFjjGgGUA6NLw09EwE0CqkOc4q9oUmW1yo/edit?usp=sharing"",""สุโขทัย!J507"")"),158)</f>
        <v>158</v>
      </c>
      <c r="K612" s="165">
        <f t="shared" ca="1" si="127"/>
        <v>158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IFERROR(__xludf.DUMMYFUNCTION("IMPORTRANGE(""https://docs.google.com/spreadsheets/d/11923uPwbBZFjjGgGUA6NLw09EwE0CqkOc4q9oUmW1yo/edit?usp=sharing"",""สุโขทัย!I508"")"),0)</f>
        <v>0</v>
      </c>
      <c r="J613" s="199">
        <f ca="1">IFERROR(__xludf.DUMMYFUNCTION("IMPORTRANGE(""https://docs.google.com/spreadsheets/d/11923uPwbBZFjjGgGUA6NLw09EwE0CqkOc4q9oUmW1yo/edit?usp=sharing"",""สุโขทัย!J508"")"),0)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IFERROR(__xludf.DUMMYFUNCTION("IMPORTRANGE(""https://docs.google.com/spreadsheets/d/11923uPwbBZFjjGgGUA6NLw09EwE0CqkOc4q9oUmW1yo/edit?usp=sharing"",""สุโขทัย!I509"")"),0)</f>
        <v>0</v>
      </c>
      <c r="J614" s="199">
        <f ca="1">IFERROR(__xludf.DUMMYFUNCTION("IMPORTRANGE(""https://docs.google.com/spreadsheets/d/11923uPwbBZFjjGgGUA6NLw09EwE0CqkOc4q9oUmW1yo/edit?usp=sharing"",""สุโขทัย!J509"")"),0)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IFERROR(__xludf.DUMMYFUNCTION("IMPORTRANGE(""https://docs.google.com/spreadsheets/d/11923uPwbBZFjjGgGUA6NLw09EwE0CqkOc4q9oUmW1yo/edit?usp=sharing"",""สุโขทัย!I510"")"),0)</f>
        <v>0</v>
      </c>
      <c r="J615" s="199">
        <f ca="1">IFERROR(__xludf.DUMMYFUNCTION("IMPORTRANGE(""https://docs.google.com/spreadsheets/d/11923uPwbBZFjjGgGUA6NLw09EwE0CqkOc4q9oUmW1yo/edit?usp=sharing"",""สุโขทัย!J510"")"),0)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IFERROR(__xludf.DUMMYFUNCTION("IMPORTRANGE(""https://docs.google.com/spreadsheets/d/11923uPwbBZFjjGgGUA6NLw09EwE0CqkOc4q9oUmW1yo/edit?usp=sharing"",""สุโขทัย!I511"")"),0)</f>
        <v>0</v>
      </c>
      <c r="J616" s="199">
        <f ca="1">IFERROR(__xludf.DUMMYFUNCTION("IMPORTRANGE(""https://docs.google.com/spreadsheets/d/11923uPwbBZFjjGgGUA6NLw09EwE0CqkOc4q9oUmW1yo/edit?usp=sharing"",""สุโขทัย!J511"")"),0)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IFERROR(__xludf.DUMMYFUNCTION("IMPORTRANGE(""https://docs.google.com/spreadsheets/d/11923uPwbBZFjjGgGUA6NLw09EwE0CqkOc4q9oUmW1yo/edit?usp=sharing"",""สุโขทัย!I512"")"),0)</f>
        <v>0</v>
      </c>
      <c r="J617" s="189">
        <f ca="1">IFERROR(__xludf.DUMMYFUNCTION("IMPORTRANGE(""https://docs.google.com/spreadsheets/d/11923uPwbBZFjjGgGUA6NLw09EwE0CqkOc4q9oUmW1yo/edit?usp=sharing"",""สุโขทัย!J512"")"),0)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IFERROR(__xludf.DUMMYFUNCTION("IMPORTRANGE(""https://docs.google.com/spreadsheets/d/11923uPwbBZFjjGgGUA6NLw09EwE0CqkOc4q9oUmW1yo/edit?usp=sharing"",""สุโขทัย!I513"")"),0)</f>
        <v>0</v>
      </c>
      <c r="J618" s="190">
        <f ca="1">IFERROR(__xludf.DUMMYFUNCTION("IMPORTRANGE(""https://docs.google.com/spreadsheets/d/11923uPwbBZFjjGgGUA6NLw09EwE0CqkOc4q9oUmW1yo/edit?usp=sharing"",""สุโขทัย!J513"")"),0)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IFERROR(__xludf.DUMMYFUNCTION("IMPORTRANGE(""https://docs.google.com/spreadsheets/d/11923uPwbBZFjjGgGUA6NLw09EwE0CqkOc4q9oUmW1yo/edit?usp=sharing"",""สุโขทัย!I514"")"),0)</f>
        <v>0</v>
      </c>
      <c r="J619" s="190">
        <f ca="1">IFERROR(__xludf.DUMMYFUNCTION("IMPORTRANGE(""https://docs.google.com/spreadsheets/d/11923uPwbBZFjjGgGUA6NLw09EwE0CqkOc4q9oUmW1yo/edit?usp=sharing"",""สุโขทัย!J514"")"),0)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IFERROR(__xludf.DUMMYFUNCTION("IMPORTRANGE(""https://docs.google.com/spreadsheets/d/11923uPwbBZFjjGgGUA6NLw09EwE0CqkOc4q9oUmW1yo/edit?usp=sharing"",""สุโขทัย!I515"")"),0)</f>
        <v>0</v>
      </c>
      <c r="J620" s="204">
        <f ca="1">IFERROR(__xludf.DUMMYFUNCTION("IMPORTRANGE(""https://docs.google.com/spreadsheets/d/11923uPwbBZFjjGgGUA6NLw09EwE0CqkOc4q9oUmW1yo/edit?usp=sharing"",""สุโขทัย!J515"")"),0)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IFERROR(__xludf.DUMMYFUNCTION("IMPORTRANGE(""https://docs.google.com/spreadsheets/d/11923uPwbBZFjjGgGUA6NLw09EwE0CqkOc4q9oUmW1yo/edit?usp=sharing"",""สุโขทัย!I516"")"),0)</f>
        <v>0</v>
      </c>
      <c r="J621" s="204">
        <f ca="1">IFERROR(__xludf.DUMMYFUNCTION("IMPORTRANGE(""https://docs.google.com/spreadsheets/d/11923uPwbBZFjjGgGUA6NLw09EwE0CqkOc4q9oUmW1yo/edit?usp=sharing"",""สุโขทัย!J516"")"),0)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IFERROR(__xludf.DUMMYFUNCTION("IMPORTRANGE(""https://docs.google.com/spreadsheets/d/11923uPwbBZFjjGgGUA6NLw09EwE0CqkOc4q9oUmW1yo/edit?usp=sharing"",""สุโขทัย!I517"")"),0)</f>
        <v>0</v>
      </c>
      <c r="J622" s="190">
        <f ca="1">IFERROR(__xludf.DUMMYFUNCTION("IMPORTRANGE(""https://docs.google.com/spreadsheets/d/11923uPwbBZFjjGgGUA6NLw09EwE0CqkOc4q9oUmW1yo/edit?usp=sharing"",""สุโขทัย!J517"")"),0)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IFERROR(__xludf.DUMMYFUNCTION("IMPORTRANGE(""https://docs.google.com/spreadsheets/d/11923uPwbBZFjjGgGUA6NLw09EwE0CqkOc4q9oUmW1yo/edit?usp=sharing"",""สุโขทัย!I518"")"),0)</f>
        <v>0</v>
      </c>
      <c r="J623" s="190">
        <f ca="1">IFERROR(__xludf.DUMMYFUNCTION("IMPORTRANGE(""https://docs.google.com/spreadsheets/d/11923uPwbBZFjjGgGUA6NLw09EwE0CqkOc4q9oUmW1yo/edit?usp=sharing"",""สุโขทัย!J518"")"),0)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IFERROR(__xludf.DUMMYFUNCTION("IMPORTRANGE(""https://docs.google.com/spreadsheets/d/11923uPwbBZFjjGgGUA6NLw09EwE0CqkOc4q9oUmW1yo/edit?usp=sharing"",""สุโขทัย!I519"")"),0)</f>
        <v>0</v>
      </c>
      <c r="J624" s="189">
        <f ca="1">IFERROR(__xludf.DUMMYFUNCTION("IMPORTRANGE(""https://docs.google.com/spreadsheets/d/11923uPwbBZFjjGgGUA6NLw09EwE0CqkOc4q9oUmW1yo/edit?usp=sharing"",""สุโขทัย!J519"")"),0)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IFERROR(__xludf.DUMMYFUNCTION("IMPORTRANGE(""https://docs.google.com/spreadsheets/d/11923uPwbBZFjjGgGUA6NLw09EwE0CqkOc4q9oUmW1yo/edit?usp=sharing"",""สุโขทัย!I520"")"),0)</f>
        <v>0</v>
      </c>
      <c r="J625" s="190">
        <f ca="1">IFERROR(__xludf.DUMMYFUNCTION("IMPORTRANGE(""https://docs.google.com/spreadsheets/d/11923uPwbBZFjjGgGUA6NLw09EwE0CqkOc4q9oUmW1yo/edit?usp=sharing"",""สุโขทัย!J520"")"),0)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IFERROR(__xludf.DUMMYFUNCTION("IMPORTRANGE(""https://docs.google.com/spreadsheets/d/11923uPwbBZFjjGgGUA6NLw09EwE0CqkOc4q9oUmW1yo/edit?usp=sharing"",""สุโขทัย!I521"")"),0)</f>
        <v>0</v>
      </c>
      <c r="J626" s="190">
        <f ca="1">IFERROR(__xludf.DUMMYFUNCTION("IMPORTRANGE(""https://docs.google.com/spreadsheets/d/11923uPwbBZFjjGgGUA6NLw09EwE0CqkOc4q9oUmW1yo/edit?usp=sharing"",""สุโขทัย!J521"")"),0)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42">
        <f ca="1">IFERROR(__xludf.DUMMYFUNCTION("IMPORTRANGE(""https://docs.google.com/spreadsheets/d/11923uPwbBZFjjGgGUA6NLw09EwE0CqkOc4q9oUmW1yo/edit?usp=sharing"",""สุโขทัย!J523"")"),3836891.93)</f>
        <v>3836891.93</v>
      </c>
      <c r="K628" s="343">
        <f t="shared" ref="K628:K635" ca="1" si="129">IF(I628&gt;0,J628*100/I628,0)</f>
        <v>62.620323190942401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IFERROR(__xludf.DUMMYFUNCTION("IMPORTRANGE(""https://docs.google.com/spreadsheets/d/11923uPwbBZFjjGgGUA6NLw09EwE0CqkOc4q9oUmW1yo/edit?usp=sharing"",""สุโขทัย!I524"")"),426)</f>
        <v>426</v>
      </c>
      <c r="J629" s="342">
        <f ca="1">IFERROR(__xludf.DUMMYFUNCTION("IMPORTRANGE(""https://docs.google.com/spreadsheets/d/11923uPwbBZFjjGgGUA6NLw09EwE0CqkOc4q9oUmW1yo/edit?usp=sharing"",""สุโขทัย!J524"")"),282)</f>
        <v>282</v>
      </c>
      <c r="K629" s="343">
        <f t="shared" ca="1" si="129"/>
        <v>66.197183098591552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42">
        <f ca="1">IFERROR(__xludf.DUMMYFUNCTION("IMPORTRANGE(""https://docs.google.com/spreadsheets/d/11923uPwbBZFjjGgGUA6NLw09EwE0CqkOc4q9oUmW1yo/edit?usp=sharing"",""สุโขทัย!J525"")"),1308647.36)</f>
        <v>1308647.3600000001</v>
      </c>
      <c r="K630" s="343">
        <f t="shared" ca="1" si="129"/>
        <v>18.673376875743529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IFERROR(__xludf.DUMMYFUNCTION("IMPORTRANGE(""https://docs.google.com/spreadsheets/d/11923uPwbBZFjjGgGUA6NLw09EwE0CqkOc4q9oUmW1yo/edit?usp=sharing"",""สุโขทัย!I526"")"),256)</f>
        <v>256</v>
      </c>
      <c r="J631" s="342">
        <f ca="1">IFERROR(__xludf.DUMMYFUNCTION("IMPORTRANGE(""https://docs.google.com/spreadsheets/d/11923uPwbBZFjjGgGUA6NLw09EwE0CqkOc4q9oUmW1yo/edit?usp=sharing"",""สุโขทัย!J526"")"),202)</f>
        <v>202</v>
      </c>
      <c r="K631" s="343">
        <f t="shared" ca="1" si="129"/>
        <v>78.90625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IFERROR(__xludf.DUMMYFUNCTION("IMPORTRANGE(""https://docs.google.com/spreadsheets/d/11923uPwbBZFjjGgGUA6NLw09EwE0CqkOc4q9oUmW1yo/edit?usp=sharing"",""สุโขทัย!I527"")"),2664010.23)</f>
        <v>2664010.23</v>
      </c>
      <c r="J632" s="342">
        <f ca="1">IFERROR(__xludf.DUMMYFUNCTION("IMPORTRANGE(""https://docs.google.com/spreadsheets/d/11923uPwbBZFjjGgGUA6NLw09EwE0CqkOc4q9oUmW1yo/edit?usp=sharing"",""สุโขทัย!J527"")"),500059.53)</f>
        <v>500059.53</v>
      </c>
      <c r="K632" s="343">
        <f t="shared" ca="1" si="129"/>
        <v>18.770931296311126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IFERROR(__xludf.DUMMYFUNCTION("IMPORTRANGE(""https://docs.google.com/spreadsheets/d/11923uPwbBZFjjGgGUA6NLw09EwE0CqkOc4q9oUmW1yo/edit?usp=sharing"",""สุโขทัย!I528"")"),180)</f>
        <v>180</v>
      </c>
      <c r="J633" s="342">
        <f ca="1">IFERROR(__xludf.DUMMYFUNCTION("IMPORTRANGE(""https://docs.google.com/spreadsheets/d/11923uPwbBZFjjGgGUA6NLw09EwE0CqkOc4q9oUmW1yo/edit?usp=sharing"",""สุโขทัย!J528"")"),58)</f>
        <v>58</v>
      </c>
      <c r="K633" s="343">
        <f t="shared" ca="1" si="129"/>
        <v>32.222222222222221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IFERROR(__xludf.DUMMYFUNCTION("IMPORTRANGE(""https://docs.google.com/spreadsheets/d/11923uPwbBZFjjGgGUA6NLw09EwE0CqkOc4q9oUmW1yo/edit?usp=sharing"",""สุโขทัย!I529"")"),5000000)</f>
        <v>5000000</v>
      </c>
      <c r="J634" s="342">
        <f ca="1">IFERROR(__xludf.DUMMYFUNCTION("IMPORTRANGE(""https://docs.google.com/spreadsheets/d/11923uPwbBZFjjGgGUA6NLw09EwE0CqkOc4q9oUmW1yo/edit?usp=sharing"",""สุโขทัย!J529"")"),2140000)</f>
        <v>2140000</v>
      </c>
      <c r="K634" s="343">
        <f t="shared" ca="1" si="129"/>
        <v>42.8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IFERROR(__xludf.DUMMYFUNCTION("IMPORTRANGE(""https://docs.google.com/spreadsheets/d/11923uPwbBZFjjGgGUA6NLw09EwE0CqkOc4q9oUmW1yo/edit?usp=sharing"",""สุโขทัย!I530"")"),114)</f>
        <v>114</v>
      </c>
      <c r="J635" s="506">
        <f ca="1">IFERROR(__xludf.DUMMYFUNCTION("IMPORTRANGE(""https://docs.google.com/spreadsheets/d/11923uPwbBZFjjGgGUA6NLw09EwE0CqkOc4q9oUmW1yo/edit?usp=sharing"",""สุโขทัย!J530"")"),44)</f>
        <v>44</v>
      </c>
      <c r="K635" s="488">
        <f t="shared" ca="1" si="129"/>
        <v>38.596491228070178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27095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27095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27095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IFERROR(__xludf.DUMMYFUNCTION("IMPORTRANGE(""https://docs.google.com/spreadsheets/d/11923uPwbBZFjjGgGUA6NLw09EwE0CqkOc4q9oUmW1yo/edit?usp=sharing"",""สุโขทัย!J541"")"),0)</f>
        <v>0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IFERROR(__xludf.DUMMYFUNCTION("IMPORTRANGE(""https://docs.google.com/spreadsheets/d/11923uPwbBZFjjGgGUA6NLw09EwE0CqkOc4q9oUmW1yo/edit?usp=sharing"",""สุโขทัย!J542"")"),0)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IFERROR(__xludf.DUMMYFUNCTION("IMPORTRANGE(""https://docs.google.com/spreadsheets/d/11923uPwbBZFjjGgGUA6NLw09EwE0CqkOc4q9oUmW1yo/edit?usp=sharing"",""สุโขทัย!I543"")"),0)</f>
        <v>0</v>
      </c>
      <c r="J648" s="537">
        <f ca="1">IFERROR(__xludf.DUMMYFUNCTION("IMPORTRANGE(""https://docs.google.com/spreadsheets/d/11923uPwbBZFjjGgGUA6NLw09EwE0CqkOc4q9oUmW1yo/edit?usp=sharing"",""สุโขทัย!J543"")"),0)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IFERROR(__xludf.DUMMYFUNCTION("IMPORTRANGE(""https://docs.google.com/spreadsheets/d/11923uPwbBZFjjGgGUA6NLw09EwE0CqkOc4q9oUmW1yo/edit?usp=sharing"",""สุโขทัย!L543"")"),0)</f>
        <v>0</v>
      </c>
      <c r="M648" s="522"/>
      <c r="N648" s="539">
        <f ca="1">IFERROR(__xludf.DUMMYFUNCTION("IMPORTRANGE(""https://docs.google.com/spreadsheets/d/11923uPwbBZFjjGgGUA6NLw09EwE0CqkOc4q9oUmW1yo/edit?usp=sharing"",""สุโขทัย!M543"")"),0)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IFERROR(__xludf.DUMMYFUNCTION("IMPORTRANGE(""https://docs.google.com/spreadsheets/d/11923uPwbBZFjjGgGUA6NLw09EwE0CqkOc4q9oUmW1yo/edit?usp=sharing"",""สุโขทัย!I544"")"),0)</f>
        <v>0</v>
      </c>
      <c r="J649" s="537">
        <f ca="1">IFERROR(__xludf.DUMMYFUNCTION("IMPORTRANGE(""https://docs.google.com/spreadsheets/d/11923uPwbBZFjjGgGUA6NLw09EwE0CqkOc4q9oUmW1yo/edit?usp=sharing"",""สุโขทัย!J544"")"),0)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IFERROR(__xludf.DUMMYFUNCTION("IMPORTRANGE(""https://docs.google.com/spreadsheets/d/11923uPwbBZFjjGgGUA6NLw09EwE0CqkOc4q9oUmW1yo/edit?usp=sharing"",""สุโขทัย!L544"")"),0)</f>
        <v>0</v>
      </c>
      <c r="M649" s="522"/>
      <c r="N649" s="539">
        <f ca="1">IFERROR(__xludf.DUMMYFUNCTION("IMPORTRANGE(""https://docs.google.com/spreadsheets/d/11923uPwbBZFjjGgGUA6NLw09EwE0CqkOc4q9oUmW1yo/edit?usp=sharing"",""สุโขทัย!M544"")"),0)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IFERROR(__xludf.DUMMYFUNCTION("IMPORTRANGE(""https://docs.google.com/spreadsheets/d/11923uPwbBZFjjGgGUA6NLw09EwE0CqkOc4q9oUmW1yo/edit?usp=sharing"",""สุโขทัย!I545"")"),0)</f>
        <v>0</v>
      </c>
      <c r="J650" s="537">
        <f ca="1">IFERROR(__xludf.DUMMYFUNCTION("IMPORTRANGE(""https://docs.google.com/spreadsheets/d/11923uPwbBZFjjGgGUA6NLw09EwE0CqkOc4q9oUmW1yo/edit?usp=sharing"",""สุโขทัย!J545"")"),0)</f>
        <v>0</v>
      </c>
      <c r="K650" s="538">
        <f t="shared" ca="1" si="131"/>
        <v>0</v>
      </c>
      <c r="L650" s="523">
        <f ca="1">IFERROR(__xludf.DUMMYFUNCTION("IMPORTRANGE(""https://docs.google.com/spreadsheets/d/11923uPwbBZFjjGgGUA6NLw09EwE0CqkOc4q9oUmW1yo/edit?usp=sharing"",""สุโขทัย!L545"")"),0)</f>
        <v>0</v>
      </c>
      <c r="M650" s="522"/>
      <c r="N650" s="539">
        <f ca="1">IFERROR(__xludf.DUMMYFUNCTION("IMPORTRANGE(""https://docs.google.com/spreadsheets/d/11923uPwbBZFjjGgGUA6NLw09EwE0CqkOc4q9oUmW1yo/edit?usp=sharing"",""สุโขทัย!M545"")"),0)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IFERROR(__xludf.DUMMYFUNCTION("IMPORTRANGE(""https://docs.google.com/spreadsheets/d/11923uPwbBZFjjGgGUA6NLw09EwE0CqkOc4q9oUmW1yo/edit?usp=sharing"",""สุโขทัย!I546"")"),719)</f>
        <v>719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IFERROR(__xludf.DUMMYFUNCTION("IMPORTRANGE(""https://docs.google.com/spreadsheets/d/11923uPwbBZFjjGgGUA6NLw09EwE0CqkOc4q9oUmW1yo/edit?usp=sharing"",""สุโขทัย!L546"")"),17975)</f>
        <v>17975</v>
      </c>
      <c r="M651" s="522"/>
      <c r="N651" s="539">
        <f ca="1">IFERROR(__xludf.DUMMYFUNCTION("IMPORTRANGE(""https://docs.google.com/spreadsheets/d/11923uPwbBZFjjGgGUA6NLw09EwE0CqkOc4q9oUmW1yo/edit?usp=sharing"",""สุโขทัย!M546"")"),0)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IFERROR(__xludf.DUMMYFUNCTION("IMPORTRANGE(""https://docs.google.com/spreadsheets/d/11923uPwbBZFjjGgGUA6NLw09EwE0CqkOc4q9oUmW1yo/edit?usp=sharing"",""สุโขทัย!J547"")"),0)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IFERROR(__xludf.DUMMYFUNCTION("IMPORTRANGE(""https://docs.google.com/spreadsheets/d/11923uPwbBZFjjGgGUA6NLw09EwE0CqkOc4q9oUmW1yo/edit?usp=sharing"",""สุโขทัย!J548"")"),0)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IFERROR(__xludf.DUMMYFUNCTION("IMPORTRANGE(""https://docs.google.com/spreadsheets/d/11923uPwbBZFjjGgGUA6NLw09EwE0CqkOc4q9oUmW1yo/edit?usp=sharing"",""สุโขทัย!J550"")"),0)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IFERROR(__xludf.DUMMYFUNCTION("IMPORTRANGE(""https://docs.google.com/spreadsheets/d/11923uPwbBZFjjGgGUA6NLw09EwE0CqkOc4q9oUmW1yo/edit?usp=sharing"",""สุโขทัย!J551"")"),0)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IFERROR(__xludf.DUMMYFUNCTION("IMPORTRANGE(""https://docs.google.com/spreadsheets/d/11923uPwbBZFjjGgGUA6NLw09EwE0CqkOc4q9oUmW1yo/edit?usp=sharing"",""สุโขทัย!J552"")"),0)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IFERROR(__xludf.DUMMYFUNCTION("IMPORTRANGE(""https://docs.google.com/spreadsheets/d/11923uPwbBZFjjGgGUA6NLw09EwE0CqkOc4q9oUmW1yo/edit?usp=sharing"",""สุโขทัย!J553"")"),0)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IFERROR(__xludf.DUMMYFUNCTION("IMPORTRANGE(""https://docs.google.com/spreadsheets/d/11923uPwbBZFjjGgGUA6NLw09EwE0CqkOc4q9oUmW1yo/edit?usp=sharing"",""สุโขทัย!J554"")"),0)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IFERROR(__xludf.DUMMYFUNCTION("IMPORTRANGE(""https://docs.google.com/spreadsheets/d/11923uPwbBZFjjGgGUA6NLw09EwE0CqkOc4q9oUmW1yo/edit?usp=sharing"",""สุโขทัย!J555"")"),0)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IFERROR(__xludf.DUMMYFUNCTION("IMPORTRANGE(""https://docs.google.com/spreadsheets/d/11923uPwbBZFjjGgGUA6NLw09EwE0CqkOc4q9oUmW1yo/edit?usp=sharing"",""สุโขทัย!J556"")"),0)</f>
        <v>0</v>
      </c>
      <c r="K661" s="538"/>
      <c r="L661" s="523">
        <f ca="1">IFERROR(__xludf.DUMMYFUNCTION("IMPORTRANGE(""https://docs.google.com/spreadsheets/d/11923uPwbBZFjjGgGUA6NLw09EwE0CqkOc4q9oUmW1yo/edit?usp=sharing"",""สุโขทัย!L556"")"),9120)</f>
        <v>9120</v>
      </c>
      <c r="M661" s="522"/>
      <c r="N661" s="539">
        <f ca="1">IFERROR(__xludf.DUMMYFUNCTION("IMPORTRANGE(""https://docs.google.com/spreadsheets/d/11923uPwbBZFjjGgGUA6NLw09EwE0CqkOc4q9oUmW1yo/edit?usp=sharing"",""สุโขทัย!M556"")"),0)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IFERROR(__xludf.DUMMYFUNCTION("IMPORTRANGE(""https://docs.google.com/spreadsheets/d/11923uPwbBZFjjGgGUA6NLw09EwE0CqkOc4q9oUmW1yo/edit?usp=sharing"",""สุโขทัย!J557"")"),0)</f>
        <v>0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IFERROR(__xludf.DUMMYFUNCTION("IMPORTRANGE(""https://docs.google.com/spreadsheets/d/11923uPwbBZFjjGgGUA6NLw09EwE0CqkOc4q9oUmW1yo/edit?usp=sharing"",""สุโขทัย!I558"")"),228)</f>
        <v>228</v>
      </c>
      <c r="J663" s="537">
        <f ca="1">IFERROR(__xludf.DUMMYFUNCTION("IMPORTRANGE(""https://docs.google.com/spreadsheets/d/11923uPwbBZFjjGgGUA6NLw09EwE0CqkOc4q9oUmW1yo/edit?usp=sharing"",""สุโขทัย!J558"")"),0)</f>
        <v>0</v>
      </c>
      <c r="K663" s="538">
        <f ca="1">IF(I663&gt;0,J663*100/I663,0)</f>
        <v>0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IFERROR(__xludf.DUMMYFUNCTION("IMPORTRANGE(""https://docs.google.com/spreadsheets/d/11923uPwbBZFjjGgGUA6NLw09EwE0CqkOc4q9oUmW1yo/edit?usp=sharing"",""สุโขทัย!I560"")"),0)</f>
        <v>0</v>
      </c>
      <c r="J665" s="537">
        <f ca="1">IFERROR(__xludf.DUMMYFUNCTION("IMPORTRANGE(""https://docs.google.com/spreadsheets/d/11923uPwbBZFjjGgGUA6NLw09EwE0CqkOc4q9oUmW1yo/edit?usp=sharing"",""สุโขทัย!J560"")"),0)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IFERROR(__xludf.DUMMYFUNCTION("IMPORTRANGE(""https://docs.google.com/spreadsheets/d/11923uPwbBZFjjGgGUA6NLw09EwE0CqkOc4q9oUmW1yo/edit?usp=sharing"",""สุโขทัย!L560"")"),0)</f>
        <v>0</v>
      </c>
      <c r="M665" s="522"/>
      <c r="N665" s="539">
        <f ca="1">IFERROR(__xludf.DUMMYFUNCTION("IMPORTRANGE(""https://docs.google.com/spreadsheets/d/11923uPwbBZFjjGgGUA6NLw09EwE0CqkOc4q9oUmW1yo/edit?usp=sharing"",""สุโขทัย!M560"")"),0)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IFERROR(__xludf.DUMMYFUNCTION("IMPORTRANGE(""https://docs.google.com/spreadsheets/d/11923uPwbBZFjjGgGUA6NLw09EwE0CqkOc4q9oUmW1yo/edit?usp=sharing"",""สุโขทัย!J561"")"),0)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IFERROR(__xludf.DUMMYFUNCTION("IMPORTRANGE(""https://docs.google.com/spreadsheets/d/11923uPwbBZFjjGgGUA6NLw09EwE0CqkOc4q9oUmW1yo/edit?usp=sharing"",""สุโขทัย!J562"")"),0)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IFERROR(__xludf.DUMMYFUNCTION("IMPORTRANGE(""https://docs.google.com/spreadsheets/d/11923uPwbBZFjjGgGUA6NLw09EwE0CqkOc4q9oUmW1yo/edit?usp=sharing"",""สุโขทัย!I563"")"),0)</f>
        <v>0</v>
      </c>
      <c r="J668" s="537">
        <f ca="1">IFERROR(__xludf.DUMMYFUNCTION("IMPORTRANGE(""https://docs.google.com/spreadsheets/d/11923uPwbBZFjjGgGUA6NLw09EwE0CqkOc4q9oUmW1yo/edit?usp=sharing"",""สุโขทัย!J563"")"),0)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IFERROR(__xludf.DUMMYFUNCTION("IMPORTRANGE(""https://docs.google.com/spreadsheets/d/11923uPwbBZFjjGgGUA6NLw09EwE0CqkOc4q9oUmW1yo/edit?usp=sharing"",""สุโขทัย!L563"")"),0)</f>
        <v>0</v>
      </c>
      <c r="M668" s="522"/>
      <c r="N668" s="539">
        <f ca="1">IFERROR(__xludf.DUMMYFUNCTION("IMPORTRANGE(""https://docs.google.com/spreadsheets/d/11923uPwbBZFjjGgGUA6NLw09EwE0CqkOc4q9oUmW1yo/edit?usp=sharing"",""สุโขทัย!M563"")"),0)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IFERROR(__xludf.DUMMYFUNCTION("IMPORTRANGE(""https://docs.google.com/spreadsheets/d/11923uPwbBZFjjGgGUA6NLw09EwE0CqkOc4q9oUmW1yo/edit?usp=sharing"",""สุโขทัย!J564"")"),0)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IFERROR(__xludf.DUMMYFUNCTION("IMPORTRANGE(""https://docs.google.com/spreadsheets/d/11923uPwbBZFjjGgGUA6NLw09EwE0CqkOc4q9oUmW1yo/edit?usp=sharing"",""สุโขทัย!J565"")"),0)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IFERROR(__xludf.DUMMYFUNCTION("IMPORTRANGE(""https://docs.google.com/spreadsheets/d/11923uPwbBZFjjGgGUA6NLw09EwE0CqkOc4q9oUmW1yo/edit?usp=sharing"",""สุโขทัย!I566"")"),0)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IFERROR(__xludf.DUMMYFUNCTION("IMPORTRANGE(""https://docs.google.com/spreadsheets/d/11923uPwbBZFjjGgGUA6NLw09EwE0CqkOc4q9oUmW1yo/edit?usp=sharing"",""สุโขทัย!L566"")"),0)</f>
        <v>0</v>
      </c>
      <c r="M671" s="522"/>
      <c r="N671" s="539">
        <f ca="1">IFERROR(__xludf.DUMMYFUNCTION("IMPORTRANGE(""https://docs.google.com/spreadsheets/d/11923uPwbBZFjjGgGUA6NLw09EwE0CqkOc4q9oUmW1yo/edit?usp=sharing"",""สุโขทัย!M566"")"),0)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IFERROR(__xludf.DUMMYFUNCTION("IMPORTRANGE(""https://docs.google.com/spreadsheets/d/11923uPwbBZFjjGgGUA6NLw09EwE0CqkOc4q9oUmW1yo/edit?usp=sharing"",""สุโขทัย!J567"")"),0)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IFERROR(__xludf.DUMMYFUNCTION("IMPORTRANGE(""https://docs.google.com/spreadsheets/d/11923uPwbBZFjjGgGUA6NLw09EwE0CqkOc4q9oUmW1yo/edit?usp=sharing"",""สุโขทัย!J568"")"),0)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IFERROR(__xludf.DUMMYFUNCTION("IMPORTRANGE(""https://docs.google.com/spreadsheets/d/11923uPwbBZFjjGgGUA6NLw09EwE0CqkOc4q9oUmW1yo/edit?usp=sharing"",""สุโขทัย!J569"")"),0)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IFERROR(__xludf.DUMMYFUNCTION("IMPORTRANGE(""https://docs.google.com/spreadsheets/d/11923uPwbBZFjjGgGUA6NLw09EwE0CqkOc4q9oUmW1yo/edit?usp=sharing"",""สุโขทัย!J570"")"),0)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IFERROR(__xludf.DUMMYFUNCTION("IMPORTRANGE(""https://docs.google.com/spreadsheets/d/11923uPwbBZFjjGgGUA6NLw09EwE0CqkOc4q9oUmW1yo/edit?usp=sharing"",""สุโขทัย!J571"")"),0)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IFERROR(__xludf.DUMMYFUNCTION("IMPORTRANGE(""https://docs.google.com/spreadsheets/d/11923uPwbBZFjjGgGUA6NLw09EwE0CqkOc4q9oUmW1yo/edit?usp=sharing"",""สุโขทัย!J572"")"),0)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290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5598621.7000000002</v>
      </c>
      <c r="M8" s="25">
        <f t="shared" ca="1" si="0"/>
        <v>2836018.7</v>
      </c>
      <c r="N8" s="25">
        <f t="shared" ca="1" si="0"/>
        <v>3443755.04</v>
      </c>
      <c r="O8" s="24">
        <f t="shared" ref="O8:O16" ca="1" si="1">IF(L8&gt;0,N8*100/L8,0)</f>
        <v>61.510765051333969</v>
      </c>
      <c r="P8" s="24">
        <f t="shared" ref="P8:P16" ca="1" si="2">IF(M8&gt;0,N8*100/M8,0)</f>
        <v>121.42920778343245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5598621.7000000002</v>
      </c>
      <c r="M10" s="32">
        <f t="shared" ca="1" si="4"/>
        <v>2836018.7</v>
      </c>
      <c r="N10" s="32">
        <f t="shared" ca="1" si="4"/>
        <v>3443755.04</v>
      </c>
      <c r="O10" s="31">
        <f t="shared" ca="1" si="1"/>
        <v>61.510765051333969</v>
      </c>
      <c r="P10" s="31">
        <f t="shared" ca="1" si="2"/>
        <v>121.42920778343245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4753192</v>
      </c>
      <c r="M12" s="41">
        <f t="shared" ca="1" si="6"/>
        <v>1990589</v>
      </c>
      <c r="N12" s="41">
        <f t="shared" ca="1" si="6"/>
        <v>2598325.34</v>
      </c>
      <c r="O12" s="41">
        <f t="shared" ca="1" si="1"/>
        <v>54.664851325172641</v>
      </c>
      <c r="P12" s="41">
        <f t="shared" ca="1" si="2"/>
        <v>130.53047816500543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1880100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2873092</v>
      </c>
      <c r="M14" s="41">
        <f t="shared" si="8"/>
        <v>0</v>
      </c>
      <c r="N14" s="41">
        <f t="shared" ca="1" si="8"/>
        <v>994395.5</v>
      </c>
      <c r="O14" s="41">
        <f t="shared" ca="1" si="1"/>
        <v>34.610638991024302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845429.7</v>
      </c>
      <c r="M16" s="41">
        <f t="shared" ca="1" si="10"/>
        <v>845429.7</v>
      </c>
      <c r="N16" s="41">
        <f t="shared" ca="1" si="10"/>
        <v>845429.7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3393894.7</v>
      </c>
      <c r="M18" s="25">
        <f t="shared" ca="1" si="11"/>
        <v>2836018.7</v>
      </c>
      <c r="N18" s="25">
        <f t="shared" ca="1" si="11"/>
        <v>2449359.54</v>
      </c>
      <c r="O18" s="24">
        <f t="shared" ref="O18:O20" ca="1" si="12">IF(L18&gt;0,N18*100/L18,0)</f>
        <v>72.169579686723921</v>
      </c>
      <c r="P18" s="24">
        <f t="shared" ref="P18:P26" ca="1" si="13">IF(M18&gt;0,N18*100/M18,0)</f>
        <v>86.366127980749908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3393894.7</v>
      </c>
      <c r="M20" s="32">
        <f t="shared" ca="1" si="15"/>
        <v>2836018.7</v>
      </c>
      <c r="N20" s="32">
        <f t="shared" ca="1" si="15"/>
        <v>2449359.54</v>
      </c>
      <c r="O20" s="31">
        <f t="shared" ca="1" si="12"/>
        <v>72.169579686723921</v>
      </c>
      <c r="P20" s="31">
        <f t="shared" ca="1" si="13"/>
        <v>86.366127980749908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2548465</v>
      </c>
      <c r="M22" s="44">
        <f t="shared" ca="1" si="18"/>
        <v>1990589</v>
      </c>
      <c r="N22" s="41">
        <f t="shared" ca="1" si="18"/>
        <v>1603929.8399999999</v>
      </c>
      <c r="O22" s="41">
        <f t="shared" ca="1" si="17"/>
        <v>62.937095074878407</v>
      </c>
      <c r="P22" s="41">
        <f t="shared" ca="1" si="13"/>
        <v>80.575640677206593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1880100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668365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845429.7</v>
      </c>
      <c r="M26" s="52">
        <f t="shared" ca="1" si="22"/>
        <v>845429.7</v>
      </c>
      <c r="N26" s="52">
        <f t="shared" ca="1" si="22"/>
        <v>845429.7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2204727</v>
      </c>
      <c r="M28" s="25">
        <f t="shared" si="23"/>
        <v>0</v>
      </c>
      <c r="N28" s="25">
        <f t="shared" ca="1" si="23"/>
        <v>994395.5</v>
      </c>
      <c r="O28" s="24">
        <f t="shared" ref="O28:O30" ca="1" si="24">IF(L28&gt;0,N28*100/L28,0)</f>
        <v>45.102885754109238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2204727</v>
      </c>
      <c r="M30" s="32">
        <f t="shared" si="27"/>
        <v>0</v>
      </c>
      <c r="N30" s="32">
        <f t="shared" ca="1" si="27"/>
        <v>994395.5</v>
      </c>
      <c r="O30" s="31">
        <f t="shared" ca="1" si="24"/>
        <v>45.102885754109238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2204727</v>
      </c>
      <c r="M32" s="41">
        <f t="shared" si="30"/>
        <v>0</v>
      </c>
      <c r="N32" s="41">
        <f t="shared" ca="1" si="30"/>
        <v>994395.5</v>
      </c>
      <c r="O32" s="41">
        <f t="shared" ca="1" si="29"/>
        <v>45.102885754109238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2204727</v>
      </c>
      <c r="M34" s="41">
        <f t="shared" si="32"/>
        <v>0</v>
      </c>
      <c r="N34" s="41">
        <f t="shared" ca="1" si="32"/>
        <v>994395.5</v>
      </c>
      <c r="O34" s="41">
        <f t="shared" ca="1" si="29"/>
        <v>45.102885754109238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3393894.7</v>
      </c>
      <c r="M37" s="57">
        <f t="shared" ca="1" si="33"/>
        <v>2836018.7</v>
      </c>
      <c r="N37" s="57">
        <f t="shared" ca="1" si="33"/>
        <v>2449359.54</v>
      </c>
      <c r="O37" s="58">
        <f t="shared" ca="1" si="29"/>
        <v>72.169579686723921</v>
      </c>
      <c r="P37" s="58">
        <f t="shared" ca="1" si="25"/>
        <v>86.366127980749908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1487129.7</v>
      </c>
      <c r="M41" s="81">
        <f t="shared" ca="1" si="34"/>
        <v>1305483.7</v>
      </c>
      <c r="N41" s="81">
        <f t="shared" ca="1" si="34"/>
        <v>1191114.58</v>
      </c>
      <c r="O41" s="80">
        <f t="shared" ref="O41:O43" ca="1" si="35">IF(L41&gt;0,N41*100/L41,0)</f>
        <v>80.094868658732324</v>
      </c>
      <c r="P41" s="80">
        <f t="shared" ref="P41:P43" ca="1" si="36">IF(M41&gt;0,N41*100/M41,0)</f>
        <v>91.239329912736565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1487129.7</v>
      </c>
      <c r="M43" s="81">
        <f t="shared" ca="1" si="38"/>
        <v>1305483.7</v>
      </c>
      <c r="N43" s="81">
        <f t="shared" ca="1" si="38"/>
        <v>1191114.58</v>
      </c>
      <c r="O43" s="80">
        <f t="shared" ca="1" si="35"/>
        <v>80.094868658732324</v>
      </c>
      <c r="P43" s="80">
        <f t="shared" ca="1" si="36"/>
        <v>91.239329912736565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734100</v>
      </c>
      <c r="M45" s="52">
        <f ca="1">IFERROR(__xludf.DUMMYFUNCTION("IMPORTRANGE(""https://docs.google.com/spreadsheets/d/1Yj_ptqi66GCucihVvJfMjLAmec39IyEx_6qawtMGysU/edit?usp=sharing"",""สบก!Q35"")"),552454)</f>
        <v>552454</v>
      </c>
      <c r="N45" s="52">
        <f ca="1">IFERROR(__xludf.DUMMYFUNCTION("IMPORTRANGE(""https://docs.google.com/spreadsheets/d/1Yj_ptqi66GCucihVvJfMjLAmec39IyEx_6qawtMGysU/edit?usp=sharing"",""สบก!R35"")"),438084.88)</f>
        <v>438084.88</v>
      </c>
      <c r="O45" s="41">
        <f ca="1">IF(L45&gt;0,N45*100/L45,0)</f>
        <v>59.676458248195068</v>
      </c>
      <c r="P45" s="41">
        <f ca="1">IF(M45&gt;0,N45*100/M45,0)</f>
        <v>79.297983180500097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IFERROR(__xludf.DUMMYFUNCTION("IMPORTRANGE(""https://docs.google.com/spreadsheets/d/1Yj_ptqi66GCucihVvJfMjLAmec39IyEx_6qawtMGysU/edit?usp=sharing"",""สบก!M35"")"),734100)</f>
        <v>734100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IFERROR(__xludf.DUMMYFUNCTION("IMPORTRANGE(""https://docs.google.com/spreadsheets/d/1Yj_ptqi66GCucihVvJfMjLAmec39IyEx_6qawtMGysU/edit?usp=sharing"",""สบก!N35"")"),0)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IFERROR(__xludf.DUMMYFUNCTION("IMPORTRANGE(""https://docs.google.com/spreadsheets/d/1Yj_ptqi66GCucihVvJfMjLAmec39IyEx_6qawtMGysU/edit?usp=sharing"",""สบก!O35"")"),753029.7)</f>
        <v>753029.7</v>
      </c>
      <c r="M49" s="52">
        <f ca="1">L49</f>
        <v>753029.7</v>
      </c>
      <c r="N49" s="52">
        <f ca="1">IFERROR(__xludf.DUMMYFUNCTION("IMPORTRANGE(""https://docs.google.com/spreadsheets/d/1Yj_ptqi66GCucihVvJfMjLAmec39IyEx_6qawtMGysU/edit?usp=sharing"",""สบก!S35"")"),753029.7)</f>
        <v>753029.7</v>
      </c>
      <c r="O49" s="52">
        <f ca="1">IF(L49&gt;0,N49*100/L49,0)</f>
        <v>100</v>
      </c>
      <c r="P49" s="52">
        <f ca="1">IF(M49&gt;0,N49*100/M49,0)</f>
        <v>100</v>
      </c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400000</v>
      </c>
      <c r="M53" s="123">
        <f t="shared" ca="1" si="39"/>
        <v>321590</v>
      </c>
      <c r="N53" s="123">
        <f t="shared" ca="1" si="39"/>
        <v>317451</v>
      </c>
      <c r="O53" s="122">
        <f t="shared" ref="O53:O55" ca="1" si="40">IF(L53&gt;0,N53*100/L53,0)</f>
        <v>79.362750000000005</v>
      </c>
      <c r="P53" s="122">
        <f t="shared" ref="P53:P55" ca="1" si="41">IF(M53&gt;0,N53*100/M53,0)</f>
        <v>98.712957492459338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400000</v>
      </c>
      <c r="M55" s="123">
        <f t="shared" ca="1" si="43"/>
        <v>321590</v>
      </c>
      <c r="N55" s="123">
        <f t="shared" ca="1" si="43"/>
        <v>317451</v>
      </c>
      <c r="O55" s="122">
        <f t="shared" ca="1" si="40"/>
        <v>79.362750000000005</v>
      </c>
      <c r="P55" s="122">
        <f t="shared" ca="1" si="41"/>
        <v>98.712957492459338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400000</v>
      </c>
      <c r="M57" s="52">
        <f ca="1">IFERROR(__xludf.DUMMYFUNCTION("IMPORTRANGE(""https://docs.google.com/spreadsheets/d/1Yj_ptqi66GCucihVvJfMjLAmec39IyEx_6qawtMGysU/edit?usp=sharing"",""สบก!Z35"")"),321590)</f>
        <v>321590</v>
      </c>
      <c r="N57" s="52">
        <f ca="1">IFERROR(__xludf.DUMMYFUNCTION("IMPORTRANGE(""https://docs.google.com/spreadsheets/d/1Yj_ptqi66GCucihVvJfMjLAmec39IyEx_6qawtMGysU/edit?usp=sharing"",""สบก!AA35"")"),317451)</f>
        <v>317451</v>
      </c>
      <c r="O57" s="41">
        <f ca="1">IF(L57&gt;0,N57*100/L57,0)</f>
        <v>79.362750000000005</v>
      </c>
      <c r="P57" s="41">
        <f ca="1">IF(M57&gt;0,N57*100/M57,0)</f>
        <v>98.712957492459338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IFERROR(__xludf.DUMMYFUNCTION("IMPORTRANGE(""https://docs.google.com/spreadsheets/d/1Yj_ptqi66GCucihVvJfMjLAmec39IyEx_6qawtMGysU/edit?usp=sharing"",""สบก!V35"")"),400000)</f>
        <v>400000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IFERROR(__xludf.DUMMYFUNCTION("IMPORTRANGE(""https://docs.google.com/spreadsheets/d/1Yj_ptqi66GCucihVvJfMjLAmec39IyEx_6qawtMGysU/edit?usp=sharing"",""สบก!W35"")"),0)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IFERROR(__xludf.DUMMYFUNCTION("IMPORTRANGE(""https://docs.google.com/spreadsheets/d/1Yj_ptqi66GCucihVvJfMjLAmec39IyEx_6qawtMGysU/edit?usp=sharing"",""สบก!X35"")"),0)</f>
        <v>0</v>
      </c>
      <c r="M61" s="52"/>
      <c r="N61" s="52">
        <f ca="1">IFERROR(__xludf.DUMMYFUNCTION("IMPORTRANGE(""https://docs.google.com/spreadsheets/d/1Yj_ptqi66GCucihVvJfMjLAmec39IyEx_6qawtMGysU/edit?usp=sharing"",""สบก!AB35"")"),0)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IFERROR(__xludf.DUMMYFUNCTION("IMPORTRANGE(""https://docs.google.com/spreadsheets/d/11923uPwbBZFjjGgGUA6NLw09EwE0CqkOc4q9oUmW1yo/edit?usp=sharing"",""อุตรดิตถ์!I9"")"),0)</f>
        <v>0</v>
      </c>
      <c r="J64" s="144">
        <f ca="1">IFERROR(__xludf.DUMMYFUNCTION("IMPORTRANGE(""https://docs.google.com/spreadsheets/d/11923uPwbBZFjjGgGUA6NLw09EwE0CqkOc4q9oUmW1yo/edit?usp=sharing"",""อุตรดิตถ์!J9"")"),0)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IFERROR(__xludf.DUMMYFUNCTION("IMPORTRANGE(""https://docs.google.com/spreadsheets/d/11923uPwbBZFjjGgGUA6NLw09EwE0CqkOc4q9oUmW1yo/edit?usp=sharing"",""อุตรดิตถ์!I10"")"),0)</f>
        <v>0</v>
      </c>
      <c r="J65" s="144">
        <f ca="1">IFERROR(__xludf.DUMMYFUNCTION("IMPORTRANGE(""https://docs.google.com/spreadsheets/d/11923uPwbBZFjjGgGUA6NLw09EwE0CqkOc4q9oUmW1yo/edit?usp=sharing"",""อุตรดิตถ์!J10"")"),0)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0</v>
      </c>
      <c r="M68" s="90">
        <f t="shared" ca="1" si="49"/>
        <v>0</v>
      </c>
      <c r="N68" s="90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59"/>
      <c r="B69" s="160"/>
      <c r="C69" s="160" t="s">
        <v>16</v>
      </c>
      <c r="D69" s="570" t="s">
        <v>20</v>
      </c>
      <c r="E69" s="565"/>
      <c r="F69" s="565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IFERROR(__xludf.DUMMYFUNCTION("IMPORTRANGE(""https://docs.google.com/spreadsheets/d/1Yj_ptqi66GCucihVvJfMjLAmec39IyEx_6qawtMGysU/edit?usp=sharing"",""สบก!AI35"")"),0)</f>
        <v>0</v>
      </c>
      <c r="N70" s="170">
        <f ca="1">IFERROR(__xludf.DUMMYFUNCTION("IMPORTRANGE(""https://docs.google.com/spreadsheets/d/1Yj_ptqi66GCucihVvJfMjLAmec39IyEx_6qawtMGysU/edit?usp=sharing"",""สบก!AJ35"")"),0)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IFERROR(__xludf.DUMMYFUNCTION("IMPORTRANGE(""https://docs.google.com/spreadsheets/d/1Yj_ptqi66GCucihVvJfMjLAmec39IyEx_6qawtMGysU/edit?usp=sharing"",""สบก!AE35"")"),0)</f>
        <v>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IFERROR(__xludf.DUMMYFUNCTION("IMPORTRANGE(""https://docs.google.com/spreadsheets/d/1Yj_ptqi66GCucihVvJfMjLAmec39IyEx_6qawtMGysU/edit?usp=sharing"",""สบก!AF35"")"),0)</f>
        <v>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IFERROR(__xludf.DUMMYFUNCTION("IMPORTRANGE(""https://docs.google.com/spreadsheets/d/1Yj_ptqi66GCucihVvJfMjLAmec39IyEx_6qawtMGysU/edit?usp=sharing"",""สบก!AG35"")"),0)</f>
        <v>0</v>
      </c>
      <c r="M74" s="52"/>
      <c r="N74" s="52">
        <f ca="1">IFERROR(__xludf.DUMMYFUNCTION("IMPORTRANGE(""https://docs.google.com/spreadsheets/d/1Yj_ptqi66GCucihVvJfMjLAmec39IyEx_6qawtMGysU/edit?usp=sharing"",""สบก!AK35"")"),0)</f>
        <v>0</v>
      </c>
      <c r="O74" s="52">
        <f ca="1">IF(L74&gt;0,N74*100/L74,0)</f>
        <v>0</v>
      </c>
      <c r="P74" s="52"/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IFERROR(__xludf.DUMMYFUNCTION("IMPORTRANGE(""https://docs.google.com/spreadsheets/d/11923uPwbBZFjjGgGUA6NLw09EwE0CqkOc4q9oUmW1yo/edit?usp=sharing"",""อุตรดิตถ์!J16"")"),0)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IFERROR(__xludf.DUMMYFUNCTION("IMPORTRANGE(""https://docs.google.com/spreadsheets/d/11923uPwbBZFjjGgGUA6NLw09EwE0CqkOc4q9oUmW1yo/edit?usp=sharing"",""อุตรดิตถ์!J17"")"),0)</f>
        <v>0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IFERROR(__xludf.DUMMYFUNCTION("IMPORTRANGE(""https://docs.google.com/spreadsheets/d/11923uPwbBZFjjGgGUA6NLw09EwE0CqkOc4q9oUmW1yo/edit?usp=sharing"",""อุตรดิตถ์!J18"")"),0)</f>
        <v>0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IFERROR(__xludf.DUMMYFUNCTION("IMPORTRANGE(""https://docs.google.com/spreadsheets/d/11923uPwbBZFjjGgGUA6NLw09EwE0CqkOc4q9oUmW1yo/edit?usp=sharing"",""อุตรดิตถ์!J19"")"),0)</f>
        <v>0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IFERROR(__xludf.DUMMYFUNCTION("IMPORTRANGE(""https://docs.google.com/spreadsheets/d/11923uPwbBZFjjGgGUA6NLw09EwE0CqkOc4q9oUmW1yo/edit?usp=sharing"",""อุตรดิตถ์!I20"")"),0)</f>
        <v>0</v>
      </c>
      <c r="J80" s="202">
        <f ca="1">IFERROR(__xludf.DUMMYFUNCTION("IMPORTRANGE(""https://docs.google.com/spreadsheets/d/11923uPwbBZFjjGgGUA6NLw09EwE0CqkOc4q9oUmW1yo/edit?usp=sharing"",""อุตรดิตถ์!J20"")"),0)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IFERROR(__xludf.DUMMYFUNCTION("IMPORTRANGE(""https://docs.google.com/spreadsheets/d/11923uPwbBZFjjGgGUA6NLw09EwE0CqkOc4q9oUmW1yo/edit?usp=sharing"",""อุตรดิตถ์!I21"")"),0)</f>
        <v>0</v>
      </c>
      <c r="J81" s="202">
        <f ca="1">IFERROR(__xludf.DUMMYFUNCTION("IMPORTRANGE(""https://docs.google.com/spreadsheets/d/11923uPwbBZFjjGgGUA6NLw09EwE0CqkOc4q9oUmW1yo/edit?usp=sharing"",""อุตรดิตถ์!J21"")"),0)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IFERROR(__xludf.DUMMYFUNCTION("IMPORTRANGE(""https://docs.google.com/spreadsheets/d/11923uPwbBZFjjGgGUA6NLw09EwE0CqkOc4q9oUmW1yo/edit?usp=sharing"",""อุตรดิตถ์!I22"")"),0)</f>
        <v>0</v>
      </c>
      <c r="J82" s="205">
        <f ca="1">IFERROR(__xludf.DUMMYFUNCTION("IMPORTRANGE(""https://docs.google.com/spreadsheets/d/11923uPwbBZFjjGgGUA6NLw09EwE0CqkOc4q9oUmW1yo/edit?usp=sharing"",""อุตรดิตถ์!J22"")"),0)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IFERROR(__xludf.DUMMYFUNCTION("IMPORTRANGE(""https://docs.google.com/spreadsheets/d/11923uPwbBZFjjGgGUA6NLw09EwE0CqkOc4q9oUmW1yo/edit?usp=sharing"",""อุตรดิตถ์!I23"")"),0)</f>
        <v>0</v>
      </c>
      <c r="J83" s="205">
        <f ca="1">IFERROR(__xludf.DUMMYFUNCTION("IMPORTRANGE(""https://docs.google.com/spreadsheets/d/11923uPwbBZFjjGgGUA6NLw09EwE0CqkOc4q9oUmW1yo/edit?usp=sharing"",""อุตรดิตถ์!J23"")"),0)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IFERROR(__xludf.DUMMYFUNCTION("IMPORTRANGE(""https://docs.google.com/spreadsheets/d/11923uPwbBZFjjGgGUA6NLw09EwE0CqkOc4q9oUmW1yo/edit?usp=sharing"",""อุตรดิตถ์!I24"")"),0)</f>
        <v>0</v>
      </c>
      <c r="J84" s="190">
        <f ca="1">IFERROR(__xludf.DUMMYFUNCTION("IMPORTRANGE(""https://docs.google.com/spreadsheets/d/11923uPwbBZFjjGgGUA6NLw09EwE0CqkOc4q9oUmW1yo/edit?usp=sharing"",""อุตรดิตถ์!J24"")"),0)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IFERROR(__xludf.DUMMYFUNCTION("IMPORTRANGE(""https://docs.google.com/spreadsheets/d/11923uPwbBZFjjGgGUA6NLw09EwE0CqkOc4q9oUmW1yo/edit?usp=sharing"",""อุตรดิตถ์!I25"")"),0)</f>
        <v>0</v>
      </c>
      <c r="J85" s="190">
        <f ca="1">IFERROR(__xludf.DUMMYFUNCTION("IMPORTRANGE(""https://docs.google.com/spreadsheets/d/11923uPwbBZFjjGgGUA6NLw09EwE0CqkOc4q9oUmW1yo/edit?usp=sharing"",""อุตรดิตถ์!J25"")"),0)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IFERROR(__xludf.DUMMYFUNCTION("IMPORTRANGE(""https://docs.google.com/spreadsheets/d/11923uPwbBZFjjGgGUA6NLw09EwE0CqkOc4q9oUmW1yo/edit?usp=sharing"",""อุตรดิตถ์!I26"")"),0)</f>
        <v>0</v>
      </c>
      <c r="J86" s="205">
        <f ca="1">IFERROR(__xludf.DUMMYFUNCTION("IMPORTRANGE(""https://docs.google.com/spreadsheets/d/11923uPwbBZFjjGgGUA6NLw09EwE0CqkOc4q9oUmW1yo/edit?usp=sharing"",""อุตรดิตถ์!J26"")"),0)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IFERROR(__xludf.DUMMYFUNCTION("IMPORTRANGE(""https://docs.google.com/spreadsheets/d/11923uPwbBZFjjGgGUA6NLw09EwE0CqkOc4q9oUmW1yo/edit?usp=sharing"",""อุตรดิตถ์!I27"")"),0)</f>
        <v>0</v>
      </c>
      <c r="J87" s="205">
        <f ca="1">IFERROR(__xludf.DUMMYFUNCTION("IMPORTRANGE(""https://docs.google.com/spreadsheets/d/11923uPwbBZFjjGgGUA6NLw09EwE0CqkOc4q9oUmW1yo/edit?usp=sharing"",""อุตรดิตถ์!J27"")"),0)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IFERROR(__xludf.DUMMYFUNCTION("IMPORTRANGE(""https://docs.google.com/spreadsheets/d/11923uPwbBZFjjGgGUA6NLw09EwE0CqkOc4q9oUmW1yo/edit?usp=sharing"",""อุตรดิตถ์!I28"")"),0)</f>
        <v>0</v>
      </c>
      <c r="J88" s="205">
        <f ca="1">IFERROR(__xludf.DUMMYFUNCTION("IMPORTRANGE(""https://docs.google.com/spreadsheets/d/11923uPwbBZFjjGgGUA6NLw09EwE0CqkOc4q9oUmW1yo/edit?usp=sharing"",""อุตรดิตถ์!J28"")"),0)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IFERROR(__xludf.DUMMYFUNCTION("IMPORTRANGE(""https://docs.google.com/spreadsheets/d/11923uPwbBZFjjGgGUA6NLw09EwE0CqkOc4q9oUmW1yo/edit?usp=sharing"",""อุตรดิตถ์!J29"")"),0)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IFERROR(__xludf.DUMMYFUNCTION("IMPORTRANGE(""https://docs.google.com/spreadsheets/d/11923uPwbBZFjjGgGUA6NLw09EwE0CqkOc4q9oUmW1yo/edit?usp=sharing"",""อุตรดิตถ์!J30"")"),0)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IFERROR(__xludf.DUMMYFUNCTION("IMPORTRANGE(""https://docs.google.com/spreadsheets/d/11923uPwbBZFjjGgGUA6NLw09EwE0CqkOc4q9oUmW1yo/edit?usp=sharing"",""อุตรดิตถ์!I32"")"),4)</f>
        <v>4</v>
      </c>
      <c r="J92" s="144">
        <f ca="1">IFERROR(__xludf.DUMMYFUNCTION("IMPORTRANGE(""https://docs.google.com/spreadsheets/d/11923uPwbBZFjjGgGUA6NLw09EwE0CqkOc4q9oUmW1yo/edit?usp=sharing"",""อุตรดิตถ์!J32"")"),4)</f>
        <v>4</v>
      </c>
      <c r="K92" s="145">
        <f t="shared" ref="K92:K93" ca="1" si="51">IF(I92&gt;0,J92*100/I92,0)</f>
        <v>100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IFERROR(__xludf.DUMMYFUNCTION("IMPORTRANGE(""https://docs.google.com/spreadsheets/d/11923uPwbBZFjjGgGUA6NLw09EwE0CqkOc4q9oUmW1yo/edit?usp=sharing"",""อุตรดิตถ์!I33"")"),1)</f>
        <v>1</v>
      </c>
      <c r="J93" s="144">
        <f ca="1">IFERROR(__xludf.DUMMYFUNCTION("IMPORTRANGE(""https://docs.google.com/spreadsheets/d/11923uPwbBZFjjGgGUA6NLw09EwE0CqkOc4q9oUmW1yo/edit?usp=sharing"",""อุตรดิตถ์!J33"")"),1)</f>
        <v>1</v>
      </c>
      <c r="K93" s="145">
        <f t="shared" ca="1" si="51"/>
        <v>100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214500</v>
      </c>
      <c r="M94" s="154">
        <f t="shared" ca="1" si="52"/>
        <v>194455</v>
      </c>
      <c r="N94" s="154">
        <f t="shared" ca="1" si="52"/>
        <v>168232.5</v>
      </c>
      <c r="O94" s="153">
        <f t="shared" ref="O94:O96" ca="1" si="53">IF(L94&gt;0,N94*100/L94,0)</f>
        <v>78.430069930069934</v>
      </c>
      <c r="P94" s="153">
        <f t="shared" ref="P94:P96" ca="1" si="54">IF(M94&gt;0,N94*100/M94,0)</f>
        <v>86.51487490679078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214500</v>
      </c>
      <c r="M96" s="90">
        <f t="shared" ca="1" si="56"/>
        <v>194455</v>
      </c>
      <c r="N96" s="90">
        <f t="shared" ca="1" si="56"/>
        <v>168232.5</v>
      </c>
      <c r="O96" s="158">
        <f t="shared" ca="1" si="53"/>
        <v>78.430069930069934</v>
      </c>
      <c r="P96" s="158">
        <f t="shared" ca="1" si="54"/>
        <v>86.51487490679078</v>
      </c>
    </row>
    <row r="97" spans="1:16" ht="21.75" customHeight="1">
      <c r="A97" s="159"/>
      <c r="B97" s="160"/>
      <c r="C97" s="160" t="s">
        <v>16</v>
      </c>
      <c r="D97" s="570" t="s">
        <v>20</v>
      </c>
      <c r="E97" s="565"/>
      <c r="F97" s="565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IFERROR(__xludf.DUMMYFUNCTION("IMPORTRANGE(""https://docs.google.com/spreadsheets/d/1Yj_ptqi66GCucihVvJfMjLAmec39IyEx_6qawtMGysU/edit?usp=sharing"",""สบก!AR35"")"),102055)</f>
        <v>102055</v>
      </c>
      <c r="N98" s="170">
        <f ca="1">IFERROR(__xludf.DUMMYFUNCTION("IMPORTRANGE(""https://docs.google.com/spreadsheets/d/1Yj_ptqi66GCucihVvJfMjLAmec39IyEx_6qawtMGysU/edit?usp=sharing"",""สบก!AS35"")"),75832.5)</f>
        <v>75832.5</v>
      </c>
      <c r="O98" s="170">
        <f ca="1">IF(L98&gt;0,N98*100/L98,0)</f>
        <v>62.106879606879609</v>
      </c>
      <c r="P98" s="170">
        <f ca="1">IF(M98&gt;0,N98*100/M98,0)</f>
        <v>74.305521532506987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IFERROR(__xludf.DUMMYFUNCTION("IMPORTRANGE(""https://docs.google.com/spreadsheets/d/1Yj_ptqi66GCucihVvJfMjLAmec39IyEx_6qawtMGysU/edit?usp=sharing"",""สบก!AN35"")"),0)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IFERROR(__xludf.DUMMYFUNCTION("IMPORTRANGE(""https://docs.google.com/spreadsheets/d/1Yj_ptqi66GCucihVvJfMjLAmec39IyEx_6qawtMGysU/edit?usp=sharing"",""สบก!AO35"")"),122100)</f>
        <v>122100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IFERROR(__xludf.DUMMYFUNCTION("IMPORTRANGE(""https://docs.google.com/spreadsheets/d/1Yj_ptqi66GCucihVvJfMjLAmec39IyEx_6qawtMGysU/edit?usp=sharing"",""สบก!AP35"")"),92400)</f>
        <v>92400</v>
      </c>
      <c r="M102" s="52">
        <f ca="1">L102</f>
        <v>92400</v>
      </c>
      <c r="N102" s="52">
        <f ca="1">IFERROR(__xludf.DUMMYFUNCTION("IMPORTRANGE(""https://docs.google.com/spreadsheets/d/1Yj_ptqi66GCucihVvJfMjLAmec39IyEx_6qawtMGysU/edit?usp=sharing"",""สบก!AT35"")"),92400)</f>
        <v>92400</v>
      </c>
      <c r="O102" s="52">
        <f ca="1">IF(L102&gt;0,N102*100/L102,0)</f>
        <v>100</v>
      </c>
      <c r="P102" s="52">
        <f ca="1">IF(M102&gt;0,N102*100/M102,0)</f>
        <v>100</v>
      </c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IFERROR(__xludf.DUMMYFUNCTION("IMPORTRANGE(""https://docs.google.com/spreadsheets/d/11923uPwbBZFjjGgGUA6NLw09EwE0CqkOc4q9oUmW1yo/edit?usp=sharing"",""อุตรดิตถ์!J39"")"),0)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IFERROR(__xludf.DUMMYFUNCTION("IMPORTRANGE(""https://docs.google.com/spreadsheets/d/11923uPwbBZFjjGgGUA6NLw09EwE0CqkOc4q9oUmW1yo/edit?usp=sharing"",""อุตรดิตถ์!J40"")"),1)</f>
        <v>1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IFERROR(__xludf.DUMMYFUNCTION("IMPORTRANGE(""https://docs.google.com/spreadsheets/d/11923uPwbBZFjjGgGUA6NLw09EwE0CqkOc4q9oUmW1yo/edit?usp=sharing"",""อุตรดิตถ์!J41"")"),1)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IFERROR(__xludf.DUMMYFUNCTION("IMPORTRANGE(""https://docs.google.com/spreadsheets/d/11923uPwbBZFjjGgGUA6NLw09EwE0CqkOc4q9oUmW1yo/edit?usp=sharing"",""อุตรดิตถ์!J42"")"),1)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IFERROR(__xludf.DUMMYFUNCTION("IMPORTRANGE(""https://docs.google.com/spreadsheets/d/11923uPwbBZFjjGgGUA6NLw09EwE0CqkOc4q9oUmW1yo/edit?usp=sharing"",""อุตรดิตถ์!I43"")"),1)</f>
        <v>1</v>
      </c>
      <c r="J108" s="205">
        <f ca="1">IFERROR(__xludf.DUMMYFUNCTION("IMPORTRANGE(""https://docs.google.com/spreadsheets/d/11923uPwbBZFjjGgGUA6NLw09EwE0CqkOc4q9oUmW1yo/edit?usp=sharing"",""อุตรดิตถ์!J43"")"),1)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IFERROR(__xludf.DUMMYFUNCTION("IMPORTRANGE(""https://docs.google.com/spreadsheets/d/11923uPwbBZFjjGgGUA6NLw09EwE0CqkOc4q9oUmW1yo/edit?usp=sharing"",""อุตรดิตถ์!I44"")"),4)</f>
        <v>4</v>
      </c>
      <c r="J109" s="205">
        <f ca="1">IFERROR(__xludf.DUMMYFUNCTION("IMPORTRANGE(""https://docs.google.com/spreadsheets/d/11923uPwbBZFjjGgGUA6NLw09EwE0CqkOc4q9oUmW1yo/edit?usp=sharing"",""อุตรดิตถ์!J44"")"),4)</f>
        <v>4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IFERROR(__xludf.DUMMYFUNCTION("IMPORTRANGE(""https://docs.google.com/spreadsheets/d/11923uPwbBZFjjGgGUA6NLw09EwE0CqkOc4q9oUmW1yo/edit?usp=sharing"",""อุตรดิตถ์!I45"")"),4)</f>
        <v>4</v>
      </c>
      <c r="J110" s="205">
        <f ca="1">IFERROR(__xludf.DUMMYFUNCTION("IMPORTRANGE(""https://docs.google.com/spreadsheets/d/11923uPwbBZFjjGgGUA6NLw09EwE0CqkOc4q9oUmW1yo/edit?usp=sharing"",""อุตรดิตถ์!J45"")"),4)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IFERROR(__xludf.DUMMYFUNCTION("IMPORTRANGE(""https://docs.google.com/spreadsheets/d/11923uPwbBZFjjGgGUA6NLw09EwE0CqkOc4q9oUmW1yo/edit?usp=sharing"",""อุตรดิตถ์!I46"")"),4)</f>
        <v>4</v>
      </c>
      <c r="J111" s="205">
        <f ca="1">IFERROR(__xludf.DUMMYFUNCTION("IMPORTRANGE(""https://docs.google.com/spreadsheets/d/11923uPwbBZFjjGgGUA6NLw09EwE0CqkOc4q9oUmW1yo/edit?usp=sharing"",""อุตรดิตถ์!J46"")"),4)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IFERROR(__xludf.DUMMYFUNCTION("IMPORTRANGE(""https://docs.google.com/spreadsheets/d/11923uPwbBZFjjGgGUA6NLw09EwE0CqkOc4q9oUmW1yo/edit?usp=sharing"",""อุตรดิตถ์!I47"")"),4)</f>
        <v>4</v>
      </c>
      <c r="J112" s="205">
        <f ca="1">IFERROR(__xludf.DUMMYFUNCTION("IMPORTRANGE(""https://docs.google.com/spreadsheets/d/11923uPwbBZFjjGgGUA6NLw09EwE0CqkOc4q9oUmW1yo/edit?usp=sharing"",""อุตรดิตถ์!J47"")"),4)</f>
        <v>4</v>
      </c>
      <c r="K112" s="225">
        <f t="shared" ca="1" si="57"/>
        <v>100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IFERROR(__xludf.DUMMYFUNCTION("IMPORTRANGE(""https://docs.google.com/spreadsheets/d/11923uPwbBZFjjGgGUA6NLw09EwE0CqkOc4q9oUmW1yo/edit?usp=sharing"",""อุตรดิตถ์!I48"")"),1)</f>
        <v>1</v>
      </c>
      <c r="J113" s="205">
        <f ca="1">IFERROR(__xludf.DUMMYFUNCTION("IMPORTRANGE(""https://docs.google.com/spreadsheets/d/11923uPwbBZFjjGgGUA6NLw09EwE0CqkOc4q9oUmW1yo/edit?usp=sharing"",""อุตรดิตถ์!J48"")"),1)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IFERROR(__xludf.DUMMYFUNCTION("IMPORTRANGE(""https://docs.google.com/spreadsheets/d/11923uPwbBZFjjGgGUA6NLw09EwE0CqkOc4q9oUmW1yo/edit?usp=sharing"",""อุตรดิตถ์!J49"")"),0)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IFERROR(__xludf.DUMMYFUNCTION("IMPORTRANGE(""https://docs.google.com/spreadsheets/d/11923uPwbBZFjjGgGUA6NLw09EwE0CqkOc4q9oUmW1yo/edit?usp=sharing"",""อุตรดิตถ์!J50"")"),0)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IFERROR(__xludf.DUMMYFUNCTION("IMPORTRANGE(""https://docs.google.com/spreadsheets/d/11923uPwbBZFjjGgGUA6NLw09EwE0CqkOc4q9oUmW1yo/edit?usp=sharing"",""อุตรดิตถ์!I52"")"),20)</f>
        <v>20</v>
      </c>
      <c r="J117" s="144">
        <f ca="1">IFERROR(__xludf.DUMMYFUNCTION("IMPORTRANGE(""https://docs.google.com/spreadsheets/d/11923uPwbBZFjjGgGUA6NLw09EwE0CqkOc4q9oUmW1yo/edit?usp=sharing"",""อุตรดิตถ์!J52"")"),20)</f>
        <v>20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82440</v>
      </c>
      <c r="M118" s="154">
        <f t="shared" ca="1" si="58"/>
        <v>82440</v>
      </c>
      <c r="N118" s="154">
        <f t="shared" ca="1" si="58"/>
        <v>56712.6</v>
      </c>
      <c r="O118" s="153">
        <f t="shared" ref="O118:O120" ca="1" si="59">IF(L118&gt;0,N118*100/L118,0)</f>
        <v>68.792576419213972</v>
      </c>
      <c r="P118" s="153">
        <f t="shared" ref="P118:P120" ca="1" si="60">IF(M118&gt;0,N118*100/M118,0)</f>
        <v>68.792576419213972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82440</v>
      </c>
      <c r="M120" s="90">
        <f t="shared" ca="1" si="62"/>
        <v>82440</v>
      </c>
      <c r="N120" s="90">
        <f t="shared" ca="1" si="62"/>
        <v>56712.6</v>
      </c>
      <c r="O120" s="158">
        <f t="shared" ca="1" si="59"/>
        <v>68.792576419213972</v>
      </c>
      <c r="P120" s="158">
        <f t="shared" ca="1" si="60"/>
        <v>68.792576419213972</v>
      </c>
    </row>
    <row r="121" spans="1:16" ht="21.75" customHeight="1">
      <c r="A121" s="159"/>
      <c r="B121" s="160"/>
      <c r="C121" s="160" t="s">
        <v>16</v>
      </c>
      <c r="D121" s="570" t="s">
        <v>20</v>
      </c>
      <c r="E121" s="565"/>
      <c r="F121" s="565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IFERROR(__xludf.DUMMYFUNCTION("IMPORTRANGE(""https://docs.google.com/spreadsheets/d/1Yj_ptqi66GCucihVvJfMjLAmec39IyEx_6qawtMGysU/edit?usp=sharing"",""สบก!BA35"")"),82440)</f>
        <v>82440</v>
      </c>
      <c r="N122" s="170">
        <f ca="1">IFERROR(__xludf.DUMMYFUNCTION("IMPORTRANGE(""https://docs.google.com/spreadsheets/d/1Yj_ptqi66GCucihVvJfMjLAmec39IyEx_6qawtMGysU/edit?usp=sharing"",""สบก!BB35"")"),56712.6)</f>
        <v>56712.6</v>
      </c>
      <c r="O122" s="170">
        <f ca="1">IF(L122&gt;0,N122*100/L122,0)</f>
        <v>68.792576419213972</v>
      </c>
      <c r="P122" s="170">
        <f ca="1">IF(M122&gt;0,N122*100/M122,0)</f>
        <v>68.792576419213972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IFERROR(__xludf.DUMMYFUNCTION("IMPORTRANGE(""https://docs.google.com/spreadsheets/d/1Yj_ptqi66GCucihVvJfMjLAmec39IyEx_6qawtMGysU/edit?usp=sharing"",""สบก!AW35"")"),0)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IFERROR(__xludf.DUMMYFUNCTION("IMPORTRANGE(""https://docs.google.com/spreadsheets/d/1Yj_ptqi66GCucihVvJfMjLAmec39IyEx_6qawtMGysU/edit?usp=sharing"",""สบก!AX35"")"),82440)</f>
        <v>82440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IFERROR(__xludf.DUMMYFUNCTION("IMPORTRANGE(""https://docs.google.com/spreadsheets/d/1Yj_ptqi66GCucihVvJfMjLAmec39IyEx_6qawtMGysU/edit?usp=sharing"",""สบก!AY35"")"),0)</f>
        <v>0</v>
      </c>
      <c r="M126" s="52"/>
      <c r="N126" s="52">
        <f ca="1">IFERROR(__xludf.DUMMYFUNCTION("IMPORTRANGE(""https://docs.google.com/spreadsheets/d/1Yj_ptqi66GCucihVvJfMjLAmec39IyEx_6qawtMGysU/edit?usp=sharing"",""สบก!BC35"")"),0)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291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IFERROR(__xludf.DUMMYFUNCTION("IMPORTRANGE(""https://docs.google.com/spreadsheets/d/11923uPwbBZFjjGgGUA6NLw09EwE0CqkOc4q9oUmW1yo/edit?usp=sharing"",""อุตรดิตถ์!J58"")"),0)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IFERROR(__xludf.DUMMYFUNCTION("IMPORTRANGE(""https://docs.google.com/spreadsheets/d/11923uPwbBZFjjGgGUA6NLw09EwE0CqkOc4q9oUmW1yo/edit?usp=sharing"",""อุตรดิตถ์!J59"")"),1)</f>
        <v>1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IFERROR(__xludf.DUMMYFUNCTION("IMPORTRANGE(""https://docs.google.com/spreadsheets/d/11923uPwbBZFjjGgGUA6NLw09EwE0CqkOc4q9oUmW1yo/edit?usp=sharing"",""อุตรดิตถ์!J60"")"),1)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IFERROR(__xludf.DUMMYFUNCTION("IMPORTRANGE(""https://docs.google.com/spreadsheets/d/11923uPwbBZFjjGgGUA6NLw09EwE0CqkOc4q9oUmW1yo/edit?usp=sharing"",""อุตรดิตถ์!J61"")"),1)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IFERROR(__xludf.DUMMYFUNCTION("IMPORTRANGE(""https://docs.google.com/spreadsheets/d/11923uPwbBZFjjGgGUA6NLw09EwE0CqkOc4q9oUmW1yo/edit?usp=sharing"",""อุตรดิตถ์!I62"")"),20)</f>
        <v>20</v>
      </c>
      <c r="J132" s="205">
        <f ca="1">IFERROR(__xludf.DUMMYFUNCTION("IMPORTRANGE(""https://docs.google.com/spreadsheets/d/11923uPwbBZFjjGgGUA6NLw09EwE0CqkOc4q9oUmW1yo/edit?usp=sharing"",""อุตรดิตถ์!J62"")"),20)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IFERROR(__xludf.DUMMYFUNCTION("IMPORTRANGE(""https://docs.google.com/spreadsheets/d/11923uPwbBZFjjGgGUA6NLw09EwE0CqkOc4q9oUmW1yo/edit?usp=sharing"",""อุตรดิตถ์!I63"")"),20)</f>
        <v>20</v>
      </c>
      <c r="J133" s="205">
        <f ca="1">IFERROR(__xludf.DUMMYFUNCTION("IMPORTRANGE(""https://docs.google.com/spreadsheets/d/11923uPwbBZFjjGgGUA6NLw09EwE0CqkOc4q9oUmW1yo/edit?usp=sharing"",""อุตรดิตถ์!J63"")"),20)</f>
        <v>20</v>
      </c>
      <c r="K133" s="225">
        <f t="shared" ca="1" si="63"/>
        <v>100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IFERROR(__xludf.DUMMYFUNCTION("IMPORTRANGE(""https://docs.google.com/spreadsheets/d/11923uPwbBZFjjGgGUA6NLw09EwE0CqkOc4q9oUmW1yo/edit?usp=sharing"",""อุตรดิตถ์!J64"")"),0)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IFERROR(__xludf.DUMMYFUNCTION("IMPORTRANGE(""https://docs.google.com/spreadsheets/d/11923uPwbBZFjjGgGUA6NLw09EwE0CqkOc4q9oUmW1yo/edit?usp=sharing"",""อุตรดิตถ์!J65"")"),0)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IFERROR(__xludf.DUMMYFUNCTION("IMPORTRANGE(""https://docs.google.com/spreadsheets/d/11923uPwbBZFjjGgGUA6NLw09EwE0CqkOc4q9oUmW1yo/edit?usp=sharing"",""อุตรดิตถ์!I68"")"),0)</f>
        <v>0</v>
      </c>
      <c r="J138" s="268">
        <f ca="1">IFERROR(__xludf.DUMMYFUNCTION("IMPORTRANGE(""https://docs.google.com/spreadsheets/d/11923uPwbBZFjjGgGUA6NLw09EwE0CqkOc4q9oUmW1yo/edit?usp=sharing"",""อุตรดิตถ์!J68"")"),0)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79000</v>
      </c>
      <c r="M140" s="154">
        <f t="shared" ca="1" si="64"/>
        <v>70625</v>
      </c>
      <c r="N140" s="154">
        <f t="shared" ca="1" si="64"/>
        <v>62170.1</v>
      </c>
      <c r="O140" s="153">
        <f t="shared" ref="O140:O142" ca="1" si="65">IF(L140&gt;0,N140*100/L140,0)</f>
        <v>78.696329113924051</v>
      </c>
      <c r="P140" s="153">
        <f t="shared" ref="P140:P142" ca="1" si="66">IF(M140&gt;0,N140*100/M140,0)</f>
        <v>88.028460176991146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79000</v>
      </c>
      <c r="M142" s="90">
        <f t="shared" ca="1" si="68"/>
        <v>70625</v>
      </c>
      <c r="N142" s="90">
        <f t="shared" ca="1" si="68"/>
        <v>62170.1</v>
      </c>
      <c r="O142" s="158">
        <f t="shared" ca="1" si="65"/>
        <v>78.696329113924051</v>
      </c>
      <c r="P142" s="158">
        <f t="shared" ca="1" si="66"/>
        <v>88.028460176991146</v>
      </c>
    </row>
    <row r="143" spans="1:16" ht="21.75" customHeight="1">
      <c r="A143" s="159"/>
      <c r="B143" s="160"/>
      <c r="C143" s="160" t="s">
        <v>16</v>
      </c>
      <c r="D143" s="570" t="s">
        <v>20</v>
      </c>
      <c r="E143" s="565"/>
      <c r="F143" s="565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79000</v>
      </c>
      <c r="M144" s="169">
        <f ca="1">IFERROR(__xludf.DUMMYFUNCTION("IMPORTRANGE(""https://docs.google.com/spreadsheets/d/1Yj_ptqi66GCucihVvJfMjLAmec39IyEx_6qawtMGysU/edit?usp=sharing"",""สบก!BJ35"")"),70625)</f>
        <v>70625</v>
      </c>
      <c r="N144" s="170">
        <f ca="1">IFERROR(__xludf.DUMMYFUNCTION("IMPORTRANGE(""https://docs.google.com/spreadsheets/d/1Yj_ptqi66GCucihVvJfMjLAmec39IyEx_6qawtMGysU/edit?usp=sharing"",""สบก!BK35"")"),62170.1)</f>
        <v>62170.1</v>
      </c>
      <c r="O144" s="170">
        <f ca="1">IF(L144&gt;0,N144*100/L144,0)</f>
        <v>78.696329113924051</v>
      </c>
      <c r="P144" s="170">
        <f ca="1">IF(M144&gt;0,N144*100/M144,0)</f>
        <v>88.028460176991146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IFERROR(__xludf.DUMMYFUNCTION("IMPORTRANGE(""https://docs.google.com/spreadsheets/d/1Yj_ptqi66GCucihVvJfMjLAmec39IyEx_6qawtMGysU/edit?usp=sharing"",""สบก!BF35"")"),0)</f>
        <v>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IFERROR(__xludf.DUMMYFUNCTION("IMPORTRANGE(""https://docs.google.com/spreadsheets/d/1Yj_ptqi66GCucihVvJfMjLAmec39IyEx_6qawtMGysU/edit?usp=sharing"",""สบก!BG35"")"),79000)</f>
        <v>79000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IFERROR(__xludf.DUMMYFUNCTION("IMPORTRANGE(""https://docs.google.com/spreadsheets/d/1Yj_ptqi66GCucihVvJfMjLAmec39IyEx_6qawtMGysU/edit?usp=sharing"",""สบก!BH35"")"),0)</f>
        <v>0</v>
      </c>
      <c r="M148" s="52"/>
      <c r="N148" s="52">
        <f ca="1">IFERROR(__xludf.DUMMYFUNCTION("IMPORTRANGE(""https://docs.google.com/spreadsheets/d/1Yj_ptqi66GCucihVvJfMjLAmec39IyEx_6qawtMGysU/edit?usp=sharing"",""สบก!BL35"")"),0)</f>
        <v>0</v>
      </c>
      <c r="O148" s="52">
        <f ca="1">IF(L148&gt;0,N148*100/L148,0)</f>
        <v>0</v>
      </c>
      <c r="P148" s="52"/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IFERROR(__xludf.DUMMYFUNCTION("IMPORTRANGE(""https://docs.google.com/spreadsheets/d/11923uPwbBZFjjGgGUA6NLw09EwE0CqkOc4q9oUmW1yo/edit?usp=sharing"",""อุตรดิตถ์!I74"")"),4)</f>
        <v>4</v>
      </c>
      <c r="J149" s="276">
        <f ca="1">IFERROR(__xludf.DUMMYFUNCTION("IMPORTRANGE(""https://docs.google.com/spreadsheets/d/11923uPwbBZFjjGgGUA6NLw09EwE0CqkOc4q9oUmW1yo/edit?usp=sharing"",""อุตรดิตถ์!J74"")"),2)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IFERROR(__xludf.DUMMYFUNCTION("IMPORTRANGE(""https://docs.google.com/spreadsheets/d/11923uPwbBZFjjGgGUA6NLw09EwE0CqkOc4q9oUmW1yo/edit?usp=sharing"",""อุตรดิตถ์!J79"")"),0)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IFERROR(__xludf.DUMMYFUNCTION("IMPORTRANGE(""https://docs.google.com/spreadsheets/d/11923uPwbBZFjjGgGUA6NLw09EwE0CqkOc4q9oUmW1yo/edit?usp=sharing"",""อุตรดิตถ์!J80"")"),1)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IFERROR(__xludf.DUMMYFUNCTION("IMPORTRANGE(""https://docs.google.com/spreadsheets/d/11923uPwbBZFjjGgGUA6NLw09EwE0CqkOc4q9oUmW1yo/edit?usp=sharing"",""อุตรดิตถ์!J81"")"),1)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IFERROR(__xludf.DUMMYFUNCTION("IMPORTRANGE(""https://docs.google.com/spreadsheets/d/11923uPwbBZFjjGgGUA6NLw09EwE0CqkOc4q9oUmW1yo/edit?usp=sharing"",""อุตรดิตถ์!J82"")"),1)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IFERROR(__xludf.DUMMYFUNCTION("IMPORTRANGE(""https://docs.google.com/spreadsheets/d/11923uPwbBZFjjGgGUA6NLw09EwE0CqkOc4q9oUmW1yo/edit?usp=sharing"",""อุตรดิตถ์!I83"")"),4)</f>
        <v>4</v>
      </c>
      <c r="J158" s="190">
        <f ca="1">IFERROR(__xludf.DUMMYFUNCTION("IMPORTRANGE(""https://docs.google.com/spreadsheets/d/11923uPwbBZFjjGgGUA6NLw09EwE0CqkOc4q9oUmW1yo/edit?usp=sharing"",""อุตรดิตถ์!J83"")"),2)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IFERROR(__xludf.DUMMYFUNCTION("IMPORTRANGE(""https://docs.google.com/spreadsheets/d/11923uPwbBZFjjGgGUA6NLw09EwE0CqkOc4q9oUmW1yo/edit?usp=sharing"",""อุตรดิตถ์!J84"")"),102)</f>
        <v>102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IFERROR(__xludf.DUMMYFUNCTION("IMPORTRANGE(""https://docs.google.com/spreadsheets/d/11923uPwbBZFjjGgGUA6NLw09EwE0CqkOc4q9oUmW1yo/edit?usp=sharing"",""อุตรดิตถ์!J85"")"),102)</f>
        <v>102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IFERROR(__xludf.DUMMYFUNCTION("IMPORTRANGE(""https://docs.google.com/spreadsheets/d/11923uPwbBZFjjGgGUA6NLw09EwE0CqkOc4q9oUmW1yo/edit?usp=sharing"",""อุตรดิตถ์!J86"")"),0)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IFERROR(__xludf.DUMMYFUNCTION("IMPORTRANGE(""https://docs.google.com/spreadsheets/d/11923uPwbBZFjjGgGUA6NLw09EwE0CqkOc4q9oUmW1yo/edit?usp=sharing"",""อุตรดิตถ์!J87"")"),0)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IFERROR(__xludf.DUMMYFUNCTION("IMPORTRANGE(""https://docs.google.com/spreadsheets/d/11923uPwbBZFjjGgGUA6NLw09EwE0CqkOc4q9oUmW1yo/edit?usp=sharing"",""อุตรดิตถ์!J88"")"),0)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IFERROR(__xludf.DUMMYFUNCTION("IMPORTRANGE(""https://docs.google.com/spreadsheets/d/11923uPwbBZFjjGgGUA6NLw09EwE0CqkOc4q9oUmW1yo/edit?usp=sharing"",""อุตรดิตถ์!I89"")"),3)</f>
        <v>3</v>
      </c>
      <c r="J164" s="285">
        <f ca="1">IFERROR(__xludf.DUMMYFUNCTION("IMPORTRANGE(""https://docs.google.com/spreadsheets/d/11923uPwbBZFjjGgGUA6NLw09EwE0CqkOc4q9oUmW1yo/edit?usp=sharing"",""อุตรดิตถ์!J89"")"),3)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IFERROR(__xludf.DUMMYFUNCTION("IMPORTRANGE(""https://docs.google.com/spreadsheets/d/11923uPwbBZFjjGgGUA6NLw09EwE0CqkOc4q9oUmW1yo/edit?usp=sharing"",""อุตรดิตถ์!J94"")"),0)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IFERROR(__xludf.DUMMYFUNCTION("IMPORTRANGE(""https://docs.google.com/spreadsheets/d/11923uPwbBZFjjGgGUA6NLw09EwE0CqkOc4q9oUmW1yo/edit?usp=sharing"",""อุตรดิตถ์!J95"")"),0)</f>
        <v>0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IFERROR(__xludf.DUMMYFUNCTION("IMPORTRANGE(""https://docs.google.com/spreadsheets/d/11923uPwbBZFjjGgGUA6NLw09EwE0CqkOc4q9oUmW1yo/edit?usp=sharing"",""อุตรดิตถ์!J96"")"),0)</f>
        <v>0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IFERROR(__xludf.DUMMYFUNCTION("IMPORTRANGE(""https://docs.google.com/spreadsheets/d/11923uPwbBZFjjGgGUA6NLw09EwE0CqkOc4q9oUmW1yo/edit?usp=sharing"",""อุตรดิตถ์!J97"")"),1)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IFERROR(__xludf.DUMMYFUNCTION("IMPORTRANGE(""https://docs.google.com/spreadsheets/d/11923uPwbBZFjjGgGUA6NLw09EwE0CqkOc4q9oUmW1yo/edit?usp=sharing"",""อุตรดิตถ์!I98"")"),3)</f>
        <v>3</v>
      </c>
      <c r="J173" s="190">
        <f ca="1">IFERROR(__xludf.DUMMYFUNCTION("IMPORTRANGE(""https://docs.google.com/spreadsheets/d/11923uPwbBZFjjGgGUA6NLw09EwE0CqkOc4q9oUmW1yo/edit?usp=sharing"",""อุตรดิตถ์!J98"")"),3)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IFERROR(__xludf.DUMMYFUNCTION("IMPORTRANGE(""https://docs.google.com/spreadsheets/d/11923uPwbBZFjjGgGUA6NLw09EwE0CqkOc4q9oUmW1yo/edit?usp=sharing"",""อุตรดิตถ์!J99"")"),0)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IFERROR(__xludf.DUMMYFUNCTION("IMPORTRANGE(""https://docs.google.com/spreadsheets/d/11923uPwbBZFjjGgGUA6NLw09EwE0CqkOc4q9oUmW1yo/edit?usp=sharing"",""อุตรดิตถ์!J100"")"),1)</f>
        <v>1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IFERROR(__xludf.DUMMYFUNCTION("IMPORTRANGE(""https://docs.google.com/spreadsheets/d/11923uPwbBZFjjGgGUA6NLw09EwE0CqkOc4q9oUmW1yo/edit?usp=sharing"",""อุตรดิตถ์!I101"")"),1)</f>
        <v>1</v>
      </c>
      <c r="J176" s="285">
        <f ca="1">IFERROR(__xludf.DUMMYFUNCTION("IMPORTRANGE(""https://docs.google.com/spreadsheets/d/11923uPwbBZFjjGgGUA6NLw09EwE0CqkOc4q9oUmW1yo/edit?usp=sharing"",""อุตรดิตถ์!J101"")"),1)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IFERROR(__xludf.DUMMYFUNCTION("IMPORTRANGE(""https://docs.google.com/spreadsheets/d/11923uPwbBZFjjGgGUA6NLw09EwE0CqkOc4q9oUmW1yo/edit?usp=sharing"",""อุตรดิตถ์!J106"")"),0)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IFERROR(__xludf.DUMMYFUNCTION("IMPORTRANGE(""https://docs.google.com/spreadsheets/d/11923uPwbBZFjjGgGUA6NLw09EwE0CqkOc4q9oUmW1yo/edit?usp=sharing"",""อุตรดิตถ์!J107"")"),0)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IFERROR(__xludf.DUMMYFUNCTION("IMPORTRANGE(""https://docs.google.com/spreadsheets/d/11923uPwbBZFjjGgGUA6NLw09EwE0CqkOc4q9oUmW1yo/edit?usp=sharing"",""อุตรดิตถ์!J108"")"),0)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IFERROR(__xludf.DUMMYFUNCTION("IMPORTRANGE(""https://docs.google.com/spreadsheets/d/11923uPwbBZFjjGgGUA6NLw09EwE0CqkOc4q9oUmW1yo/edit?usp=sharing"",""อุตรดิตถ์!J109"")"),0)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IFERROR(__xludf.DUMMYFUNCTION("IMPORTRANGE(""https://docs.google.com/spreadsheets/d/11923uPwbBZFjjGgGUA6NLw09EwE0CqkOc4q9oUmW1yo/edit?usp=sharing"",""อุตรดิตถ์!I110"")"),1)</f>
        <v>1</v>
      </c>
      <c r="J185" s="205">
        <f ca="1">IFERROR(__xludf.DUMMYFUNCTION("IMPORTRANGE(""https://docs.google.com/spreadsheets/d/11923uPwbBZFjjGgGUA6NLw09EwE0CqkOc4q9oUmW1yo/edit?usp=sharing"",""อุตรดิตถ์!J110"")"),1)</f>
        <v>1</v>
      </c>
      <c r="K185" s="225">
        <f t="shared" ref="K185:K186" ca="1" si="69">IF(I185&gt;0,J185*100/I185,0)</f>
        <v>100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IFERROR(__xludf.DUMMYFUNCTION("IMPORTRANGE(""https://docs.google.com/spreadsheets/d/11923uPwbBZFjjGgGUA6NLw09EwE0CqkOc4q9oUmW1yo/edit?usp=sharing"",""อุตรดิตถ์!I111"")"),1)</f>
        <v>1</v>
      </c>
      <c r="J186" s="205">
        <f ca="1">IFERROR(__xludf.DUMMYFUNCTION("IMPORTRANGE(""https://docs.google.com/spreadsheets/d/11923uPwbBZFjjGgGUA6NLw09EwE0CqkOc4q9oUmW1yo/edit?usp=sharing"",""อุตรดิตถ์!J111"")"),1)</f>
        <v>1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IFERROR(__xludf.DUMMYFUNCTION("IMPORTRANGE(""https://docs.google.com/spreadsheets/d/11923uPwbBZFjjGgGUA6NLw09EwE0CqkOc4q9oUmW1yo/edit?usp=sharing"",""อุตรดิตถ์!J112"")"),0)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IFERROR(__xludf.DUMMYFUNCTION("IMPORTRANGE(""https://docs.google.com/spreadsheets/d/11923uPwbBZFjjGgGUA6NLw09EwE0CqkOc4q9oUmW1yo/edit?usp=sharing"",""อุตรดิตถ์!J113"")"),1)</f>
        <v>1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IFERROR(__xludf.DUMMYFUNCTION("IMPORTRANGE(""https://docs.google.com/spreadsheets/d/11923uPwbBZFjjGgGUA6NLw09EwE0CqkOc4q9oUmW1yo/edit?usp=sharing"",""อุตรดิตถ์!I114"")"),30000)</f>
        <v>30000</v>
      </c>
      <c r="J189" s="285">
        <f ca="1">IFERROR(__xludf.DUMMYFUNCTION("IMPORTRANGE(""https://docs.google.com/spreadsheets/d/11923uPwbBZFjjGgGUA6NLw09EwE0CqkOc4q9oUmW1yo/edit?usp=sharing"",""อุตรดิตถ์!J114"")"),0)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IFERROR(__xludf.DUMMYFUNCTION("IMPORTRANGE(""https://docs.google.com/spreadsheets/d/11923uPwbBZFjjGgGUA6NLw09EwE0CqkOc4q9oUmW1yo/edit?usp=sharing"",""อุตรดิตถ์!J119"")"),0)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IFERROR(__xludf.DUMMYFUNCTION("IMPORTRANGE(""https://docs.google.com/spreadsheets/d/11923uPwbBZFjjGgGUA6NLw09EwE0CqkOc4q9oUmW1yo/edit?usp=sharing"",""อุตรดิตถ์!J120"")"),1)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IFERROR(__xludf.DUMMYFUNCTION("IMPORTRANGE(""https://docs.google.com/spreadsheets/d/11923uPwbBZFjjGgGUA6NLw09EwE0CqkOc4q9oUmW1yo/edit?usp=sharing"",""อุตรดิตถ์!J121"")"),1)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IFERROR(__xludf.DUMMYFUNCTION("IMPORTRANGE(""https://docs.google.com/spreadsheets/d/11923uPwbBZFjjGgGUA6NLw09EwE0CqkOc4q9oUmW1yo/edit?usp=sharing"",""อุตรดิตถ์!J122"")"),1)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IFERROR(__xludf.DUMMYFUNCTION("IMPORTRANGE(""https://docs.google.com/spreadsheets/d/11923uPwbBZFjjGgGUA6NLw09EwE0CqkOc4q9oUmW1yo/edit?usp=sharing"",""อุตรดิตถ์!I124"")"),30000)</f>
        <v>30000</v>
      </c>
      <c r="J199" s="190">
        <f ca="1">IFERROR(__xludf.DUMMYFUNCTION("IMPORTRANGE(""https://docs.google.com/spreadsheets/d/11923uPwbBZFjjGgGUA6NLw09EwE0CqkOc4q9oUmW1yo/edit?usp=sharing"",""อุตรดิตถ์!J124"")"),30000)</f>
        <v>30000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IFERROR(__xludf.DUMMYFUNCTION("IMPORTRANGE(""https://docs.google.com/spreadsheets/d/11923uPwbBZFjjGgGUA6NLw09EwE0CqkOc4q9oUmW1yo/edit?usp=sharing"",""อุตรดิตถ์!I125"")"),30000)</f>
        <v>30000</v>
      </c>
      <c r="J200" s="190">
        <f ca="1">IFERROR(__xludf.DUMMYFUNCTION("IMPORTRANGE(""https://docs.google.com/spreadsheets/d/11923uPwbBZFjjGgGUA6NLw09EwE0CqkOc4q9oUmW1yo/edit?usp=sharing"",""อุตรดิตถ์!J125"")"),0)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IFERROR(__xludf.DUMMYFUNCTION("IMPORTRANGE(""https://docs.google.com/spreadsheets/d/11923uPwbBZFjjGgGUA6NLw09EwE0CqkOc4q9oUmW1yo/edit?usp=sharing"",""อุตรดิตถ์!I126"")"),0)</f>
        <v>0</v>
      </c>
      <c r="J201" s="190">
        <f ca="1">IFERROR(__xludf.DUMMYFUNCTION("IMPORTRANGE(""https://docs.google.com/spreadsheets/d/11923uPwbBZFjjGgGUA6NLw09EwE0CqkOc4q9oUmW1yo/edit?usp=sharing"",""อุตรดิตถ์!J126"")"),0)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IFERROR(__xludf.DUMMYFUNCTION("IMPORTRANGE(""https://docs.google.com/spreadsheets/d/11923uPwbBZFjjGgGUA6NLw09EwE0CqkOc4q9oUmW1yo/edit?usp=sharing"",""อุตรดิตถ์!J127"")"),0)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IFERROR(__xludf.DUMMYFUNCTION("IMPORTRANGE(""https://docs.google.com/spreadsheets/d/11923uPwbBZFjjGgGUA6NLw09EwE0CqkOc4q9oUmW1yo/edit?usp=sharing"",""อุตรดิตถ์!J128"")"),0)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IFERROR(__xludf.DUMMYFUNCTION("IMPORTRANGE(""https://docs.google.com/spreadsheets/d/11923uPwbBZFjjGgGUA6NLw09EwE0CqkOc4q9oUmW1yo/edit?usp=sharing"",""อุตรดิตถ์!I129"")"),0)</f>
        <v>0</v>
      </c>
      <c r="J204" s="285">
        <f ca="1">IFERROR(__xludf.DUMMYFUNCTION("IMPORTRANGE(""https://docs.google.com/spreadsheets/d/11923uPwbBZFjjGgGUA6NLw09EwE0CqkOc4q9oUmW1yo/edit?usp=sharing"",""อุตรดิตถ์!J129"")"),0)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IFERROR(__xludf.DUMMYFUNCTION("IMPORTRANGE(""https://docs.google.com/spreadsheets/d/11923uPwbBZFjjGgGUA6NLw09EwE0CqkOc4q9oUmW1yo/edit?usp=sharing"",""อุตรดิตถ์!J134"")"),0)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IFERROR(__xludf.DUMMYFUNCTION("IMPORTRANGE(""https://docs.google.com/spreadsheets/d/11923uPwbBZFjjGgGUA6NLw09EwE0CqkOc4q9oUmW1yo/edit?usp=sharing"",""อุตรดิตถ์!J135"")"),0)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IFERROR(__xludf.DUMMYFUNCTION("IMPORTRANGE(""https://docs.google.com/spreadsheets/d/11923uPwbBZFjjGgGUA6NLw09EwE0CqkOc4q9oUmW1yo/edit?usp=sharing"",""อุตรดิตถ์!J136"")"),0)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IFERROR(__xludf.DUMMYFUNCTION("IMPORTRANGE(""https://docs.google.com/spreadsheets/d/11923uPwbBZFjjGgGUA6NLw09EwE0CqkOc4q9oUmW1yo/edit?usp=sharing"",""อุตรดิตถ์!J137"")"),0)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IFERROR(__xludf.DUMMYFUNCTION("IMPORTRANGE(""https://docs.google.com/spreadsheets/d/11923uPwbBZFjjGgGUA6NLw09EwE0CqkOc4q9oUmW1yo/edit?usp=sharing"",""อุตรดิตถ์!I138"")"),0)</f>
        <v>0</v>
      </c>
      <c r="J213" s="205">
        <f ca="1">IFERROR(__xludf.DUMMYFUNCTION("IMPORTRANGE(""https://docs.google.com/spreadsheets/d/11923uPwbBZFjjGgGUA6NLw09EwE0CqkOc4q9oUmW1yo/edit?usp=sharing"",""อุตรดิตถ์!J138"")"),0)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IFERROR(__xludf.DUMMYFUNCTION("IMPORTRANGE(""https://docs.google.com/spreadsheets/d/11923uPwbBZFjjGgGUA6NLw09EwE0CqkOc4q9oUmW1yo/edit?usp=sharing"",""อุตรดิตถ์!I140"")"),0)</f>
        <v>0</v>
      </c>
      <c r="J215" s="205">
        <f ca="1">IFERROR(__xludf.DUMMYFUNCTION("IMPORTRANGE(""https://docs.google.com/spreadsheets/d/11923uPwbBZFjjGgGUA6NLw09EwE0CqkOc4q9oUmW1yo/edit?usp=sharing"",""อุตรดิตถ์!J140"")"),0)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IFERROR(__xludf.DUMMYFUNCTION("IMPORTRANGE(""https://docs.google.com/spreadsheets/d/11923uPwbBZFjjGgGUA6NLw09EwE0CqkOc4q9oUmW1yo/edit?usp=sharing"",""อุตรดิตถ์!I141"")"),0)</f>
        <v>0</v>
      </c>
      <c r="J216" s="205">
        <f ca="1">IFERROR(__xludf.DUMMYFUNCTION("IMPORTRANGE(""https://docs.google.com/spreadsheets/d/11923uPwbBZFjjGgGUA6NLw09EwE0CqkOc4q9oUmW1yo/edit?usp=sharing"",""อุตรดิตถ์!J141"")"),0)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IFERROR(__xludf.DUMMYFUNCTION("IMPORTRANGE(""https://docs.google.com/spreadsheets/d/11923uPwbBZFjjGgGUA6NLw09EwE0CqkOc4q9oUmW1yo/edit?usp=sharing"",""อุตรดิตถ์!J142"")"),0)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IFERROR(__xludf.DUMMYFUNCTION("IMPORTRANGE(""https://docs.google.com/spreadsheets/d/11923uPwbBZFjjGgGUA6NLw09EwE0CqkOc4q9oUmW1yo/edit?usp=sharing"",""อุตรดิตถ์!J143"")"),0)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IFERROR(__xludf.DUMMYFUNCTION("IMPORTRANGE(""https://docs.google.com/spreadsheets/d/11923uPwbBZFjjGgGUA6NLw09EwE0CqkOc4q9oUmW1yo/edit?usp=sharing"",""อุตรดิตถ์!I144"")"),15)</f>
        <v>15</v>
      </c>
      <c r="J219" s="268">
        <f ca="1">IFERROR(__xludf.DUMMYFUNCTION("IMPORTRANGE(""https://docs.google.com/spreadsheets/d/11923uPwbBZFjjGgGUA6NLw09EwE0CqkOc4q9oUmW1yo/edit?usp=sharing"",""อุตรดิตถ์!J144"")"),15)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21125</v>
      </c>
      <c r="M222" s="90">
        <f t="shared" ca="1" si="76"/>
        <v>21125</v>
      </c>
      <c r="N222" s="90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59"/>
      <c r="B223" s="160"/>
      <c r="C223" s="160" t="s">
        <v>16</v>
      </c>
      <c r="D223" s="570" t="s">
        <v>20</v>
      </c>
      <c r="E223" s="565"/>
      <c r="F223" s="565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IFERROR(__xludf.DUMMYFUNCTION("IMPORTRANGE(""https://docs.google.com/spreadsheets/d/1Yj_ptqi66GCucihVvJfMjLAmec39IyEx_6qawtMGysU/edit?usp=sharing"",""สบก!BS35"")"),21125)</f>
        <v>21125</v>
      </c>
      <c r="N224" s="170">
        <f ca="1">IFERROR(__xludf.DUMMYFUNCTION("IMPORTRANGE(""https://docs.google.com/spreadsheets/d/1Yj_ptqi66GCucihVvJfMjLAmec39IyEx_6qawtMGysU/edit?usp=sharing"",""สบก!BT35"")"),21125)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IFERROR(__xludf.DUMMYFUNCTION("IMPORTRANGE(""https://docs.google.com/spreadsheets/d/1Yj_ptqi66GCucihVvJfMjLAmec39IyEx_6qawtMGysU/edit?usp=sharing"",""สบก!BO35"")"),0)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IFERROR(__xludf.DUMMYFUNCTION("IMPORTRANGE(""https://docs.google.com/spreadsheets/d/1Yj_ptqi66GCucihVvJfMjLAmec39IyEx_6qawtMGysU/edit?usp=sharing"",""สบก!BP35"")"),21125)</f>
        <v>21125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IFERROR(__xludf.DUMMYFUNCTION("IMPORTRANGE(""https://docs.google.com/spreadsheets/d/1Yj_ptqi66GCucihVvJfMjLAmec39IyEx_6qawtMGysU/edit?usp=sharing"",""สบก!BQ35"")"),0)</f>
        <v>0</v>
      </c>
      <c r="M228" s="52"/>
      <c r="N228" s="52">
        <f ca="1">IFERROR(__xludf.DUMMYFUNCTION("IMPORTRANGE(""https://docs.google.com/spreadsheets/d/1Yj_ptqi66GCucihVvJfMjLAmec39IyEx_6qawtMGysU/edit?usp=sharing"",""สบก!BU35"")"),0)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IFERROR(__xludf.DUMMYFUNCTION("IMPORTRANGE(""https://docs.google.com/spreadsheets/d/11923uPwbBZFjjGgGUA6NLw09EwE0CqkOc4q9oUmW1yo/edit?usp=sharing"",""อุตรดิตถ์!I149"")"),15)</f>
        <v>15</v>
      </c>
      <c r="J229" s="268">
        <f ca="1">IFERROR(__xludf.DUMMYFUNCTION("IMPORTRANGE(""https://docs.google.com/spreadsheets/d/11923uPwbBZFjjGgGUA6NLw09EwE0CqkOc4q9oUmW1yo/edit?usp=sharing"",""อุตรดิตถ์!J149"")"),15)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IFERROR(__xludf.DUMMYFUNCTION("IMPORTRANGE(""https://docs.google.com/spreadsheets/d/11923uPwbBZFjjGgGUA6NLw09EwE0CqkOc4q9oUmW1yo/edit?usp=sharing"",""อุตรดิตถ์!J151"")"),0)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IFERROR(__xludf.DUMMYFUNCTION("IMPORTRANGE(""https://docs.google.com/spreadsheets/d/11923uPwbBZFjjGgGUA6NLw09EwE0CqkOc4q9oUmW1yo/edit?usp=sharing"",""อุตรดิตถ์!J152"")"),0)</f>
        <v>0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IFERROR(__xludf.DUMMYFUNCTION("IMPORTRANGE(""https://docs.google.com/spreadsheets/d/11923uPwbBZFjjGgGUA6NLw09EwE0CqkOc4q9oUmW1yo/edit?usp=sharing"",""อุตรดิตถ์!J153"")"),0)</f>
        <v>0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IFERROR(__xludf.DUMMYFUNCTION("IMPORTRANGE(""https://docs.google.com/spreadsheets/d/11923uPwbBZFjjGgGUA6NLw09EwE0CqkOc4q9oUmW1yo/edit?usp=sharing"",""อุตรดิตถ์!J154"")"),0)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IFERROR(__xludf.DUMMYFUNCTION("IMPORTRANGE(""https://docs.google.com/spreadsheets/d/11923uPwbBZFjjGgGUA6NLw09EwE0CqkOc4q9oUmW1yo/edit?usp=sharing"",""อุตรดิตถ์!I155"")"),15)</f>
        <v>15</v>
      </c>
      <c r="J235" s="190">
        <f ca="1">IFERROR(__xludf.DUMMYFUNCTION("IMPORTRANGE(""https://docs.google.com/spreadsheets/d/11923uPwbBZFjjGgGUA6NLw09EwE0CqkOc4q9oUmW1yo/edit?usp=sharing"",""อุตรดิตถ์!J155"")"),15)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IFERROR(__xludf.DUMMYFUNCTION("IMPORTRANGE(""https://docs.google.com/spreadsheets/d/11923uPwbBZFjjGgGUA6NLw09EwE0CqkOc4q9oUmW1yo/edit?usp=sharing"",""อุตรดิตถ์!J156"")"),1)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IFERROR(__xludf.DUMMYFUNCTION("IMPORTRANGE(""https://docs.google.com/spreadsheets/d/11923uPwbBZFjjGgGUA6NLw09EwE0CqkOc4q9oUmW1yo/edit?usp=sharing"",""อุตรดิตถ์!J157"")"),1)</f>
        <v>1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IFERROR(__xludf.DUMMYFUNCTION("IMPORTRANGE(""https://docs.google.com/spreadsheets/d/11923uPwbBZFjjGgGUA6NLw09EwE0CqkOc4q9oUmW1yo/edit?usp=sharing"",""อุตรดิตถ์!I158"")"),0)</f>
        <v>0</v>
      </c>
      <c r="J238" s="268">
        <f ca="1">IFERROR(__xludf.DUMMYFUNCTION("IMPORTRANGE(""https://docs.google.com/spreadsheets/d/11923uPwbBZFjjGgGUA6NLw09EwE0CqkOc4q9oUmW1yo/edit?usp=sharing"",""อุตรดิตถ์!J158"")"),0)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IFERROR(__xludf.DUMMYFUNCTION("IMPORTRANGE(""https://docs.google.com/spreadsheets/d/11923uPwbBZFjjGgGUA6NLw09EwE0CqkOc4q9oUmW1yo/edit?usp=sharing"",""อุตรดิตถ์!J159"")"),"")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IFERROR(__xludf.DUMMYFUNCTION("IMPORTRANGE(""https://docs.google.com/spreadsheets/d/11923uPwbBZFjjGgGUA6NLw09EwE0CqkOc4q9oUmW1yo/edit?usp=sharing"",""อุตรดิตถ์!J161"")"),0)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IFERROR(__xludf.DUMMYFUNCTION("IMPORTRANGE(""https://docs.google.com/spreadsheets/d/11923uPwbBZFjjGgGUA6NLw09EwE0CqkOc4q9oUmW1yo/edit?usp=sharing"",""อุตรดิตถ์!J162"")"),0)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IFERROR(__xludf.DUMMYFUNCTION("IMPORTRANGE(""https://docs.google.com/spreadsheets/d/11923uPwbBZFjjGgGUA6NLw09EwE0CqkOc4q9oUmW1yo/edit?usp=sharing"",""อุตรดิตถ์!J163"")"),0)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IFERROR(__xludf.DUMMYFUNCTION("IMPORTRANGE(""https://docs.google.com/spreadsheets/d/11923uPwbBZFjjGgGUA6NLw09EwE0CqkOc4q9oUmW1yo/edit?usp=sharing"",""อุตรดิตถ์!I164"")"),0)</f>
        <v>0</v>
      </c>
      <c r="J244" s="189">
        <f ca="1">IFERROR(__xludf.DUMMYFUNCTION("IMPORTRANGE(""https://docs.google.com/spreadsheets/d/11923uPwbBZFjjGgGUA6NLw09EwE0CqkOc4q9oUmW1yo/edit?usp=sharing"",""อุตรดิตถ์!J164"")"),0)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IFERROR(__xludf.DUMMYFUNCTION("IMPORTRANGE(""https://docs.google.com/spreadsheets/d/11923uPwbBZFjjGgGUA6NLw09EwE0CqkOc4q9oUmW1yo/edit?usp=sharing"",""อุตรดิตถ์!J165"")"),0)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IFERROR(__xludf.DUMMYFUNCTION("IMPORTRANGE(""https://docs.google.com/spreadsheets/d/11923uPwbBZFjjGgGUA6NLw09EwE0CqkOc4q9oUmW1yo/edit?usp=sharing"",""อุตรดิตถ์!J166"")"),0)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IFERROR(__xludf.DUMMYFUNCTION("IMPORTRANGE(""https://docs.google.com/spreadsheets/d/11923uPwbBZFjjGgGUA6NLw09EwE0CqkOc4q9oUmW1yo/edit?usp=sharing"",""อุตรดิตถ์!I169"")"),20)</f>
        <v>20</v>
      </c>
      <c r="J249" s="317">
        <f ca="1">IFERROR(__xludf.DUMMYFUNCTION("IMPORTRANGE(""https://docs.google.com/spreadsheets/d/11923uPwbBZFjjGgGUA6NLw09EwE0CqkOc4q9oUmW1yo/edit?usp=sharing"",""อุตรดิตถ์!J169"")"),20)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203400</v>
      </c>
      <c r="M250" s="154">
        <f t="shared" ca="1" si="77"/>
        <v>141000</v>
      </c>
      <c r="N250" s="154">
        <f t="shared" ca="1" si="77"/>
        <v>133220.76</v>
      </c>
      <c r="O250" s="153">
        <f t="shared" ref="O250:O252" ca="1" si="78">IF(L250&gt;0,N250*100/L250,0)</f>
        <v>65.496932153392336</v>
      </c>
      <c r="P250" s="153">
        <f t="shared" ref="P250:P252" ca="1" si="79">IF(M250&gt;0,N250*100/M250,0)</f>
        <v>94.482808510638293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203400</v>
      </c>
      <c r="M252" s="90">
        <f t="shared" ca="1" si="81"/>
        <v>141000</v>
      </c>
      <c r="N252" s="90">
        <f t="shared" ca="1" si="81"/>
        <v>133220.76</v>
      </c>
      <c r="O252" s="158">
        <f t="shared" ca="1" si="78"/>
        <v>65.496932153392336</v>
      </c>
      <c r="P252" s="158">
        <f t="shared" ca="1" si="79"/>
        <v>94.482808510638293</v>
      </c>
    </row>
    <row r="253" spans="1:16" ht="21.75" customHeight="1">
      <c r="A253" s="159"/>
      <c r="B253" s="160"/>
      <c r="C253" s="160" t="s">
        <v>16</v>
      </c>
      <c r="D253" s="570" t="s">
        <v>20</v>
      </c>
      <c r="E253" s="565"/>
      <c r="F253" s="565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203400</v>
      </c>
      <c r="M254" s="169">
        <f ca="1">IFERROR(__xludf.DUMMYFUNCTION("IMPORTRANGE(""https://docs.google.com/spreadsheets/d/1Yj_ptqi66GCucihVvJfMjLAmec39IyEx_6qawtMGysU/edit?usp=sharing"",""สบก!CB35"")"),141000)</f>
        <v>141000</v>
      </c>
      <c r="N254" s="170">
        <f ca="1">IFERROR(__xludf.DUMMYFUNCTION("IMPORTRANGE(""https://docs.google.com/spreadsheets/d/1Yj_ptqi66GCucihVvJfMjLAmec39IyEx_6qawtMGysU/edit?usp=sharing"",""สบก!CC35"")"),133220.76)</f>
        <v>133220.76</v>
      </c>
      <c r="O254" s="170">
        <f ca="1">IF(L254&gt;0,N254*100/L254,0)</f>
        <v>65.496932153392336</v>
      </c>
      <c r="P254" s="170">
        <f ca="1">IF(M254&gt;0,N254*100/M254,0)</f>
        <v>94.482808510638293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IFERROR(__xludf.DUMMYFUNCTION("IMPORTRANGE(""https://docs.google.com/spreadsheets/d/1Yj_ptqi66GCucihVvJfMjLAmec39IyEx_6qawtMGysU/edit?usp=sharing"",""สบก!BX35"")"),132000)</f>
        <v>132000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IFERROR(__xludf.DUMMYFUNCTION("IMPORTRANGE(""https://docs.google.com/spreadsheets/d/1Yj_ptqi66GCucihVvJfMjLAmec39IyEx_6qawtMGysU/edit?usp=sharing"",""สบก!BY35"")"),71400)</f>
        <v>71400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IFERROR(__xludf.DUMMYFUNCTION("IMPORTRANGE(""https://docs.google.com/spreadsheets/d/1Yj_ptqi66GCucihVvJfMjLAmec39IyEx_6qawtMGysU/edit?usp=sharing"",""สบก!BZ35"")"),0)</f>
        <v>0</v>
      </c>
      <c r="M258" s="52"/>
      <c r="N258" s="52">
        <f ca="1">IFERROR(__xludf.DUMMYFUNCTION("IMPORTRANGE(""https://docs.google.com/spreadsheets/d/1Yj_ptqi66GCucihVvJfMjLAmec39IyEx_6qawtMGysU/edit?usp=sharing"",""สบก!CD35"")"),0)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IFERROR(__xludf.DUMMYFUNCTION("IMPORTRANGE(""https://docs.google.com/spreadsheets/d/11923uPwbBZFjjGgGUA6NLw09EwE0CqkOc4q9oUmW1yo/edit?usp=sharing"",""อุตรดิตถ์!J175"")"),0)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IFERROR(__xludf.DUMMYFUNCTION("IMPORTRANGE(""https://docs.google.com/spreadsheets/d/11923uPwbBZFjjGgGUA6NLw09EwE0CqkOc4q9oUmW1yo/edit?usp=sharing"",""อุตรดิตถ์!J176"")"),1)</f>
        <v>1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IFERROR(__xludf.DUMMYFUNCTION("IMPORTRANGE(""https://docs.google.com/spreadsheets/d/11923uPwbBZFjjGgGUA6NLw09EwE0CqkOc4q9oUmW1yo/edit?usp=sharing"",""อุตรดิตถ์!J177"")"),1)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IFERROR(__xludf.DUMMYFUNCTION("IMPORTRANGE(""https://docs.google.com/spreadsheets/d/11923uPwbBZFjjGgGUA6NLw09EwE0CqkOc4q9oUmW1yo/edit?usp=sharing"",""อุตรดิตถ์!J178"")"),1)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IFERROR(__xludf.DUMMYFUNCTION("IMPORTRANGE(""https://docs.google.com/spreadsheets/d/11923uPwbBZFjjGgGUA6NLw09EwE0CqkOc4q9oUmW1yo/edit?usp=sharing"",""อุตรดิตถ์!I179"")"),1)</f>
        <v>1</v>
      </c>
      <c r="J264" s="190">
        <f ca="1">IFERROR(__xludf.DUMMYFUNCTION("IMPORTRANGE(""https://docs.google.com/spreadsheets/d/11923uPwbBZFjjGgGUA6NLw09EwE0CqkOc4q9oUmW1yo/edit?usp=sharing"",""อุตรดิตถ์!J179"")"),1)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IFERROR(__xludf.DUMMYFUNCTION("IMPORTRANGE(""https://docs.google.com/spreadsheets/d/11923uPwbBZFjjGgGUA6NLw09EwE0CqkOc4q9oUmW1yo/edit?usp=sharing"",""อุตรดิตถ์!I180"")"),20)</f>
        <v>20</v>
      </c>
      <c r="J265" s="190">
        <f ca="1">IFERROR(__xludf.DUMMYFUNCTION("IMPORTRANGE(""https://docs.google.com/spreadsheets/d/11923uPwbBZFjjGgGUA6NLw09EwE0CqkOc4q9oUmW1yo/edit?usp=sharing"",""อุตรดิตถ์!J180"")"),20)</f>
        <v>20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IFERROR(__xludf.DUMMYFUNCTION("IMPORTRANGE(""https://docs.google.com/spreadsheets/d/11923uPwbBZFjjGgGUA6NLw09EwE0CqkOc4q9oUmW1yo/edit?usp=sharing"",""อุตรดิตถ์!I181"")"),20)</f>
        <v>20</v>
      </c>
      <c r="J266" s="190">
        <f ca="1">IFERROR(__xludf.DUMMYFUNCTION("IMPORTRANGE(""https://docs.google.com/spreadsheets/d/11923uPwbBZFjjGgGUA6NLw09EwE0CqkOc4q9oUmW1yo/edit?usp=sharing"",""อุตรดิตถ์!J181"")"),0)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IFERROR(__xludf.DUMMYFUNCTION("IMPORTRANGE(""https://docs.google.com/spreadsheets/d/11923uPwbBZFjjGgGUA6NLw09EwE0CqkOc4q9oUmW1yo/edit?usp=sharing"",""อุตรดิตถ์!I182"")"),1)</f>
        <v>1</v>
      </c>
      <c r="J267" s="190">
        <f ca="1">IFERROR(__xludf.DUMMYFUNCTION("IMPORTRANGE(""https://docs.google.com/spreadsheets/d/11923uPwbBZFjjGgGUA6NLw09EwE0CqkOc4q9oUmW1yo/edit?usp=sharing"",""อุตรดิตถ์!J182"")"),1)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IFERROR(__xludf.DUMMYFUNCTION("IMPORTRANGE(""https://docs.google.com/spreadsheets/d/11923uPwbBZFjjGgGUA6NLw09EwE0CqkOc4q9oUmW1yo/edit?usp=sharing"",""อุตรดิตถ์!J183"")"),0)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IFERROR(__xludf.DUMMYFUNCTION("IMPORTRANGE(""https://docs.google.com/spreadsheets/d/11923uPwbBZFjjGgGUA6NLw09EwE0CqkOc4q9oUmW1yo/edit?usp=sharing"",""อุตรดิตถ์!J184"")"),0)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IFERROR(__xludf.DUMMYFUNCTION("IMPORTRANGE(""https://docs.google.com/spreadsheets/d/11923uPwbBZFjjGgGUA6NLw09EwE0CqkOc4q9oUmW1yo/edit?usp=sharing"",""อุตรดิตถ์!I185"")"),0)</f>
        <v>0</v>
      </c>
      <c r="J270" s="317">
        <f ca="1">IFERROR(__xludf.DUMMYFUNCTION("IMPORTRANGE(""https://docs.google.com/spreadsheets/d/11923uPwbBZFjjGgGUA6NLw09EwE0CqkOc4q9oUmW1yo/edit?usp=sharing"",""อุตรดิตถ์!J185"")"),0)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0</v>
      </c>
      <c r="M273" s="90">
        <f t="shared" ca="1" si="87"/>
        <v>0</v>
      </c>
      <c r="N273" s="90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>
      <c r="A274" s="159"/>
      <c r="B274" s="160"/>
      <c r="C274" s="160" t="s">
        <v>16</v>
      </c>
      <c r="D274" s="570" t="s">
        <v>20</v>
      </c>
      <c r="E274" s="565"/>
      <c r="F274" s="565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IFERROR(__xludf.DUMMYFUNCTION("IMPORTRANGE(""https://docs.google.com/spreadsheets/d/1Yj_ptqi66GCucihVvJfMjLAmec39IyEx_6qawtMGysU/edit?usp=sharing"",""สบก!CK35"")"),0)</f>
        <v>0</v>
      </c>
      <c r="N275" s="170">
        <f ca="1">IFERROR(__xludf.DUMMYFUNCTION("IMPORTRANGE(""https://docs.google.com/spreadsheets/d/1Yj_ptqi66GCucihVvJfMjLAmec39IyEx_6qawtMGysU/edit?usp=sharing"",""สบก!CL35"")"),0)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IFERROR(__xludf.DUMMYFUNCTION("IMPORTRANGE(""https://docs.google.com/spreadsheets/d/1Yj_ptqi66GCucihVvJfMjLAmec39IyEx_6qawtMGysU/edit?usp=sharing"",""สบก!CG35"")"),0)</f>
        <v>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IFERROR(__xludf.DUMMYFUNCTION("IMPORTRANGE(""https://docs.google.com/spreadsheets/d/1Yj_ptqi66GCucihVvJfMjLAmec39IyEx_6qawtMGysU/edit?usp=sharing"",""สบก!CH35"")"),0)</f>
        <v>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IFERROR(__xludf.DUMMYFUNCTION("IMPORTRANGE(""https://docs.google.com/spreadsheets/d/1Yj_ptqi66GCucihVvJfMjLAmec39IyEx_6qawtMGysU/edit?usp=sharing"",""สบก!CI35"")"),0)</f>
        <v>0</v>
      </c>
      <c r="M279" s="52"/>
      <c r="N279" s="52">
        <f ca="1">IFERROR(__xludf.DUMMYFUNCTION("IMPORTRANGE(""https://docs.google.com/spreadsheets/d/1Yj_ptqi66GCucihVvJfMjLAmec39IyEx_6qawtMGysU/edit?usp=sharing"",""สบก!CM35"")"),0)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IFERROR(__xludf.DUMMYFUNCTION("IMPORTRANGE(""https://docs.google.com/spreadsheets/d/11923uPwbBZFjjGgGUA6NLw09EwE0CqkOc4q9oUmW1yo/edit?usp=sharing"",""อุตรดิตถ์!J191"")"),0)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IFERROR(__xludf.DUMMYFUNCTION("IMPORTRANGE(""https://docs.google.com/spreadsheets/d/11923uPwbBZFjjGgGUA6NLw09EwE0CqkOc4q9oUmW1yo/edit?usp=sharing"",""อุตรดิตถ์!J192"")"),0)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IFERROR(__xludf.DUMMYFUNCTION("IMPORTRANGE(""https://docs.google.com/spreadsheets/d/11923uPwbBZFjjGgGUA6NLw09EwE0CqkOc4q9oUmW1yo/edit?usp=sharing"",""อุตรดิตถ์!J193"")"),0)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IFERROR(__xludf.DUMMYFUNCTION("IMPORTRANGE(""https://docs.google.com/spreadsheets/d/11923uPwbBZFjjGgGUA6NLw09EwE0CqkOc4q9oUmW1yo/edit?usp=sharing"",""อุตรดิตถ์!J194"")"),0)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IFERROR(__xludf.DUMMYFUNCTION("IMPORTRANGE(""https://docs.google.com/spreadsheets/d/11923uPwbBZFjjGgGUA6NLw09EwE0CqkOc4q9oUmW1yo/edit?usp=sharing"",""อุตรดิตถ์!I195"")"),0)</f>
        <v>0</v>
      </c>
      <c r="J285" s="190">
        <f ca="1">IFERROR(__xludf.DUMMYFUNCTION("IMPORTRANGE(""https://docs.google.com/spreadsheets/d/11923uPwbBZFjjGgGUA6NLw09EwE0CqkOc4q9oUmW1yo/edit?usp=sharing"",""อุตรดิตถ์!J195"")"),0)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IFERROR(__xludf.DUMMYFUNCTION("IMPORTRANGE(""https://docs.google.com/spreadsheets/d/11923uPwbBZFjjGgGUA6NLw09EwE0CqkOc4q9oUmW1yo/edit?usp=sharing"",""อุตรดิตถ์!J196"")"),0)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IFERROR(__xludf.DUMMYFUNCTION("IMPORTRANGE(""https://docs.google.com/spreadsheets/d/11923uPwbBZFjjGgGUA6NLw09EwE0CqkOc4q9oUmW1yo/edit?usp=sharing"",""อุตรดิตถ์!J197"")"),0)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IFERROR(__xludf.DUMMYFUNCTION("IMPORTRANGE(""https://docs.google.com/spreadsheets/d/11923uPwbBZFjjGgGUA6NLw09EwE0CqkOc4q9oUmW1yo/edit?usp=sharing"",""อุตรดิตถ์!I199"")"),0)</f>
        <v>0</v>
      </c>
      <c r="J289" s="317">
        <f ca="1">IFERROR(__xludf.DUMMYFUNCTION("IMPORTRANGE(""https://docs.google.com/spreadsheets/d/11923uPwbBZFjjGgGUA6NLw09EwE0CqkOc4q9oUmW1yo/edit?usp=sharing"",""อุตรดิตถ์!J199"")"),0)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0</v>
      </c>
      <c r="M292" s="90">
        <f t="shared" ca="1" si="92"/>
        <v>0</v>
      </c>
      <c r="N292" s="90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59"/>
      <c r="B293" s="160"/>
      <c r="C293" s="160" t="s">
        <v>16</v>
      </c>
      <c r="D293" s="570" t="s">
        <v>20</v>
      </c>
      <c r="E293" s="565"/>
      <c r="F293" s="565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IFERROR(__xludf.DUMMYFUNCTION("IMPORTRANGE(""https://docs.google.com/spreadsheets/d/1Yj_ptqi66GCucihVvJfMjLAmec39IyEx_6qawtMGysU/edit?usp=sharing"",""สบก!CT35"")"),0)</f>
        <v>0</v>
      </c>
      <c r="N294" s="170">
        <f ca="1">IFERROR(__xludf.DUMMYFUNCTION("IMPORTRANGE(""https://docs.google.com/spreadsheets/d/1Yj_ptqi66GCucihVvJfMjLAmec39IyEx_6qawtMGysU/edit?usp=sharing"",""สบก!CU35"")"),0)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IFERROR(__xludf.DUMMYFUNCTION("IMPORTRANGE(""https://docs.google.com/spreadsheets/d/1Yj_ptqi66GCucihVvJfMjLAmec39IyEx_6qawtMGysU/edit?usp=sharing"",""สบก!CP35"")"),0)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IFERROR(__xludf.DUMMYFUNCTION("IMPORTRANGE(""https://docs.google.com/spreadsheets/d/1Yj_ptqi66GCucihVvJfMjLAmec39IyEx_6qawtMGysU/edit?usp=sharing"",""สบก!CQ35"")"),0)</f>
        <v>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IFERROR(__xludf.DUMMYFUNCTION("IMPORTRANGE(""https://docs.google.com/spreadsheets/d/1Yj_ptqi66GCucihVvJfMjLAmec39IyEx_6qawtMGysU/edit?usp=sharing"",""สบก!CR35"")"),0)</f>
        <v>0</v>
      </c>
      <c r="M298" s="52"/>
      <c r="N298" s="52">
        <f ca="1">IFERROR(__xludf.DUMMYFUNCTION("IMPORTRANGE(""https://docs.google.com/spreadsheets/d/1Yj_ptqi66GCucihVvJfMjLAmec39IyEx_6qawtMGysU/edit?usp=sharing"",""สบก!CV35"")"),0)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IFERROR(__xludf.DUMMYFUNCTION("IMPORTRANGE(""https://docs.google.com/spreadsheets/d/11923uPwbBZFjjGgGUA6NLw09EwE0CqkOc4q9oUmW1yo/edit?usp=sharing"",""อุตรดิตถ์!J205"")"),0)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IFERROR(__xludf.DUMMYFUNCTION("IMPORTRANGE(""https://docs.google.com/spreadsheets/d/11923uPwbBZFjjGgGUA6NLw09EwE0CqkOc4q9oUmW1yo/edit?usp=sharing"",""อุตรดิตถ์!J206"")"),0)</f>
        <v>0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IFERROR(__xludf.DUMMYFUNCTION("IMPORTRANGE(""https://docs.google.com/spreadsheets/d/11923uPwbBZFjjGgGUA6NLw09EwE0CqkOc4q9oUmW1yo/edit?usp=sharing"",""อุตรดิตถ์!J207"")"),0)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IFERROR(__xludf.DUMMYFUNCTION("IMPORTRANGE(""https://docs.google.com/spreadsheets/d/11923uPwbBZFjjGgGUA6NLw09EwE0CqkOc4q9oUmW1yo/edit?usp=sharing"",""อุตรดิตถ์!J208"")"),0)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IFERROR(__xludf.DUMMYFUNCTION("IMPORTRANGE(""https://docs.google.com/spreadsheets/d/11923uPwbBZFjjGgGUA6NLw09EwE0CqkOc4q9oUmW1yo/edit?usp=sharing"",""อุตรดิตถ์!I209"")"),0)</f>
        <v>0</v>
      </c>
      <c r="J304" s="205">
        <f ca="1">IFERROR(__xludf.DUMMYFUNCTION("IMPORTRANGE(""https://docs.google.com/spreadsheets/d/11923uPwbBZFjjGgGUA6NLw09EwE0CqkOc4q9oUmW1yo/edit?usp=sharing"",""อุตรดิตถ์!J209"")"),0)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IFERROR(__xludf.DUMMYFUNCTION("IMPORTRANGE(""https://docs.google.com/spreadsheets/d/11923uPwbBZFjjGgGUA6NLw09EwE0CqkOc4q9oUmW1yo/edit?usp=sharing"",""อุตรดิตถ์!I211"")"),0)</f>
        <v>0</v>
      </c>
      <c r="J306" s="205">
        <f ca="1">IFERROR(__xludf.DUMMYFUNCTION("IMPORTRANGE(""https://docs.google.com/spreadsheets/d/11923uPwbBZFjjGgGUA6NLw09EwE0CqkOc4q9oUmW1yo/edit?usp=sharing"",""อุตรดิตถ์!J211"")"),0)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IFERROR(__xludf.DUMMYFUNCTION("IMPORTRANGE(""https://docs.google.com/spreadsheets/d/11923uPwbBZFjjGgGUA6NLw09EwE0CqkOc4q9oUmW1yo/edit?usp=sharing"",""อุตรดิตถ์!J212"")"),0)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IFERROR(__xludf.DUMMYFUNCTION("IMPORTRANGE(""https://docs.google.com/spreadsheets/d/11923uPwbBZFjjGgGUA6NLw09EwE0CqkOc4q9oUmW1yo/edit?usp=sharing"",""อุตรดิตถ์!J213"")"),0)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IFERROR(__xludf.DUMMYFUNCTION("IMPORTRANGE(""https://docs.google.com/spreadsheets/d/11923uPwbBZFjjGgGUA6NLw09EwE0CqkOc4q9oUmW1yo/edit?usp=sharing"",""อุตรดิตถ์!I214"")"),0)</f>
        <v>0</v>
      </c>
      <c r="J309" s="334">
        <f ca="1">IFERROR(__xludf.DUMMYFUNCTION("IMPORTRANGE(""https://docs.google.com/spreadsheets/d/11923uPwbBZFjjGgGUA6NLw09EwE0CqkOc4q9oUmW1yo/edit?usp=sharing"",""อุตรดิตถ์!J214"")"),0)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0</v>
      </c>
      <c r="M312" s="90">
        <f t="shared" ca="1" si="97"/>
        <v>0</v>
      </c>
      <c r="N312" s="90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59"/>
      <c r="B313" s="160"/>
      <c r="C313" s="160" t="s">
        <v>16</v>
      </c>
      <c r="D313" s="570" t="s">
        <v>20</v>
      </c>
      <c r="E313" s="565"/>
      <c r="F313" s="565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IFERROR(__xludf.DUMMYFUNCTION("IMPORTRANGE(""https://docs.google.com/spreadsheets/d/1Yj_ptqi66GCucihVvJfMjLAmec39IyEx_6qawtMGysU/edit?usp=sharing"",""สบก!DC35"")"),0)</f>
        <v>0</v>
      </c>
      <c r="N314" s="170">
        <f ca="1">IFERROR(__xludf.DUMMYFUNCTION("IMPORTRANGE(""https://docs.google.com/spreadsheets/d/1Yj_ptqi66GCucihVvJfMjLAmec39IyEx_6qawtMGysU/edit?usp=sharing"",""สบก!DD35"")"),0)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IFERROR(__xludf.DUMMYFUNCTION("IMPORTRANGE(""https://docs.google.com/spreadsheets/d/1Yj_ptqi66GCucihVvJfMjLAmec39IyEx_6qawtMGysU/edit?usp=sharing"",""สบก!CY35"")"),0)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IFERROR(__xludf.DUMMYFUNCTION("IMPORTRANGE(""https://docs.google.com/spreadsheets/d/1Yj_ptqi66GCucihVvJfMjLAmec39IyEx_6qawtMGysU/edit?usp=sharing"",""สบก!CZ35"")"),0)</f>
        <v>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IFERROR(__xludf.DUMMYFUNCTION("IMPORTRANGE(""https://docs.google.com/spreadsheets/d/1Yj_ptqi66GCucihVvJfMjLAmec39IyEx_6qawtMGysU/edit?usp=sharing"",""สบก!DA35"")"),0)</f>
        <v>0</v>
      </c>
      <c r="M318" s="52"/>
      <c r="N318" s="52">
        <f ca="1">IFERROR(__xludf.DUMMYFUNCTION("IMPORTRANGE(""https://docs.google.com/spreadsheets/d/1Yj_ptqi66GCucihVvJfMjLAmec39IyEx_6qawtMGysU/edit?usp=sharing"",""สบก!DE35"")"),0)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IFERROR(__xludf.DUMMYFUNCTION("IMPORTRANGE(""https://docs.google.com/spreadsheets/d/11923uPwbBZFjjGgGUA6NLw09EwE0CqkOc4q9oUmW1yo/edit?usp=sharing"",""อุตรดิตถ์!J220"")"),0)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IFERROR(__xludf.DUMMYFUNCTION("IMPORTRANGE(""https://docs.google.com/spreadsheets/d/11923uPwbBZFjjGgGUA6NLw09EwE0CqkOc4q9oUmW1yo/edit?usp=sharing"",""อุตรดิตถ์!J221"")"),0)</f>
        <v>0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IFERROR(__xludf.DUMMYFUNCTION("IMPORTRANGE(""https://docs.google.com/spreadsheets/d/11923uPwbBZFjjGgGUA6NLw09EwE0CqkOc4q9oUmW1yo/edit?usp=sharing"",""อุตรดิตถ์!J222"")"),0)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IFERROR(__xludf.DUMMYFUNCTION("IMPORTRANGE(""https://docs.google.com/spreadsheets/d/11923uPwbBZFjjGgGUA6NLw09EwE0CqkOc4q9oUmW1yo/edit?usp=sharing"",""อุตรดิตถ์!J223"")"),0)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IFERROR(__xludf.DUMMYFUNCTION("IMPORTRANGE(""https://docs.google.com/spreadsheets/d/11923uPwbBZFjjGgGUA6NLw09EwE0CqkOc4q9oUmW1yo/edit?usp=sharing"",""อุตรดิตถ์!I224"")"),0)</f>
        <v>0</v>
      </c>
      <c r="J324" s="205">
        <f ca="1">IFERROR(__xludf.DUMMYFUNCTION("IMPORTRANGE(""https://docs.google.com/spreadsheets/d/11923uPwbBZFjjGgGUA6NLw09EwE0CqkOc4q9oUmW1yo/edit?usp=sharing"",""อุตรดิตถ์!J224"")"),0)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IFERROR(__xludf.DUMMYFUNCTION("IMPORTRANGE(""https://docs.google.com/spreadsheets/d/11923uPwbBZFjjGgGUA6NLw09EwE0CqkOc4q9oUmW1yo/edit?usp=sharing"",""อุตรดิตถ์!J225"")"),0)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IFERROR(__xludf.DUMMYFUNCTION("IMPORTRANGE(""https://docs.google.com/spreadsheets/d/11923uPwbBZFjjGgGUA6NLw09EwE0CqkOc4q9oUmW1yo/edit?usp=sharing"",""อุตรดิตถ์!J226"")"),0)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IFERROR(__xludf.DUMMYFUNCTION("IMPORTRANGE(""https://docs.google.com/spreadsheets/d/11923uPwbBZFjjGgGUA6NLw09EwE0CqkOc4q9oUmW1yo/edit?usp=sharing"",""อุตรดิตถ์!I228"")"),540)</f>
        <v>540</v>
      </c>
      <c r="J328" s="340">
        <f ca="1">IFERROR(__xludf.DUMMYFUNCTION("IMPORTRANGE(""https://docs.google.com/spreadsheets/d/11923uPwbBZFjjGgGUA6NLw09EwE0CqkOc4q9oUmW1yo/edit?usp=sharing"",""อุตรดิตถ์!J228"")"),112)</f>
        <v>112</v>
      </c>
      <c r="K328" s="318">
        <f ca="1">IF(I328&gt;0,J328*100/I328,0)</f>
        <v>20.74074074074074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906300</v>
      </c>
      <c r="M329" s="154">
        <f t="shared" ca="1" si="98"/>
        <v>699300</v>
      </c>
      <c r="N329" s="154">
        <f t="shared" ca="1" si="98"/>
        <v>499333</v>
      </c>
      <c r="O329" s="153">
        <f t="shared" ref="O329:O331" ca="1" si="99">IF(L329&gt;0,N329*100/L329,0)</f>
        <v>55.095774026260621</v>
      </c>
      <c r="P329" s="153">
        <f t="shared" ref="P329:P331" ca="1" si="100">IF(M329&gt;0,N329*100/M329,0)</f>
        <v>71.404690404690399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906300</v>
      </c>
      <c r="M331" s="90">
        <f t="shared" ca="1" si="102"/>
        <v>699300</v>
      </c>
      <c r="N331" s="90">
        <f t="shared" ca="1" si="102"/>
        <v>499333</v>
      </c>
      <c r="O331" s="158">
        <f t="shared" ca="1" si="99"/>
        <v>55.095774026260621</v>
      </c>
      <c r="P331" s="158">
        <f t="shared" ca="1" si="100"/>
        <v>71.404690404690399</v>
      </c>
    </row>
    <row r="332" spans="1:16" ht="21.75" customHeight="1">
      <c r="A332" s="159"/>
      <c r="B332" s="160"/>
      <c r="C332" s="160" t="s">
        <v>16</v>
      </c>
      <c r="D332" s="570" t="s">
        <v>20</v>
      </c>
      <c r="E332" s="565"/>
      <c r="F332" s="565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906300</v>
      </c>
      <c r="M333" s="169">
        <f ca="1">IFERROR(__xludf.DUMMYFUNCTION("IMPORTRANGE(""https://docs.google.com/spreadsheets/d/1Yj_ptqi66GCucihVvJfMjLAmec39IyEx_6qawtMGysU/edit?usp=sharing"",""สบก!DL35"")"),699300)</f>
        <v>699300</v>
      </c>
      <c r="N333" s="170">
        <f ca="1">IFERROR(__xludf.DUMMYFUNCTION("IMPORTRANGE(""https://docs.google.com/spreadsheets/d/1Yj_ptqi66GCucihVvJfMjLAmec39IyEx_6qawtMGysU/edit?usp=sharing"",""สบก!DM35"")"),499333)</f>
        <v>499333</v>
      </c>
      <c r="O333" s="170">
        <f ca="1">IF(L333&gt;0,N333*100/L333,0)</f>
        <v>55.095774026260621</v>
      </c>
      <c r="P333" s="170">
        <f ca="1">IF(M333&gt;0,N333*100/M333,0)</f>
        <v>71.404690404690399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IFERROR(__xludf.DUMMYFUNCTION("IMPORTRANGE(""https://docs.google.com/spreadsheets/d/1Yj_ptqi66GCucihVvJfMjLAmec39IyEx_6qawtMGysU/edit?usp=sharing"",""สบก!DH35"")"),614000)</f>
        <v>614000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IFERROR(__xludf.DUMMYFUNCTION("IMPORTRANGE(""https://docs.google.com/spreadsheets/d/1Yj_ptqi66GCucihVvJfMjLAmec39IyEx_6qawtMGysU/edit?usp=sharing"",""สบก!DI35"")"),292300)</f>
        <v>292300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IFERROR(__xludf.DUMMYFUNCTION("IMPORTRANGE(""https://docs.google.com/spreadsheets/d/1Yj_ptqi66GCucihVvJfMjLAmec39IyEx_6qawtMGysU/edit?usp=sharing"",""สบก!DJ35"")"),0)</f>
        <v>0</v>
      </c>
      <c r="M337" s="52"/>
      <c r="N337" s="52">
        <f ca="1">IFERROR(__xludf.DUMMYFUNCTION("IMPORTRANGE(""https://docs.google.com/spreadsheets/d/1Yj_ptqi66GCucihVvJfMjLAmec39IyEx_6qawtMGysU/edit?usp=sharing"",""สบก!DN35"")"),0)</f>
        <v>0</v>
      </c>
      <c r="O337" s="52">
        <f ca="1">IF(L337&gt;0,N337*100/L337,0)</f>
        <v>0</v>
      </c>
      <c r="P337" s="52"/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IFERROR(__xludf.DUMMYFUNCTION("IMPORTRANGE(""https://docs.google.com/spreadsheets/d/11923uPwbBZFjjGgGUA6NLw09EwE0CqkOc4q9oUmW1yo/edit?usp=sharing"",""อุตรดิตถ์!I234"")"),0)</f>
        <v>0</v>
      </c>
      <c r="J339" s="189">
        <f ca="1">IFERROR(__xludf.DUMMYFUNCTION("IMPORTRANGE(""https://docs.google.com/spreadsheets/d/11923uPwbBZFjjGgGUA6NLw09EwE0CqkOc4q9oUmW1yo/edit?usp=sharing"",""อุตรดิตถ์!J234"")"),62)</f>
        <v>62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IFERROR(__xludf.DUMMYFUNCTION("IMPORTRANGE(""https://docs.google.com/spreadsheets/d/11923uPwbBZFjjGgGUA6NLw09EwE0CqkOc4q9oUmW1yo/edit?usp=sharing"",""อุตรดิตถ์!I235"")"),800)</f>
        <v>800</v>
      </c>
      <c r="J340" s="189">
        <f ca="1">IFERROR(__xludf.DUMMYFUNCTION("IMPORTRANGE(""https://docs.google.com/spreadsheets/d/11923uPwbBZFjjGgGUA6NLw09EwE0CqkOc4q9oUmW1yo/edit?usp=sharing"",""อุตรดิตถ์!J235"")"),510.26)</f>
        <v>510.26</v>
      </c>
      <c r="K340" s="343">
        <f t="shared" ca="1" si="103"/>
        <v>63.782499999999999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IFERROR(__xludf.DUMMYFUNCTION("IMPORTRANGE(""https://docs.google.com/spreadsheets/d/11923uPwbBZFjjGgGUA6NLw09EwE0CqkOc4q9oUmW1yo/edit?usp=sharing"",""อุตรดิตถ์!I236"")"),540)</f>
        <v>540</v>
      </c>
      <c r="J341" s="189">
        <f ca="1">IFERROR(__xludf.DUMMYFUNCTION("IMPORTRANGE(""https://docs.google.com/spreadsheets/d/11923uPwbBZFjjGgGUA6NLw09EwE0CqkOc4q9oUmW1yo/edit?usp=sharing"",""อุตรดิตถ์!J236"")"),137)</f>
        <v>137</v>
      </c>
      <c r="K341" s="343">
        <f t="shared" ca="1" si="103"/>
        <v>25.37037037037037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IFERROR(__xludf.DUMMYFUNCTION("IMPORTRANGE(""https://docs.google.com/spreadsheets/d/11923uPwbBZFjjGgGUA6NLw09EwE0CqkOc4q9oUmW1yo/edit?usp=sharing"",""อุตรดิตถ์!I237"")"),0)</f>
        <v>0</v>
      </c>
      <c r="J342" s="189">
        <f ca="1">IFERROR(__xludf.DUMMYFUNCTION("IMPORTRANGE(""https://docs.google.com/spreadsheets/d/11923uPwbBZFjjGgGUA6NLw09EwE0CqkOc4q9oUmW1yo/edit?usp=sharing"",""อุตรดิตถ์!J237"")"),1390.64999999999)</f>
        <v>1390.6499999999901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IFERROR(__xludf.DUMMYFUNCTION("IMPORTRANGE(""https://docs.google.com/spreadsheets/d/11923uPwbBZFjjGgGUA6NLw09EwE0CqkOc4q9oUmW1yo/edit?usp=sharing"",""อุตรดิตถ์!I238"")"),540)</f>
        <v>540</v>
      </c>
      <c r="J343" s="189">
        <f ca="1">IFERROR(__xludf.DUMMYFUNCTION("IMPORTRANGE(""https://docs.google.com/spreadsheets/d/11923uPwbBZFjjGgGUA6NLw09EwE0CqkOc4q9oUmW1yo/edit?usp=sharing"",""อุตรดิตถ์!J238"")"),0)</f>
        <v>0</v>
      </c>
      <c r="K343" s="343">
        <f t="shared" ca="1" si="103"/>
        <v>0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IFERROR(__xludf.DUMMYFUNCTION("IMPORTRANGE(""https://docs.google.com/spreadsheets/d/11923uPwbBZFjjGgGUA6NLw09EwE0CqkOc4q9oUmW1yo/edit?usp=sharing"",""อุตรดิตถ์!I239"")"),0)</f>
        <v>0</v>
      </c>
      <c r="J344" s="189">
        <f ca="1">IFERROR(__xludf.DUMMYFUNCTION("IMPORTRANGE(""https://docs.google.com/spreadsheets/d/11923uPwbBZFjjGgGUA6NLw09EwE0CqkOc4q9oUmW1yo/edit?usp=sharing"",""อุตรดิตถ์!J239"")"),0)</f>
        <v>0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IFERROR(__xludf.DUMMYFUNCTION("IMPORTRANGE(""https://docs.google.com/spreadsheets/d/11923uPwbBZFjjGgGUA6NLw09EwE0CqkOc4q9oUmW1yo/edit?usp=sharing"",""อุตรดิตถ์!I240"")"),540)</f>
        <v>540</v>
      </c>
      <c r="J345" s="189">
        <f ca="1">IFERROR(__xludf.DUMMYFUNCTION("IMPORTRANGE(""https://docs.google.com/spreadsheets/d/11923uPwbBZFjjGgGUA6NLw09EwE0CqkOc4q9oUmW1yo/edit?usp=sharing"",""อุตรดิตถ์!J240"")"),112)</f>
        <v>112</v>
      </c>
      <c r="K345" s="343">
        <f t="shared" ca="1" si="103"/>
        <v>20.74074074074074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IFERROR(__xludf.DUMMYFUNCTION("IMPORTRANGE(""https://docs.google.com/spreadsheets/d/11923uPwbBZFjjGgGUA6NLw09EwE0CqkOc4q9oUmW1yo/edit?usp=sharing"",""อุตรดิตถ์!I241"")"),0)</f>
        <v>0</v>
      </c>
      <c r="J346" s="189">
        <f ca="1">IFERROR(__xludf.DUMMYFUNCTION("IMPORTRANGE(""https://docs.google.com/spreadsheets/d/11923uPwbBZFjjGgGUA6NLw09EwE0CqkOc4q9oUmW1yo/edit?usp=sharing"",""อุตรดิตถ์!J241"")"),1215.88999999999)</f>
        <v>1215.8899999999901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IFERROR(__xludf.DUMMYFUNCTION("IMPORTRANGE(""https://docs.google.com/spreadsheets/d/11923uPwbBZFjjGgGUA6NLw09EwE0CqkOc4q9oUmW1yo/edit?usp=sharing"",""อุตรดิตถ์!L242"")"),2204727)</f>
        <v>2204727</v>
      </c>
      <c r="M347" s="359"/>
      <c r="N347" s="359">
        <f ca="1">IFERROR(__xludf.DUMMYFUNCTION("IMPORTRANGE(""https://docs.google.com/spreadsheets/d/11923uPwbBZFjjGgGUA6NLw09EwE0CqkOc4q9oUmW1yo/edit?usp=sharing"",""อุตรดิตถ์!M242"")"),994395.5)</f>
        <v>994395.5</v>
      </c>
      <c r="O347" s="359">
        <f ca="1">+IF(L347&gt;0,N347*100/L347,0)</f>
        <v>45.102885754109238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IFERROR(__xludf.DUMMYFUNCTION("IMPORTRANGE(""https://docs.google.com/spreadsheets/d/11923uPwbBZFjjGgGUA6NLw09EwE0CqkOc4q9oUmW1yo/edit?usp=sharing"",""อุตรดิตถ์!I244"")"),30)</f>
        <v>30</v>
      </c>
      <c r="J349" s="372">
        <f ca="1">IFERROR(__xludf.DUMMYFUNCTION("IMPORTRANGE(""https://docs.google.com/spreadsheets/d/11923uPwbBZFjjGgGUA6NLw09EwE0CqkOc4q9oUmW1yo/edit?usp=sharing"",""อุตรดิตถ์!J244"")"),10)</f>
        <v>10</v>
      </c>
      <c r="K349" s="373">
        <f t="shared" ref="K349:K350" ca="1" si="104">IF(I349&gt;0,J349*100/I349,0)</f>
        <v>33.333333333333336</v>
      </c>
      <c r="L349" s="374">
        <f ca="1">IFERROR(__xludf.DUMMYFUNCTION("IMPORTRANGE(""https://docs.google.com/spreadsheets/d/11923uPwbBZFjjGgGUA6NLw09EwE0CqkOc4q9oUmW1yo/edit?usp=sharing"",""อุตรดิตถ์!L244"")"),257760)</f>
        <v>257760</v>
      </c>
      <c r="M349" s="374"/>
      <c r="N349" s="374">
        <f ca="1">IFERROR(__xludf.DUMMYFUNCTION("IMPORTRANGE(""https://docs.google.com/spreadsheets/d/11923uPwbBZFjjGgGUA6NLw09EwE0CqkOc4q9oUmW1yo/edit?usp=sharing"",""อุตรดิตถ์!M244"")"),141706)</f>
        <v>141706</v>
      </c>
      <c r="O349" s="374">
        <f ca="1">+IF(L349&gt;0,N349*100/L349,0)</f>
        <v>54.97594661700807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IFERROR(__xludf.DUMMYFUNCTION("IMPORTRANGE(""https://docs.google.com/spreadsheets/d/11923uPwbBZFjjGgGUA6NLw09EwE0CqkOc4q9oUmW1yo/edit?usp=sharing"",""อุตรดิตถ์!I245"")"),30)</f>
        <v>30</v>
      </c>
      <c r="J350" s="372">
        <f ca="1">IFERROR(__xludf.DUMMYFUNCTION("IMPORTRANGE(""https://docs.google.com/spreadsheets/d/11923uPwbBZFjjGgGUA6NLw09EwE0CqkOc4q9oUmW1yo/edit?usp=sharing"",""อุตรดิตถ์!J245"")"),30)</f>
        <v>30</v>
      </c>
      <c r="K350" s="373">
        <f t="shared" ca="1" si="104"/>
        <v>100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IFERROR(__xludf.DUMMYFUNCTION("IMPORTRANGE(""https://docs.google.com/spreadsheets/d/11923uPwbBZFjjGgGUA6NLw09EwE0CqkOc4q9oUmW1yo/edit?usp=sharing"",""อุตรดิตถ์!L246"")"),0)</f>
        <v>0</v>
      </c>
      <c r="M351" s="166"/>
      <c r="N351" s="166">
        <f ca="1">IFERROR(__xludf.DUMMYFUNCTION("IMPORTRANGE(""https://docs.google.com/spreadsheets/d/11923uPwbBZFjjGgGUA6NLw09EwE0CqkOc4q9oUmW1yo/edit?usp=sharing"",""อุตรดิตถ์!M246"")"),0)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IFERROR(__xludf.DUMMYFUNCTION("IMPORTRANGE(""https://docs.google.com/spreadsheets/d/11923uPwbBZFjjGgGUA6NLw09EwE0CqkOc4q9oUmW1yo/edit?usp=sharing"",""อุตรดิตถ์!L247"")"),257760)</f>
        <v>257760</v>
      </c>
      <c r="M352" s="167"/>
      <c r="N352" s="166">
        <f ca="1">IFERROR(__xludf.DUMMYFUNCTION("IMPORTRANGE(""https://docs.google.com/spreadsheets/d/11923uPwbBZFjjGgGUA6NLw09EwE0CqkOc4q9oUmW1yo/edit?usp=sharing"",""อุตรดิตถ์!M247"")"),141706)</f>
        <v>141706</v>
      </c>
      <c r="O352" s="167">
        <f t="shared" ca="1" si="105"/>
        <v>54.97594661700807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IFERROR(__xludf.DUMMYFUNCTION("IMPORTRANGE(""https://docs.google.com/spreadsheets/d/11923uPwbBZFjjGgGUA6NLw09EwE0CqkOc4q9oUmW1yo/edit?usp=sharing"",""อุตรดิตถ์!L248"")"),0)</f>
        <v>0</v>
      </c>
      <c r="M353" s="170"/>
      <c r="N353" s="170">
        <f ca="1">IFERROR(__xludf.DUMMYFUNCTION("IMPORTRANGE(""https://docs.google.com/spreadsheets/d/11923uPwbBZFjjGgGUA6NLw09EwE0CqkOc4q9oUmW1yo/edit?usp=sharing"",""อุตรดิตถ์!M248"")"),0)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IFERROR(__xludf.DUMMYFUNCTION("IMPORTRANGE(""https://docs.google.com/spreadsheets/d/11923uPwbBZFjjGgGUA6NLw09EwE0CqkOc4q9oUmW1yo/edit?usp=sharing"",""อุตรดิตถ์!L249"")"),257760)</f>
        <v>257760</v>
      </c>
      <c r="M354" s="170"/>
      <c r="N354" s="169">
        <f ca="1">IFERROR(__xludf.DUMMYFUNCTION("IMPORTRANGE(""https://docs.google.com/spreadsheets/d/11923uPwbBZFjjGgGUA6NLw09EwE0CqkOc4q9oUmW1yo/edit?usp=sharing"",""อุตรดิตถ์!M249"")"),141706)</f>
        <v>141706</v>
      </c>
      <c r="O354" s="170">
        <f t="shared" ca="1" si="105"/>
        <v>54.97594661700807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IFERROR(__xludf.DUMMYFUNCTION("IMPORTRANGE(""https://docs.google.com/spreadsheets/d/11923uPwbBZFjjGgGUA6NLw09EwE0CqkOc4q9oUmW1yo/edit?usp=sharing"",""อุตรดิตถ์!M250"")"),52382)</f>
        <v>52382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IFERROR(__xludf.DUMMYFUNCTION("IMPORTRANGE(""https://docs.google.com/spreadsheets/d/11923uPwbBZFjjGgGUA6NLw09EwE0CqkOc4q9oUmW1yo/edit?usp=sharing"",""อุตรดิตถ์!M251"")"),14038)</f>
        <v>14038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IFERROR(__xludf.DUMMYFUNCTION("IMPORTRANGE(""https://docs.google.com/spreadsheets/d/11923uPwbBZFjjGgGUA6NLw09EwE0CqkOc4q9oUmW1yo/edit?usp=sharing"",""อุตรดิตถ์!M252"")"),63101)</f>
        <v>63101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IFERROR(__xludf.DUMMYFUNCTION("IMPORTRANGE(""https://docs.google.com/spreadsheets/d/11923uPwbBZFjjGgGUA6NLw09EwE0CqkOc4q9oUmW1yo/edit?usp=sharing"",""อุตรดิตถ์!M253"")"),12185)</f>
        <v>12185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IFERROR(__xludf.DUMMYFUNCTION("IMPORTRANGE(""https://docs.google.com/spreadsheets/d/11923uPwbBZFjjGgGUA6NLw09EwE0CqkOc4q9oUmW1yo/edit?usp=sharing"",""อุตรดิตถ์!J255"")"),0)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IFERROR(__xludf.DUMMYFUNCTION("IMPORTRANGE(""https://docs.google.com/spreadsheets/d/11923uPwbBZFjjGgGUA6NLw09EwE0CqkOc4q9oUmW1yo/edit?usp=sharing"",""อุตรดิตถ์!J256"")"),1)</f>
        <v>1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IFERROR(__xludf.DUMMYFUNCTION("IMPORTRANGE(""https://docs.google.com/spreadsheets/d/11923uPwbBZFjjGgGUA6NLw09EwE0CqkOc4q9oUmW1yo/edit?usp=sharing"",""อุตรดิตถ์!J257"")"),1)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IFERROR(__xludf.DUMMYFUNCTION("IMPORTRANGE(""https://docs.google.com/spreadsheets/d/11923uPwbBZFjjGgGUA6NLw09EwE0CqkOc4q9oUmW1yo/edit?usp=sharing"",""อุตรดิตถ์!J258"")"),1)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IFERROR(__xludf.DUMMYFUNCTION("IMPORTRANGE(""https://docs.google.com/spreadsheets/d/11923uPwbBZFjjGgGUA6NLw09EwE0CqkOc4q9oUmW1yo/edit?usp=sharing"",""อุตรดิตถ์!J166"")"),0)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IFERROR(__xludf.DUMMYFUNCTION("IMPORTRANGE(""https://docs.google.com/spreadsheets/d/11923uPwbBZFjjGgGUA6NLw09EwE0CqkOc4q9oUmW1yo/edit?usp=sharing"",""อุตรดิตถ์!J166"")"),0)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IFERROR(__xludf.DUMMYFUNCTION("IMPORTRANGE(""https://docs.google.com/spreadsheets/d/11923uPwbBZFjjGgGUA6NLw09EwE0CqkOc4q9oUmW1yo/edit?usp=sharing"",""อุตรดิตถ์!J166"")"),0)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IFERROR(__xludf.DUMMYFUNCTION("IMPORTRANGE(""https://docs.google.com/spreadsheets/d/11923uPwbBZFjjGgGUA6NLw09EwE0CqkOc4q9oUmW1yo/edit?usp=sharing"",""อุตรดิตถ์!J166"")"),0)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IFERROR(__xludf.DUMMYFUNCTION("IMPORTRANGE(""https://docs.google.com/spreadsheets/d/11923uPwbBZFjjGgGUA6NLw09EwE0CqkOc4q9oUmW1yo/edit?usp=sharing"",""อุตรดิตถ์!I263"")"),30)</f>
        <v>30</v>
      </c>
      <c r="J368" s="189">
        <f ca="1">IFERROR(__xludf.DUMMYFUNCTION("IMPORTRANGE(""https://docs.google.com/spreadsheets/d/11923uPwbBZFjjGgGUA6NLw09EwE0CqkOc4q9oUmW1yo/edit?usp=sharing"",""อุตรดิตถ์!J263"")"),30)</f>
        <v>30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IFERROR(__xludf.DUMMYFUNCTION("IMPORTRANGE(""https://docs.google.com/spreadsheets/d/11923uPwbBZFjjGgGUA6NLw09EwE0CqkOc4q9oUmW1yo/edit?usp=sharing"",""อุตรดิตถ์!I164"")"),0)</f>
        <v>0</v>
      </c>
      <c r="J369" s="205">
        <f ca="1">IFERROR(__xludf.DUMMYFUNCTION("IMPORTRANGE(""https://docs.google.com/spreadsheets/d/11923uPwbBZFjjGgGUA6NLw09EwE0CqkOc4q9oUmW1yo/edit?usp=sharing"",""อุตรดิตถ์!J164"")"),0)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IFERROR(__xludf.DUMMYFUNCTION("IMPORTRANGE(""https://docs.google.com/spreadsheets/d/11923uPwbBZFjjGgGUA6NLw09EwE0CqkOc4q9oUmW1yo/edit?usp=sharing"",""อุตรดิตถ์!I265"")"),30)</f>
        <v>30</v>
      </c>
      <c r="J370" s="205">
        <f ca="1">IFERROR(__xludf.DUMMYFUNCTION("IMPORTRANGE(""https://docs.google.com/spreadsheets/d/11923uPwbBZFjjGgGUA6NLw09EwE0CqkOc4q9oUmW1yo/edit?usp=sharing"",""อุตรดิตถ์!J265"")"),30)</f>
        <v>30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IFERROR(__xludf.DUMMYFUNCTION("IMPORTRANGE(""https://docs.google.com/spreadsheets/d/11923uPwbBZFjjGgGUA6NLw09EwE0CqkOc4q9oUmW1yo/edit?usp=sharing"",""อุตรดิตถ์!I164"")"),0)</f>
        <v>0</v>
      </c>
      <c r="J371" s="190">
        <f ca="1">IFERROR(__xludf.DUMMYFUNCTION("IMPORTRANGE(""https://docs.google.com/spreadsheets/d/11923uPwbBZFjjGgGUA6NLw09EwE0CqkOc4q9oUmW1yo/edit?usp=sharing"",""อุตรดิตถ์!J164"")"),0)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IFERROR(__xludf.DUMMYFUNCTION("IMPORTRANGE(""https://docs.google.com/spreadsheets/d/11923uPwbBZFjjGgGUA6NLw09EwE0CqkOc4q9oUmW1yo/edit?usp=sharing"",""อุตรดิตถ์!I267"")"),30)</f>
        <v>30</v>
      </c>
      <c r="J372" s="190">
        <f ca="1">IFERROR(__xludf.DUMMYFUNCTION("IMPORTRANGE(""https://docs.google.com/spreadsheets/d/11923uPwbBZFjjGgGUA6NLw09EwE0CqkOc4q9oUmW1yo/edit?usp=sharing"",""อุตรดิตถ์!J267"")"),30)</f>
        <v>30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IFERROR(__xludf.DUMMYFUNCTION("IMPORTRANGE(""https://docs.google.com/spreadsheets/d/11923uPwbBZFjjGgGUA6NLw09EwE0CqkOc4q9oUmW1yo/edit?usp=sharing"",""อุตรดิตถ์!I164"")"),0)</f>
        <v>0</v>
      </c>
      <c r="J373" s="205">
        <f ca="1">IFERROR(__xludf.DUMMYFUNCTION("IMPORTRANGE(""https://docs.google.com/spreadsheets/d/11923uPwbBZFjjGgGUA6NLw09EwE0CqkOc4q9oUmW1yo/edit?usp=sharing"",""อุตรดิตถ์!J164"")"),0)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IFERROR(__xludf.DUMMYFUNCTION("IMPORTRANGE(""https://docs.google.com/spreadsheets/d/11923uPwbBZFjjGgGUA6NLw09EwE0CqkOc4q9oUmW1yo/edit?usp=sharing"",""อุตรดิตถ์!I164"")"),0)</f>
        <v>0</v>
      </c>
      <c r="J374" s="189">
        <f ca="1">IFERROR(__xludf.DUMMYFUNCTION("IMPORTRANGE(""https://docs.google.com/spreadsheets/d/11923uPwbBZFjjGgGUA6NLw09EwE0CqkOc4q9oUmW1yo/edit?usp=sharing"",""อุตรดิตถ์!J164"")"),0)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IFERROR(__xludf.DUMMYFUNCTION("IMPORTRANGE(""https://docs.google.com/spreadsheets/d/11923uPwbBZFjjGgGUA6NLw09EwE0CqkOc4q9oUmW1yo/edit?usp=sharing"",""อุตรดิตถ์!I270"")"),30)</f>
        <v>30</v>
      </c>
      <c r="J375" s="189">
        <f ca="1">IFERROR(__xludf.DUMMYFUNCTION("IMPORTRANGE(""https://docs.google.com/spreadsheets/d/11923uPwbBZFjjGgGUA6NLw09EwE0CqkOc4q9oUmW1yo/edit?usp=sharing"",""อุตรดิตถ์!J270"")"),10)</f>
        <v>10</v>
      </c>
      <c r="K375" s="165">
        <f t="shared" ref="K375:K377" ca="1" si="107">IF(I375&gt;0,J375*100/I375,0)</f>
        <v>33.333333333333336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IFERROR(__xludf.DUMMYFUNCTION("IMPORTRANGE(""https://docs.google.com/spreadsheets/d/11923uPwbBZFjjGgGUA6NLw09EwE0CqkOc4q9oUmW1yo/edit?usp=sharing"",""อุตรดิตถ์!I271"")"),20)</f>
        <v>20</v>
      </c>
      <c r="J376" s="190">
        <f ca="1">IFERROR(__xludf.DUMMYFUNCTION("IMPORTRANGE(""https://docs.google.com/spreadsheets/d/11923uPwbBZFjjGgGUA6NLw09EwE0CqkOc4q9oUmW1yo/edit?usp=sharing"",""อุตรดิตถ์!J271"")"),0)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IFERROR(__xludf.DUMMYFUNCTION("IMPORTRANGE(""https://docs.google.com/spreadsheets/d/11923uPwbBZFjjGgGUA6NLw09EwE0CqkOc4q9oUmW1yo/edit?usp=sharing"",""อุตรดิตถ์!I272"")"),10)</f>
        <v>10</v>
      </c>
      <c r="J377" s="205">
        <f ca="1">IFERROR(__xludf.DUMMYFUNCTION("IMPORTRANGE(""https://docs.google.com/spreadsheets/d/11923uPwbBZFjjGgGUA6NLw09EwE0CqkOc4q9oUmW1yo/edit?usp=sharing"",""อุตรดิตถ์!J272"")"),10)</f>
        <v>10</v>
      </c>
      <c r="K377" s="165">
        <f t="shared" ca="1" si="107"/>
        <v>100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IFERROR(__xludf.DUMMYFUNCTION("IMPORTRANGE(""https://docs.google.com/spreadsheets/d/11923uPwbBZFjjGgGUA6NLw09EwE0CqkOc4q9oUmW1yo/edit?usp=sharing"",""อุตรดิตถ์!J273"")"),0)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IFERROR(__xludf.DUMMYFUNCTION("IMPORTRANGE(""https://docs.google.com/spreadsheets/d/11923uPwbBZFjjGgGUA6NLw09EwE0CqkOc4q9oUmW1yo/edit?usp=sharing"",""อุตรดิตถ์!J274"")"),0)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IFERROR(__xludf.DUMMYFUNCTION("IMPORTRANGE(""https://docs.google.com/spreadsheets/d/11923uPwbBZFjjGgGUA6NLw09EwE0CqkOc4q9oUmW1yo/edit?usp=sharing"",""อุตรดิตถ์!I275"")"),1000)</f>
        <v>1000</v>
      </c>
      <c r="J380" s="372">
        <f ca="1">IFERROR(__xludf.DUMMYFUNCTION("IMPORTRANGE(""https://docs.google.com/spreadsheets/d/11923uPwbBZFjjGgGUA6NLw09EwE0CqkOc4q9oUmW1yo/edit?usp=sharing"",""อุตรดิตถ์!J275"")"),0)</f>
        <v>0</v>
      </c>
      <c r="K380" s="373">
        <f t="shared" ref="K380:K381" ca="1" si="108">IF(I380&gt;0,J380*100/I380,0)</f>
        <v>0</v>
      </c>
      <c r="L380" s="374">
        <f ca="1">IFERROR(__xludf.DUMMYFUNCTION("IMPORTRANGE(""https://docs.google.com/spreadsheets/d/11923uPwbBZFjjGgGUA6NLw09EwE0CqkOc4q9oUmW1yo/edit?usp=sharing"",""อุตรดิตถ์!L275"")"),1028520)</f>
        <v>1028520</v>
      </c>
      <c r="M380" s="374"/>
      <c r="N380" s="374">
        <f ca="1">IFERROR(__xludf.DUMMYFUNCTION("IMPORTRANGE(""https://docs.google.com/spreadsheets/d/11923uPwbBZFjjGgGUA6NLw09EwE0CqkOc4q9oUmW1yo/edit?usp=sharing"",""อุตรดิตถ์!M275"")"),278875.8)</f>
        <v>278875.8</v>
      </c>
      <c r="O380" s="374">
        <f ca="1">+IF(L380&gt;0,N380*100/L380,0)</f>
        <v>27.114280714035701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IFERROR(__xludf.DUMMYFUNCTION("IMPORTRANGE(""https://docs.google.com/spreadsheets/d/11923uPwbBZFjjGgGUA6NLw09EwE0CqkOc4q9oUmW1yo/edit?usp=sharing"",""อุตรดิตถ์!I276"")"),100)</f>
        <v>100</v>
      </c>
      <c r="J381" s="372">
        <f ca="1">IFERROR(__xludf.DUMMYFUNCTION("IMPORTRANGE(""https://docs.google.com/spreadsheets/d/11923uPwbBZFjjGgGUA6NLw09EwE0CqkOc4q9oUmW1yo/edit?usp=sharing"",""อุตรดิตถ์!J276"")"),100)</f>
        <v>100</v>
      </c>
      <c r="K381" s="373">
        <f t="shared" ca="1" si="108"/>
        <v>100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IFERROR(__xludf.DUMMYFUNCTION("IMPORTRANGE(""https://docs.google.com/spreadsheets/d/11923uPwbBZFjjGgGUA6NLw09EwE0CqkOc4q9oUmW1yo/edit?usp=sharing"",""อุตรดิตถ์!L277"")"),0)</f>
        <v>0</v>
      </c>
      <c r="M382" s="166"/>
      <c r="N382" s="166">
        <f ca="1">IFERROR(__xludf.DUMMYFUNCTION("IMPORTRANGE(""https://docs.google.com/spreadsheets/d/11923uPwbBZFjjGgGUA6NLw09EwE0CqkOc4q9oUmW1yo/edit?usp=sharing"",""อุตรดิตถ์!M277"")"),0)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IFERROR(__xludf.DUMMYFUNCTION("IMPORTRANGE(""https://docs.google.com/spreadsheets/d/11923uPwbBZFjjGgGUA6NLw09EwE0CqkOc4q9oUmW1yo/edit?usp=sharing"",""อุตรดิตถ์!L278"")"),1028520)</f>
        <v>1028520</v>
      </c>
      <c r="M383" s="167"/>
      <c r="N383" s="167">
        <f ca="1">IFERROR(__xludf.DUMMYFUNCTION("IMPORTRANGE(""https://docs.google.com/spreadsheets/d/11923uPwbBZFjjGgGUA6NLw09EwE0CqkOc4q9oUmW1yo/edit?usp=sharing"",""อุตรดิตถ์!M278"")"),278875.8)</f>
        <v>278875.8</v>
      </c>
      <c r="O383" s="167">
        <f t="shared" ca="1" si="109"/>
        <v>27.114280714035701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IFERROR(__xludf.DUMMYFUNCTION("IMPORTRANGE(""https://docs.google.com/spreadsheets/d/11923uPwbBZFjjGgGUA6NLw09EwE0CqkOc4q9oUmW1yo/edit?usp=sharing"",""อุตรดิตถ์!L279"")"),0)</f>
        <v>0</v>
      </c>
      <c r="M384" s="170"/>
      <c r="N384" s="170">
        <f ca="1">IFERROR(__xludf.DUMMYFUNCTION("IMPORTRANGE(""https://docs.google.com/spreadsheets/d/11923uPwbBZFjjGgGUA6NLw09EwE0CqkOc4q9oUmW1yo/edit?usp=sharing"",""อุตรดิตถ์!M279"")"),0)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IFERROR(__xludf.DUMMYFUNCTION("IMPORTRANGE(""https://docs.google.com/spreadsheets/d/11923uPwbBZFjjGgGUA6NLw09EwE0CqkOc4q9oUmW1yo/edit?usp=sharing"",""อุตรดิตถ์!L280"")"),1028520)</f>
        <v>1028520</v>
      </c>
      <c r="M385" s="170"/>
      <c r="N385" s="169">
        <f ca="1">IFERROR(__xludf.DUMMYFUNCTION("IMPORTRANGE(""https://docs.google.com/spreadsheets/d/11923uPwbBZFjjGgGUA6NLw09EwE0CqkOc4q9oUmW1yo/edit?usp=sharing"",""อุตรดิตถ์!M280"")"),278875.8)</f>
        <v>278875.8</v>
      </c>
      <c r="O385" s="170">
        <f t="shared" ca="1" si="109"/>
        <v>27.114280714035701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IFERROR(__xludf.DUMMYFUNCTION("IMPORTRANGE(""https://docs.google.com/spreadsheets/d/11923uPwbBZFjjGgGUA6NLw09EwE0CqkOc4q9oUmW1yo/edit?usp=sharing"",""อุตรดิตถ์!M281"")"),186203)</f>
        <v>186203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IFERROR(__xludf.DUMMYFUNCTION("IMPORTRANGE(""https://docs.google.com/spreadsheets/d/11923uPwbBZFjjGgGUA6NLw09EwE0CqkOc4q9oUmW1yo/edit?usp=sharing"",""อุตรดิตถ์!M282"")"),0)</f>
        <v>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IFERROR(__xludf.DUMMYFUNCTION("IMPORTRANGE(""https://docs.google.com/spreadsheets/d/11923uPwbBZFjjGgGUA6NLw09EwE0CqkOc4q9oUmW1yo/edit?usp=sharing"",""อุตรดิตถ์!M283"")"),68958)</f>
        <v>68958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IFERROR(__xludf.DUMMYFUNCTION("IMPORTRANGE(""https://docs.google.com/spreadsheets/d/11923uPwbBZFjjGgGUA6NLw09EwE0CqkOc4q9oUmW1yo/edit?usp=sharing"",""อุตรดิตถ์!M284"")"),23714.8)</f>
        <v>23714.799999999999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IFERROR(__xludf.DUMMYFUNCTION("IMPORTRANGE(""https://docs.google.com/spreadsheets/d/11923uPwbBZFjjGgGUA6NLw09EwE0CqkOc4q9oUmW1yo/edit?usp=sharing"",""อุตรดิตถ์!J286"")"),0)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IFERROR(__xludf.DUMMYFUNCTION("IMPORTRANGE(""https://docs.google.com/spreadsheets/d/11923uPwbBZFjjGgGUA6NLw09EwE0CqkOc4q9oUmW1yo/edit?usp=sharing"",""อุตรดิตถ์!J287"")"),1)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IFERROR(__xludf.DUMMYFUNCTION("IMPORTRANGE(""https://docs.google.com/spreadsheets/d/11923uPwbBZFjjGgGUA6NLw09EwE0CqkOc4q9oUmW1yo/edit?usp=sharing"",""อุตรดิตถ์!J288"")"),1)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IFERROR(__xludf.DUMMYFUNCTION("IMPORTRANGE(""https://docs.google.com/spreadsheets/d/11923uPwbBZFjjGgGUA6NLw09EwE0CqkOc4q9oUmW1yo/edit?usp=sharing"",""อุตรดิตถ์!J289"")"),1)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IFERROR(__xludf.DUMMYFUNCTION("IMPORTRANGE(""https://docs.google.com/spreadsheets/d/11923uPwbBZFjjGgGUA6NLw09EwE0CqkOc4q9oUmW1yo/edit?usp=sharing"",""อุตรดิตถ์!I291"")"),100)</f>
        <v>100</v>
      </c>
      <c r="J396" s="199">
        <f ca="1">IFERROR(__xludf.DUMMYFUNCTION("IMPORTRANGE(""https://docs.google.com/spreadsheets/d/11923uPwbBZFjjGgGUA6NLw09EwE0CqkOc4q9oUmW1yo/edit?usp=sharing"",""อุตรดิตถ์!J291"")"),100)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IFERROR(__xludf.DUMMYFUNCTION("IMPORTRANGE(""https://docs.google.com/spreadsheets/d/11923uPwbBZFjjGgGUA6NLw09EwE0CqkOc4q9oUmW1yo/edit?usp=sharing"",""อุตรดิตถ์!I292"")"),1000)</f>
        <v>1000</v>
      </c>
      <c r="J397" s="199">
        <f ca="1">IFERROR(__xludf.DUMMYFUNCTION("IMPORTRANGE(""https://docs.google.com/spreadsheets/d/11923uPwbBZFjjGgGUA6NLw09EwE0CqkOc4q9oUmW1yo/edit?usp=sharing"",""อุตรดิตถ์!J292"")"),0)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IFERROR(__xludf.DUMMYFUNCTION("IMPORTRANGE(""https://docs.google.com/spreadsheets/d/11923uPwbBZFjjGgGUA6NLw09EwE0CqkOc4q9oUmW1yo/edit?usp=sharing"",""อุตรดิตถ์!I293"")"),100)</f>
        <v>100</v>
      </c>
      <c r="J398" s="199">
        <f ca="1">IFERROR(__xludf.DUMMYFUNCTION("IMPORTRANGE(""https://docs.google.com/spreadsheets/d/11923uPwbBZFjjGgGUA6NLw09EwE0CqkOc4q9oUmW1yo/edit?usp=sharing"",""อุตรดิตถ์!J293"")"),0)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IFERROR(__xludf.DUMMYFUNCTION("IMPORTRANGE(""https://docs.google.com/spreadsheets/d/11923uPwbBZFjjGgGUA6NLw09EwE0CqkOc4q9oUmW1yo/edit?usp=sharing"",""อุตรดิตถ์!J294"")"),0)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IFERROR(__xludf.DUMMYFUNCTION("IMPORTRANGE(""https://docs.google.com/spreadsheets/d/11923uPwbBZFjjGgGUA6NLw09EwE0CqkOc4q9oUmW1yo/edit?usp=sharing"",""อุตรดิตถ์!J295"")"),0)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IFERROR(__xludf.DUMMYFUNCTION("IMPORTRANGE(""https://docs.google.com/spreadsheets/d/11923uPwbBZFjjGgGUA6NLw09EwE0CqkOc4q9oUmW1yo/edit?usp=sharing"",""อุตรดิตถ์!I296"")"),135)</f>
        <v>135</v>
      </c>
      <c r="J401" s="372">
        <f ca="1">IFERROR(__xludf.DUMMYFUNCTION("IMPORTRANGE(""https://docs.google.com/spreadsheets/d/11923uPwbBZFjjGgGUA6NLw09EwE0CqkOc4q9oUmW1yo/edit?usp=sharing"",""อุตรดิตถ์!J296"")"),135)</f>
        <v>135</v>
      </c>
      <c r="K401" s="373">
        <f t="shared" ref="K401:K402" ca="1" si="111">IF(I401&gt;0,J401*100/I401,0)</f>
        <v>100</v>
      </c>
      <c r="L401" s="374">
        <f ca="1">IFERROR(__xludf.DUMMYFUNCTION("IMPORTRANGE(""https://docs.google.com/spreadsheets/d/11923uPwbBZFjjGgGUA6NLw09EwE0CqkOc4q9oUmW1yo/edit?usp=sharing"",""อุตรดิตถ์!L296"")"),159950)</f>
        <v>159950</v>
      </c>
      <c r="M401" s="374"/>
      <c r="N401" s="374">
        <f ca="1">IFERROR(__xludf.DUMMYFUNCTION("IMPORTRANGE(""https://docs.google.com/spreadsheets/d/11923uPwbBZFjjGgGUA6NLw09EwE0CqkOc4q9oUmW1yo/edit?usp=sharing"",""อุตรดิตถ์!M296"")"),117175)</f>
        <v>117175</v>
      </c>
      <c r="O401" s="374">
        <f ca="1">+IF(L401&gt;0,N401*100/L401,0)</f>
        <v>73.25726789621757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IFERROR(__xludf.DUMMYFUNCTION("IMPORTRANGE(""https://docs.google.com/spreadsheets/d/11923uPwbBZFjjGgGUA6NLw09EwE0CqkOc4q9oUmW1yo/edit?usp=sharing"",""อุตรดิตถ์!I297"")"),45)</f>
        <v>45</v>
      </c>
      <c r="J402" s="372">
        <f ca="1">IFERROR(__xludf.DUMMYFUNCTION("IMPORTRANGE(""https://docs.google.com/spreadsheets/d/11923uPwbBZFjjGgGUA6NLw09EwE0CqkOc4q9oUmW1yo/edit?usp=sharing"",""อุตรดิตถ์!J297"")"),35)</f>
        <v>35</v>
      </c>
      <c r="K402" s="373">
        <f t="shared" ca="1" si="111"/>
        <v>77.777777777777771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IFERROR(__xludf.DUMMYFUNCTION("IMPORTRANGE(""https://docs.google.com/spreadsheets/d/11923uPwbBZFjjGgGUA6NLw09EwE0CqkOc4q9oUmW1yo/edit?usp=sharing"",""อุตรดิตถ์!L298"")"),0)</f>
        <v>0</v>
      </c>
      <c r="M403" s="166"/>
      <c r="N403" s="170">
        <f ca="1">IFERROR(__xludf.DUMMYFUNCTION("IMPORTRANGE(""https://docs.google.com/spreadsheets/d/11923uPwbBZFjjGgGUA6NLw09EwE0CqkOc4q9oUmW1yo/edit?usp=sharing"",""อุตรดิตถ์!M298"")"),0)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IFERROR(__xludf.DUMMYFUNCTION("IMPORTRANGE(""https://docs.google.com/spreadsheets/d/11923uPwbBZFjjGgGUA6NLw09EwE0CqkOc4q9oUmW1yo/edit?usp=sharing"",""อุตรดิตถ์!L299"")"),159950)</f>
        <v>159950</v>
      </c>
      <c r="M404" s="167"/>
      <c r="N404" s="170">
        <f ca="1">IFERROR(__xludf.DUMMYFUNCTION("IMPORTRANGE(""https://docs.google.com/spreadsheets/d/11923uPwbBZFjjGgGUA6NLw09EwE0CqkOc4q9oUmW1yo/edit?usp=sharing"",""อุตรดิตถ์!M299"")"),117175)</f>
        <v>117175</v>
      </c>
      <c r="O404" s="170">
        <f t="shared" ca="1" si="112"/>
        <v>73.25726789621757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IFERROR(__xludf.DUMMYFUNCTION("IMPORTRANGE(""https://docs.google.com/spreadsheets/d/11923uPwbBZFjjGgGUA6NLw09EwE0CqkOc4q9oUmW1yo/edit?usp=sharing"",""อุตรดิตถ์!L300"")"),0)</f>
        <v>0</v>
      </c>
      <c r="M405" s="170"/>
      <c r="N405" s="170">
        <f ca="1">IFERROR(__xludf.DUMMYFUNCTION("IMPORTRANGE(""https://docs.google.com/spreadsheets/d/11923uPwbBZFjjGgGUA6NLw09EwE0CqkOc4q9oUmW1yo/edit?usp=sharing"",""อุตรดิตถ์!M300"")"),0)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IFERROR(__xludf.DUMMYFUNCTION("IMPORTRANGE(""https://docs.google.com/spreadsheets/d/11923uPwbBZFjjGgGUA6NLw09EwE0CqkOc4q9oUmW1yo/edit?usp=sharing"",""อุตรดิตถ์!L301"")"),159950)</f>
        <v>159950</v>
      </c>
      <c r="M406" s="170"/>
      <c r="N406" s="170">
        <f ca="1">IFERROR(__xludf.DUMMYFUNCTION("IMPORTRANGE(""https://docs.google.com/spreadsheets/d/11923uPwbBZFjjGgGUA6NLw09EwE0CqkOc4q9oUmW1yo/edit?usp=sharing"",""อุตรดิตถ์!M301"")"),117175)</f>
        <v>117175</v>
      </c>
      <c r="O406" s="170">
        <f t="shared" ca="1" si="112"/>
        <v>73.25726789621757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IFERROR(__xludf.DUMMYFUNCTION("IMPORTRANGE(""https://docs.google.com/spreadsheets/d/11923uPwbBZFjjGgGUA6NLw09EwE0CqkOc4q9oUmW1yo/edit?usp=sharing"",""อุตรดิตถ์!M302"")"),88756)</f>
        <v>88756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IFERROR(__xludf.DUMMYFUNCTION("IMPORTRANGE(""https://docs.google.com/spreadsheets/d/11923uPwbBZFjjGgGUA6NLw09EwE0CqkOc4q9oUmW1yo/edit?usp=sharing"",""อุตรดิตถ์!M303"")"),20035)</f>
        <v>20035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IFERROR(__xludf.DUMMYFUNCTION("IMPORTRANGE(""https://docs.google.com/spreadsheets/d/11923uPwbBZFjjGgGUA6NLw09EwE0CqkOc4q9oUmW1yo/edit?usp=sharing"",""อุตรดิตถ์!M304"")"),0)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IFERROR(__xludf.DUMMYFUNCTION("IMPORTRANGE(""https://docs.google.com/spreadsheets/d/11923uPwbBZFjjGgGUA6NLw09EwE0CqkOc4q9oUmW1yo/edit?usp=sharing"",""อุตรดิตถ์!M305"")"),8384)</f>
        <v>8384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IFERROR(__xludf.DUMMYFUNCTION("IMPORTRANGE(""https://docs.google.com/spreadsheets/d/11923uPwbBZFjjGgGUA6NLw09EwE0CqkOc4q9oUmW1yo/edit?usp=sharing"",""อุตรดิตถ์!J307"")"),0)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IFERROR(__xludf.DUMMYFUNCTION("IMPORTRANGE(""https://docs.google.com/spreadsheets/d/11923uPwbBZFjjGgGUA6NLw09EwE0CqkOc4q9oUmW1yo/edit?usp=sharing"",""อุตรดิตถ์!J308"")"),1)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IFERROR(__xludf.DUMMYFUNCTION("IMPORTRANGE(""https://docs.google.com/spreadsheets/d/11923uPwbBZFjjGgGUA6NLw09EwE0CqkOc4q9oUmW1yo/edit?usp=sharing"",""อุตรดิตถ์!J309"")"),1)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IFERROR(__xludf.DUMMYFUNCTION("IMPORTRANGE(""https://docs.google.com/spreadsheets/d/11923uPwbBZFjjGgGUA6NLw09EwE0CqkOc4q9oUmW1yo/edit?usp=sharing"",""อุตรดิตถ์!J310"")"),1)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IFERROR(__xludf.DUMMYFUNCTION("IMPORTRANGE(""https://docs.google.com/spreadsheets/d/11923uPwbBZFjjGgGUA6NLw09EwE0CqkOc4q9oUmW1yo/edit?usp=sharing"",""อุตรดิตถ์!I311"")"),45)</f>
        <v>45</v>
      </c>
      <c r="J416" s="202">
        <f ca="1">IFERROR(__xludf.DUMMYFUNCTION("IMPORTRANGE(""https://docs.google.com/spreadsheets/d/11923uPwbBZFjjGgGUA6NLw09EwE0CqkOc4q9oUmW1yo/edit?usp=sharing"",""อุตรดิตถ์!J311"")"),35)</f>
        <v>35</v>
      </c>
      <c r="K416" s="203">
        <f t="shared" ref="K416:K432" ca="1" si="113">IF(I416&gt;0,J416*100/I416,0)</f>
        <v>77.777777777777771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IFERROR(__xludf.DUMMYFUNCTION("IMPORTRANGE(""https://docs.google.com/spreadsheets/d/11923uPwbBZFjjGgGUA6NLw09EwE0CqkOc4q9oUmW1yo/edit?usp=sharing"",""อุตรดิตถ์!I312"")"),10)</f>
        <v>10</v>
      </c>
      <c r="J417" s="393">
        <f ca="1">IFERROR(__xludf.DUMMYFUNCTION("IMPORTRANGE(""https://docs.google.com/spreadsheets/d/11923uPwbBZFjjGgGUA6NLw09EwE0CqkOc4q9oUmW1yo/edit?usp=sharing"",""อุตรดิตถ์!J312"")"),10)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IFERROR(__xludf.DUMMYFUNCTION("IMPORTRANGE(""https://docs.google.com/spreadsheets/d/11923uPwbBZFjjGgGUA6NLw09EwE0CqkOc4q9oUmW1yo/edit?usp=sharing"",""อุตรดิตถ์!I313"")"),30)</f>
        <v>30</v>
      </c>
      <c r="J418" s="394">
        <f ca="1">IFERROR(__xludf.DUMMYFUNCTION("IMPORTRANGE(""https://docs.google.com/spreadsheets/d/11923uPwbBZFjjGgGUA6NLw09EwE0CqkOc4q9oUmW1yo/edit?usp=sharing"",""อุตรดิตถ์!J313"")"),30)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IFERROR(__xludf.DUMMYFUNCTION("IMPORTRANGE(""https://docs.google.com/spreadsheets/d/11923uPwbBZFjjGgGUA6NLw09EwE0CqkOc4q9oUmW1yo/edit?usp=sharing"",""อุตรดิตถ์!I314"")"),10)</f>
        <v>10</v>
      </c>
      <c r="J419" s="395">
        <f ca="1">IFERROR(__xludf.DUMMYFUNCTION("IMPORTRANGE(""https://docs.google.com/spreadsheets/d/11923uPwbBZFjjGgGUA6NLw09EwE0CqkOc4q9oUmW1yo/edit?usp=sharing"",""อุตรดิตถ์!J314"")"),10)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IFERROR(__xludf.DUMMYFUNCTION("IMPORTRANGE(""https://docs.google.com/spreadsheets/d/11923uPwbBZFjjGgGUA6NLw09EwE0CqkOc4q9oUmW1yo/edit?usp=sharing"",""อุตรดิตถ์!I315"")"),10)</f>
        <v>10</v>
      </c>
      <c r="J420" s="395">
        <f ca="1">IFERROR(__xludf.DUMMYFUNCTION("IMPORTRANGE(""https://docs.google.com/spreadsheets/d/11923uPwbBZFjjGgGUA6NLw09EwE0CqkOc4q9oUmW1yo/edit?usp=sharing"",""อุตรดิตถ์!J315"")"),10)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IFERROR(__xludf.DUMMYFUNCTION("IMPORTRANGE(""https://docs.google.com/spreadsheets/d/11923uPwbBZFjjGgGUA6NLw09EwE0CqkOc4q9oUmW1yo/edit?usp=sharing"",""อุตรดิตถ์!I316"")"),25)</f>
        <v>25</v>
      </c>
      <c r="J421" s="393">
        <f ca="1">IFERROR(__xludf.DUMMYFUNCTION("IMPORTRANGE(""https://docs.google.com/spreadsheets/d/11923uPwbBZFjjGgGUA6NLw09EwE0CqkOc4q9oUmW1yo/edit?usp=sharing"",""อุตรดิตถ์!J316"")"),25)</f>
        <v>25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IFERROR(__xludf.DUMMYFUNCTION("IMPORTRANGE(""https://docs.google.com/spreadsheets/d/11923uPwbBZFjjGgGUA6NLw09EwE0CqkOc4q9oUmW1yo/edit?usp=sharing"",""อุตรดิตถ์!I317"")"),75)</f>
        <v>75</v>
      </c>
      <c r="J422" s="394">
        <f ca="1">IFERROR(__xludf.DUMMYFUNCTION("IMPORTRANGE(""https://docs.google.com/spreadsheets/d/11923uPwbBZFjjGgGUA6NLw09EwE0CqkOc4q9oUmW1yo/edit?usp=sharing"",""อุตรดิตถ์!J317"")"),75)</f>
        <v>75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IFERROR(__xludf.DUMMYFUNCTION("IMPORTRANGE(""https://docs.google.com/spreadsheets/d/11923uPwbBZFjjGgGUA6NLw09EwE0CqkOc4q9oUmW1yo/edit?usp=sharing"",""อุตรดิตถ์!I318"")"),25)</f>
        <v>25</v>
      </c>
      <c r="J423" s="395">
        <f ca="1">IFERROR(__xludf.DUMMYFUNCTION("IMPORTRANGE(""https://docs.google.com/spreadsheets/d/11923uPwbBZFjjGgGUA6NLw09EwE0CqkOc4q9oUmW1yo/edit?usp=sharing"",""อุตรดิตถ์!J318"")"),25)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IFERROR(__xludf.DUMMYFUNCTION("IMPORTRANGE(""https://docs.google.com/spreadsheets/d/11923uPwbBZFjjGgGUA6NLw09EwE0CqkOc4q9oUmW1yo/edit?usp=sharing"",""อุตรดิตถ์!I319"")"),25)</f>
        <v>25</v>
      </c>
      <c r="J424" s="395">
        <f ca="1">IFERROR(__xludf.DUMMYFUNCTION("IMPORTRANGE(""https://docs.google.com/spreadsheets/d/11923uPwbBZFjjGgGUA6NLw09EwE0CqkOc4q9oUmW1yo/edit?usp=sharing"",""อุตรดิตถ์!J319"")"),25)</f>
        <v>25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IFERROR(__xludf.DUMMYFUNCTION("IMPORTRANGE(""https://docs.google.com/spreadsheets/d/11923uPwbBZFjjGgGUA6NLw09EwE0CqkOc4q9oUmW1yo/edit?usp=sharing"",""อุตรดิตถ์!I320"")"),25)</f>
        <v>25</v>
      </c>
      <c r="J425" s="395">
        <f ca="1">IFERROR(__xludf.DUMMYFUNCTION("IMPORTRANGE(""https://docs.google.com/spreadsheets/d/11923uPwbBZFjjGgGUA6NLw09EwE0CqkOc4q9oUmW1yo/edit?usp=sharing"",""อุตรดิตถ์!J320"")"),25)</f>
        <v>25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IFERROR(__xludf.DUMMYFUNCTION("IMPORTRANGE(""https://docs.google.com/spreadsheets/d/11923uPwbBZFjjGgGUA6NLw09EwE0CqkOc4q9oUmW1yo/edit?usp=sharing"",""อุตรดิตถ์!I321"")"),10)</f>
        <v>10</v>
      </c>
      <c r="J426" s="393">
        <f ca="1">IFERROR(__xludf.DUMMYFUNCTION("IMPORTRANGE(""https://docs.google.com/spreadsheets/d/11923uPwbBZFjjGgGUA6NLw09EwE0CqkOc4q9oUmW1yo/edit?usp=sharing"",""อุตรดิตถ์!J321"")"),0)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IFERROR(__xludf.DUMMYFUNCTION("IMPORTRANGE(""https://docs.google.com/spreadsheets/d/11923uPwbBZFjjGgGUA6NLw09EwE0CqkOc4q9oUmW1yo/edit?usp=sharing"",""อุตรดิตถ์!I322"")"),30)</f>
        <v>30</v>
      </c>
      <c r="J427" s="394">
        <f ca="1">IFERROR(__xludf.DUMMYFUNCTION("IMPORTRANGE(""https://docs.google.com/spreadsheets/d/11923uPwbBZFjjGgGUA6NLw09EwE0CqkOc4q9oUmW1yo/edit?usp=sharing"",""อุตรดิตถ์!J322"")"),30)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IFERROR(__xludf.DUMMYFUNCTION("IMPORTRANGE(""https://docs.google.com/spreadsheets/d/11923uPwbBZFjjGgGUA6NLw09EwE0CqkOc4q9oUmW1yo/edit?usp=sharing"",""อุตรดิตถ์!I323"")"),10)</f>
        <v>10</v>
      </c>
      <c r="J428" s="395">
        <f ca="1">IFERROR(__xludf.DUMMYFUNCTION("IMPORTRANGE(""https://docs.google.com/spreadsheets/d/11923uPwbBZFjjGgGUA6NLw09EwE0CqkOc4q9oUmW1yo/edit?usp=sharing"",""อุตรดิตถ์!J323"")"),10)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IFERROR(__xludf.DUMMYFUNCTION("IMPORTRANGE(""https://docs.google.com/spreadsheets/d/11923uPwbBZFjjGgGUA6NLw09EwE0CqkOc4q9oUmW1yo/edit?usp=sharing"",""อุตรดิตถ์!I324"")"),10)</f>
        <v>10</v>
      </c>
      <c r="J429" s="395">
        <f ca="1">IFERROR(__xludf.DUMMYFUNCTION("IMPORTRANGE(""https://docs.google.com/spreadsheets/d/11923uPwbBZFjjGgGUA6NLw09EwE0CqkOc4q9oUmW1yo/edit?usp=sharing"",""อุตรดิตถ์!J324"")"),0)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IFERROR(__xludf.DUMMYFUNCTION("IMPORTRANGE(""https://docs.google.com/spreadsheets/d/11923uPwbBZFjjGgGUA6NLw09EwE0CqkOc4q9oUmW1yo/edit?usp=sharing"",""อุตรดิตถ์!I325"")"),35)</f>
        <v>35</v>
      </c>
      <c r="J430" s="393">
        <f ca="1">IFERROR(__xludf.DUMMYFUNCTION("IMPORTRANGE(""https://docs.google.com/spreadsheets/d/11923uPwbBZFjjGgGUA6NLw09EwE0CqkOc4q9oUmW1yo/edit?usp=sharing"",""อุตรดิตถ์!J325"")"),21)</f>
        <v>21</v>
      </c>
      <c r="K430" s="203">
        <f t="shared" ca="1" si="113"/>
        <v>60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IFERROR(__xludf.DUMMYFUNCTION("IMPORTRANGE(""https://docs.google.com/spreadsheets/d/11923uPwbBZFjjGgGUA6NLw09EwE0CqkOc4q9oUmW1yo/edit?usp=sharing"",""อุตรดิตถ์!I326"")"),10)</f>
        <v>10</v>
      </c>
      <c r="J431" s="395">
        <f ca="1">IFERROR(__xludf.DUMMYFUNCTION("IMPORTRANGE(""https://docs.google.com/spreadsheets/d/11923uPwbBZFjjGgGUA6NLw09EwE0CqkOc4q9oUmW1yo/edit?usp=sharing"",""อุตรดิตถ์!J326"")"),10)</f>
        <v>10</v>
      </c>
      <c r="K431" s="165">
        <f t="shared" ca="1" si="113"/>
        <v>100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IFERROR(__xludf.DUMMYFUNCTION("IMPORTRANGE(""https://docs.google.com/spreadsheets/d/11923uPwbBZFjjGgGUA6NLw09EwE0CqkOc4q9oUmW1yo/edit?usp=sharing"",""อุตรดิตถ์!I327"")"),25)</f>
        <v>25</v>
      </c>
      <c r="J432" s="395">
        <f ca="1">IFERROR(__xludf.DUMMYFUNCTION("IMPORTRANGE(""https://docs.google.com/spreadsheets/d/11923uPwbBZFjjGgGUA6NLw09EwE0CqkOc4q9oUmW1yo/edit?usp=sharing"",""อุตรดิตถ์!J327"")"),11)</f>
        <v>11</v>
      </c>
      <c r="K432" s="165">
        <f t="shared" ca="1" si="113"/>
        <v>44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IFERROR(__xludf.DUMMYFUNCTION("IMPORTRANGE(""https://docs.google.com/spreadsheets/d/11923uPwbBZFjjGgGUA6NLw09EwE0CqkOc4q9oUmW1yo/edit?usp=sharing"",""อุตรดิตถ์!J328"")"),0)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IFERROR(__xludf.DUMMYFUNCTION("IMPORTRANGE(""https://docs.google.com/spreadsheets/d/11923uPwbBZFjjGgGUA6NLw09EwE0CqkOc4q9oUmW1yo/edit?usp=sharing"",""อุตรดิตถ์!J329"")"),0)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IFERROR(__xludf.DUMMYFUNCTION("IMPORTRANGE(""https://docs.google.com/spreadsheets/d/11923uPwbBZFjjGgGUA6NLw09EwE0CqkOc4q9oUmW1yo/edit?usp=sharing"",""อุตรดิตถ์!I330"")"),20)</f>
        <v>20</v>
      </c>
      <c r="J435" s="411">
        <f ca="1">IFERROR(__xludf.DUMMYFUNCTION("IMPORTRANGE(""https://docs.google.com/spreadsheets/d/11923uPwbBZFjjGgGUA6NLw09EwE0CqkOc4q9oUmW1yo/edit?usp=sharing"",""อุตรดิตถ์!J330"")"),20)</f>
        <v>20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IFERROR(__xludf.DUMMYFUNCTION("IMPORTRANGE(""https://docs.google.com/spreadsheets/d/11923uPwbBZFjjGgGUA6NLw09EwE0CqkOc4q9oUmW1yo/edit?usp=sharing"",""อุตรดิตถ์!L330"")"),100000)</f>
        <v>100000</v>
      </c>
      <c r="M435" s="413"/>
      <c r="N435" s="413">
        <f ca="1">IFERROR(__xludf.DUMMYFUNCTION("IMPORTRANGE(""https://docs.google.com/spreadsheets/d/11923uPwbBZFjjGgGUA6NLw09EwE0CqkOc4q9oUmW1yo/edit?usp=sharing"",""อุตรดิตถ์!M330"")"),51995)</f>
        <v>51995</v>
      </c>
      <c r="O435" s="413">
        <f t="shared" ref="O435:O439" ca="1" si="114">+IF(L435&gt;0,N435*100/L435,0)</f>
        <v>51.994999999999997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IFERROR(__xludf.DUMMYFUNCTION("IMPORTRANGE(""https://docs.google.com/spreadsheets/d/11923uPwbBZFjjGgGUA6NLw09EwE0CqkOc4q9oUmW1yo/edit?usp=sharing"",""อุตรดิตถ์!L331"")"),0)</f>
        <v>0</v>
      </c>
      <c r="M436" s="166"/>
      <c r="N436" s="170">
        <f ca="1">IFERROR(__xludf.DUMMYFUNCTION("IMPORTRANGE(""https://docs.google.com/spreadsheets/d/11923uPwbBZFjjGgGUA6NLw09EwE0CqkOc4q9oUmW1yo/edit?usp=sharing"",""อุตรดิตถ์!M331"")"),0)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IFERROR(__xludf.DUMMYFUNCTION("IMPORTRANGE(""https://docs.google.com/spreadsheets/d/11923uPwbBZFjjGgGUA6NLw09EwE0CqkOc4q9oUmW1yo/edit?usp=sharing"",""อุตรดิตถ์!L332"")"),100000)</f>
        <v>100000</v>
      </c>
      <c r="M437" s="167"/>
      <c r="N437" s="170">
        <f ca="1">IFERROR(__xludf.DUMMYFUNCTION("IMPORTRANGE(""https://docs.google.com/spreadsheets/d/11923uPwbBZFjjGgGUA6NLw09EwE0CqkOc4q9oUmW1yo/edit?usp=sharing"",""อุตรดิตถ์!M332"")"),51995)</f>
        <v>51995</v>
      </c>
      <c r="O437" s="170">
        <f t="shared" ca="1" si="114"/>
        <v>51.994999999999997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IFERROR(__xludf.DUMMYFUNCTION("IMPORTRANGE(""https://docs.google.com/spreadsheets/d/11923uPwbBZFjjGgGUA6NLw09EwE0CqkOc4q9oUmW1yo/edit?usp=sharing"",""อุตรดิตถ์!L333"")"),0)</f>
        <v>0</v>
      </c>
      <c r="M438" s="170"/>
      <c r="N438" s="170">
        <f ca="1">IFERROR(__xludf.DUMMYFUNCTION("IMPORTRANGE(""https://docs.google.com/spreadsheets/d/11923uPwbBZFjjGgGUA6NLw09EwE0CqkOc4q9oUmW1yo/edit?usp=sharing"",""อุตรดิตถ์!M333"")"),0)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IFERROR(__xludf.DUMMYFUNCTION("IMPORTRANGE(""https://docs.google.com/spreadsheets/d/11923uPwbBZFjjGgGUA6NLw09EwE0CqkOc4q9oUmW1yo/edit?usp=sharing"",""อุตรดิตถ์!L334"")"),100000)</f>
        <v>100000</v>
      </c>
      <c r="M439" s="170"/>
      <c r="N439" s="170">
        <f ca="1">IFERROR(__xludf.DUMMYFUNCTION("IMPORTRANGE(""https://docs.google.com/spreadsheets/d/11923uPwbBZFjjGgGUA6NLw09EwE0CqkOc4q9oUmW1yo/edit?usp=sharing"",""อุตรดิตถ์!M334"")"),51995)</f>
        <v>51995</v>
      </c>
      <c r="O439" s="170">
        <f t="shared" ca="1" si="114"/>
        <v>51.994999999999997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IFERROR(__xludf.DUMMYFUNCTION("IMPORTRANGE(""https://docs.google.com/spreadsheets/d/11923uPwbBZFjjGgGUA6NLw09EwE0CqkOc4q9oUmW1yo/edit?usp=sharing"",""อุตรดิตถ์!M335"")"),30176)</f>
        <v>30176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IFERROR(__xludf.DUMMYFUNCTION("IMPORTRANGE(""https://docs.google.com/spreadsheets/d/11923uPwbBZFjjGgGUA6NLw09EwE0CqkOc4q9oUmW1yo/edit?usp=sharing"",""อุตรดิตถ์!M336"")"),0)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IFERROR(__xludf.DUMMYFUNCTION("IMPORTRANGE(""https://docs.google.com/spreadsheets/d/11923uPwbBZFjjGgGUA6NLw09EwE0CqkOc4q9oUmW1yo/edit?usp=sharing"",""อุตรดิตถ์!M337"")"),0)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IFERROR(__xludf.DUMMYFUNCTION("IMPORTRANGE(""https://docs.google.com/spreadsheets/d/11923uPwbBZFjjGgGUA6NLw09EwE0CqkOc4q9oUmW1yo/edit?usp=sharing"",""อุตรดิตถ์!M338"")"),21819)</f>
        <v>21819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IFERROR(__xludf.DUMMYFUNCTION("IMPORTRANGE(""https://docs.google.com/spreadsheets/d/11923uPwbBZFjjGgGUA6NLw09EwE0CqkOc4q9oUmW1yo/edit?usp=sharing"",""อุตรดิตถ์!J340"")"),0)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IFERROR(__xludf.DUMMYFUNCTION("IMPORTRANGE(""https://docs.google.com/spreadsheets/d/11923uPwbBZFjjGgGUA6NLw09EwE0CqkOc4q9oUmW1yo/edit?usp=sharing"",""อุตรดิตถ์!J341"")"),1)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IFERROR(__xludf.DUMMYFUNCTION("IMPORTRANGE(""https://docs.google.com/spreadsheets/d/11923uPwbBZFjjGgGUA6NLw09EwE0CqkOc4q9oUmW1yo/edit?usp=sharing"",""อุตรดิตถ์!J342"")"),1)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IFERROR(__xludf.DUMMYFUNCTION("IMPORTRANGE(""https://docs.google.com/spreadsheets/d/11923uPwbBZFjjGgGUA6NLw09EwE0CqkOc4q9oUmW1yo/edit?usp=sharing"",""อุตรดิตถ์!J343"")"),1)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IFERROR(__xludf.DUMMYFUNCTION("IMPORTRANGE(""https://docs.google.com/spreadsheets/d/11923uPwbBZFjjGgGUA6NLw09EwE0CqkOc4q9oUmW1yo/edit?usp=sharing"",""อุตรดิตถ์!I344"")"),20)</f>
        <v>20</v>
      </c>
      <c r="J449" s="202">
        <f ca="1">IFERROR(__xludf.DUMMYFUNCTION("IMPORTRANGE(""https://docs.google.com/spreadsheets/d/11923uPwbBZFjjGgGUA6NLw09EwE0CqkOc4q9oUmW1yo/edit?usp=sharing"",""อุตรดิตถ์!J344"")"),20)</f>
        <v>20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IFERROR(__xludf.DUMMYFUNCTION("IMPORTRANGE(""https://docs.google.com/spreadsheets/d/11923uPwbBZFjjGgGUA6NLw09EwE0CqkOc4q9oUmW1yo/edit?usp=sharing"",""อุตรดิตถ์!I345"")"),20)</f>
        <v>20</v>
      </c>
      <c r="J450" s="190">
        <f ca="1">IFERROR(__xludf.DUMMYFUNCTION("IMPORTRANGE(""https://docs.google.com/spreadsheets/d/11923uPwbBZFjjGgGUA6NLw09EwE0CqkOc4q9oUmW1yo/edit?usp=sharing"",""อุตรดิตถ์!J345"")"),20)</f>
        <v>20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IFERROR(__xludf.DUMMYFUNCTION("IMPORTRANGE(""https://docs.google.com/spreadsheets/d/11923uPwbBZFjjGgGUA6NLw09EwE0CqkOc4q9oUmW1yo/edit?usp=sharing"",""อุตรดิตถ์!I346"")"),0)</f>
        <v>0</v>
      </c>
      <c r="J451" s="189">
        <f ca="1">IFERROR(__xludf.DUMMYFUNCTION("IMPORTRANGE(""https://docs.google.com/spreadsheets/d/11923uPwbBZFjjGgGUA6NLw09EwE0CqkOc4q9oUmW1yo/edit?usp=sharing"",""อุตรดิตถ์!J346"")"),0)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hidden="1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IFERROR(__xludf.DUMMYFUNCTION("IMPORTRANGE(""https://docs.google.com/spreadsheets/d/11923uPwbBZFjjGgGUA6NLw09EwE0CqkOc4q9oUmW1yo/edit?usp=sharing"",""อุตรดิตถ์!I347"")"),0)</f>
        <v>0</v>
      </c>
      <c r="J452" s="189">
        <f ca="1">IFERROR(__xludf.DUMMYFUNCTION("IMPORTRANGE(""https://docs.google.com/spreadsheets/d/11923uPwbBZFjjGgGUA6NLw09EwE0CqkOc4q9oUmW1yo/edit?usp=sharing"",""อุตรดิตถ์!J347"")"),0)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IFERROR(__xludf.DUMMYFUNCTION("IMPORTRANGE(""https://docs.google.com/spreadsheets/d/11923uPwbBZFjjGgGUA6NLw09EwE0CqkOc4q9oUmW1yo/edit?usp=sharing"",""อุตรดิตถ์!J348"")"),0)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IFERROR(__xludf.DUMMYFUNCTION("IMPORTRANGE(""https://docs.google.com/spreadsheets/d/11923uPwbBZFjjGgGUA6NLw09EwE0CqkOc4q9oUmW1yo/edit?usp=sharing"",""อุตรดิตถ์!J349"")"),0)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IFERROR(__xludf.DUMMYFUNCTION("IMPORTRANGE(""https://docs.google.com/spreadsheets/d/11923uPwbBZFjjGgGUA6NLw09EwE0CqkOc4q9oUmW1yo/edit?usp=sharing"",""อุตรดิตถ์!I350"")"),27138)</f>
        <v>27138</v>
      </c>
      <c r="J455" s="372">
        <f ca="1">IFERROR(__xludf.DUMMYFUNCTION("IMPORTRANGE(""https://docs.google.com/spreadsheets/d/11923uPwbBZFjjGgGUA6NLw09EwE0CqkOc4q9oUmW1yo/edit?usp=sharing"",""อุตรดิตถ์!J350"")"),0)</f>
        <v>0</v>
      </c>
      <c r="K455" s="373">
        <f ca="1">IF(I455&gt;0,J455*100/I455,0)</f>
        <v>0</v>
      </c>
      <c r="L455" s="374">
        <f ca="1">IFERROR(__xludf.DUMMYFUNCTION("IMPORTRANGE(""https://docs.google.com/spreadsheets/d/11923uPwbBZFjjGgGUA6NLw09EwE0CqkOc4q9oUmW1yo/edit?usp=sharing"",""อุตรดิตถ์!L350"")"),190727)</f>
        <v>190727</v>
      </c>
      <c r="M455" s="374"/>
      <c r="N455" s="374">
        <f ca="1">IFERROR(__xludf.DUMMYFUNCTION("IMPORTRANGE(""https://docs.google.com/spreadsheets/d/11923uPwbBZFjjGgGUA6NLw09EwE0CqkOc4q9oUmW1yo/edit?usp=sharing"",""อุตรดิตถ์!M350"")"),46886.5)</f>
        <v>46886.5</v>
      </c>
      <c r="O455" s="374">
        <f t="shared" ref="O455:O459" ca="1" si="116">+IF(L455&gt;0,N455*100/L455,0)</f>
        <v>24.583042778421515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IFERROR(__xludf.DUMMYFUNCTION("IMPORTRANGE(""https://docs.google.com/spreadsheets/d/11923uPwbBZFjjGgGUA6NLw09EwE0CqkOc4q9oUmW1yo/edit?usp=sharing"",""อุตรดิตถ์!L351"")"),0)</f>
        <v>0</v>
      </c>
      <c r="M456" s="166"/>
      <c r="N456" s="170">
        <f ca="1">IFERROR(__xludf.DUMMYFUNCTION("IMPORTRANGE(""https://docs.google.com/spreadsheets/d/11923uPwbBZFjjGgGUA6NLw09EwE0CqkOc4q9oUmW1yo/edit?usp=sharing"",""อุตรดิตถ์!M351"")"),0)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IFERROR(__xludf.DUMMYFUNCTION("IMPORTRANGE(""https://docs.google.com/spreadsheets/d/11923uPwbBZFjjGgGUA6NLw09EwE0CqkOc4q9oUmW1yo/edit?usp=sharing"",""อุตรดิตถ์!L352"")"),190727)</f>
        <v>190727</v>
      </c>
      <c r="M457" s="167"/>
      <c r="N457" s="170">
        <f ca="1">IFERROR(__xludf.DUMMYFUNCTION("IMPORTRANGE(""https://docs.google.com/spreadsheets/d/11923uPwbBZFjjGgGUA6NLw09EwE0CqkOc4q9oUmW1yo/edit?usp=sharing"",""อุตรดิตถ์!M352"")"),46886.5)</f>
        <v>46886.5</v>
      </c>
      <c r="O457" s="170">
        <f t="shared" ca="1" si="116"/>
        <v>24.583042778421515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IFERROR(__xludf.DUMMYFUNCTION("IMPORTRANGE(""https://docs.google.com/spreadsheets/d/11923uPwbBZFjjGgGUA6NLw09EwE0CqkOc4q9oUmW1yo/edit?usp=sharing"",""อุตรดิตถ์!L353"")"),0)</f>
        <v>0</v>
      </c>
      <c r="M458" s="170"/>
      <c r="N458" s="170">
        <f ca="1">IFERROR(__xludf.DUMMYFUNCTION("IMPORTRANGE(""https://docs.google.com/spreadsheets/d/11923uPwbBZFjjGgGUA6NLw09EwE0CqkOc4q9oUmW1yo/edit?usp=sharing"",""อุตรดิตถ์!M353"")"),0)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IFERROR(__xludf.DUMMYFUNCTION("IMPORTRANGE(""https://docs.google.com/spreadsheets/d/11923uPwbBZFjjGgGUA6NLw09EwE0CqkOc4q9oUmW1yo/edit?usp=sharing"",""อุตรดิตถ์!L354"")"),190727)</f>
        <v>190727</v>
      </c>
      <c r="M459" s="170"/>
      <c r="N459" s="170">
        <f ca="1">IFERROR(__xludf.DUMMYFUNCTION("IMPORTRANGE(""https://docs.google.com/spreadsheets/d/11923uPwbBZFjjGgGUA6NLw09EwE0CqkOc4q9oUmW1yo/edit?usp=sharing"",""อุตรดิตถ์!M354"")"),46886.5)</f>
        <v>46886.5</v>
      </c>
      <c r="O459" s="170">
        <f t="shared" ca="1" si="116"/>
        <v>24.583042778421515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IFERROR(__xludf.DUMMYFUNCTION("IMPORTRANGE(""https://docs.google.com/spreadsheets/d/11923uPwbBZFjjGgGUA6NLw09EwE0CqkOc4q9oUmW1yo/edit?usp=sharing"",""อุตรดิตถ์!M355"")"),0)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IFERROR(__xludf.DUMMYFUNCTION("IMPORTRANGE(""https://docs.google.com/spreadsheets/d/11923uPwbBZFjjGgGUA6NLw09EwE0CqkOc4q9oUmW1yo/edit?usp=sharing"",""อุตรดิตถ์!M356"")"),0)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IFERROR(__xludf.DUMMYFUNCTION("IMPORTRANGE(""https://docs.google.com/spreadsheets/d/11923uPwbBZFjjGgGUA6NLw09EwE0CqkOc4q9oUmW1yo/edit?usp=sharing"",""อุตรดิตถ์!M357"")"),0)</f>
        <v>0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IFERROR(__xludf.DUMMYFUNCTION("IMPORTRANGE(""https://docs.google.com/spreadsheets/d/11923uPwbBZFjjGgGUA6NLw09EwE0CqkOc4q9oUmW1yo/edit?usp=sharing"",""อุตรดิตถ์!M358"")"),46886.5)</f>
        <v>46886.5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IFERROR(__xludf.DUMMYFUNCTION("IMPORTRANGE(""https://docs.google.com/spreadsheets/d/11923uPwbBZFjjGgGUA6NLw09EwE0CqkOc4q9oUmW1yo/edit?usp=sharing"",""อุตรดิตถ์!I359"")"),27138)</f>
        <v>27138</v>
      </c>
      <c r="J464" s="268">
        <f ca="1">IFERROR(__xludf.DUMMYFUNCTION("IMPORTRANGE(""https://docs.google.com/spreadsheets/d/11923uPwbBZFjjGgGUA6NLw09EwE0CqkOc4q9oUmW1yo/edit?usp=sharing"",""อุตรดิตถ์!J359"")"),0)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IFERROR(__xludf.DUMMYFUNCTION("IMPORTRANGE(""https://docs.google.com/spreadsheets/d/11923uPwbBZFjjGgGUA6NLw09EwE0CqkOc4q9oUmW1yo/edit?usp=sharing"",""อุตรดิตถ์!I360"")"),27138)</f>
        <v>27138</v>
      </c>
      <c r="J465" s="422">
        <f ca="1">IFERROR(__xludf.DUMMYFUNCTION("IMPORTRANGE(""https://docs.google.com/spreadsheets/d/11923uPwbBZFjjGgGUA6NLw09EwE0CqkOc4q9oUmW1yo/edit?usp=sharing"",""อุตรดิตถ์!J360"")"),27156.34)</f>
        <v>27156.34</v>
      </c>
      <c r="K465" s="203">
        <f t="shared" ca="1" si="117"/>
        <v>100.06758051440784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IFERROR(__xludf.DUMMYFUNCTION("IMPORTRANGE(""https://docs.google.com/spreadsheets/d/11923uPwbBZFjjGgGUA6NLw09EwE0CqkOc4q9oUmW1yo/edit?usp=sharing"",""อุตรดิตถ์!I361"")"),2764)</f>
        <v>2764</v>
      </c>
      <c r="J466" s="422">
        <f ca="1">IFERROR(__xludf.DUMMYFUNCTION("IMPORTRANGE(""https://docs.google.com/spreadsheets/d/11923uPwbBZFjjGgGUA6NLw09EwE0CqkOc4q9oUmW1yo/edit?usp=sharing"",""อุตรดิตถ์!J361"")"),2764)</f>
        <v>2764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IFERROR(__xludf.DUMMYFUNCTION("IMPORTRANGE(""https://docs.google.com/spreadsheets/d/11923uPwbBZFjjGgGUA6NLw09EwE0CqkOc4q9oUmW1yo/edit?usp=sharing"",""อุตรดิตถ์!I362"")"),0)</f>
        <v>0</v>
      </c>
      <c r="J467" s="190">
        <f ca="1">IFERROR(__xludf.DUMMYFUNCTION("IMPORTRANGE(""https://docs.google.com/spreadsheets/d/11923uPwbBZFjjGgGUA6NLw09EwE0CqkOc4q9oUmW1yo/edit?usp=sharing"",""อุตรดิตถ์!J362"")"),25214)</f>
        <v>25214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IFERROR(__xludf.DUMMYFUNCTION("IMPORTRANGE(""https://docs.google.com/spreadsheets/d/11923uPwbBZFjjGgGUA6NLw09EwE0CqkOc4q9oUmW1yo/edit?usp=sharing"",""อุตรดิตถ์!I363"")"),0)</f>
        <v>0</v>
      </c>
      <c r="J468" s="190">
        <f ca="1">IFERROR(__xludf.DUMMYFUNCTION("IMPORTRANGE(""https://docs.google.com/spreadsheets/d/11923uPwbBZFjjGgGUA6NLw09EwE0CqkOc4q9oUmW1yo/edit?usp=sharing"",""อุตรดิตถ์!J363"")"),2565)</f>
        <v>2565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IFERROR(__xludf.DUMMYFUNCTION("IMPORTRANGE(""https://docs.google.com/spreadsheets/d/11923uPwbBZFjjGgGUA6NLw09EwE0CqkOc4q9oUmW1yo/edit?usp=sharing"",""อุตรดิตถ์!I364"")"),0)</f>
        <v>0</v>
      </c>
      <c r="J469" s="190">
        <f ca="1">IFERROR(__xludf.DUMMYFUNCTION("IMPORTRANGE(""https://docs.google.com/spreadsheets/d/11923uPwbBZFjjGgGUA6NLw09EwE0CqkOc4q9oUmW1yo/edit?usp=sharing"",""อุตรดิตถ์!J364"")"),1492.34)</f>
        <v>1492.34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IFERROR(__xludf.DUMMYFUNCTION("IMPORTRANGE(""https://docs.google.com/spreadsheets/d/11923uPwbBZFjjGgGUA6NLw09EwE0CqkOc4q9oUmW1yo/edit?usp=sharing"",""อุตรดิตถ์!I365"")"),0)</f>
        <v>0</v>
      </c>
      <c r="J470" s="190">
        <f ca="1">IFERROR(__xludf.DUMMYFUNCTION("IMPORTRANGE(""https://docs.google.com/spreadsheets/d/11923uPwbBZFjjGgGUA6NLw09EwE0CqkOc4q9oUmW1yo/edit?usp=sharing"",""อุตรดิตถ์!J365"")"),151)</f>
        <v>151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IFERROR(__xludf.DUMMYFUNCTION("IMPORTRANGE(""https://docs.google.com/spreadsheets/d/11923uPwbBZFjjGgGUA6NLw09EwE0CqkOc4q9oUmW1yo/edit?usp=sharing"",""อุตรดิตถ์!I366"")"),0)</f>
        <v>0</v>
      </c>
      <c r="J471" s="190">
        <f ca="1">IFERROR(__xludf.DUMMYFUNCTION("IMPORTRANGE(""https://docs.google.com/spreadsheets/d/11923uPwbBZFjjGgGUA6NLw09EwE0CqkOc4q9oUmW1yo/edit?usp=sharing"",""อุตรดิตถ์!J366"")"),450)</f>
        <v>450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IFERROR(__xludf.DUMMYFUNCTION("IMPORTRANGE(""https://docs.google.com/spreadsheets/d/11923uPwbBZFjjGgGUA6NLw09EwE0CqkOc4q9oUmW1yo/edit?usp=sharing"",""อุตรดิตถ์!I367"")"),0)</f>
        <v>0</v>
      </c>
      <c r="J472" s="190">
        <f ca="1">IFERROR(__xludf.DUMMYFUNCTION("IMPORTRANGE(""https://docs.google.com/spreadsheets/d/11923uPwbBZFjjGgGUA6NLw09EwE0CqkOc4q9oUmW1yo/edit?usp=sharing"",""อุตรดิตถ์!J367"")"),48)</f>
        <v>48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IFERROR(__xludf.DUMMYFUNCTION("IMPORTRANGE(""https://docs.google.com/spreadsheets/d/11923uPwbBZFjjGgGUA6NLw09EwE0CqkOc4q9oUmW1yo/edit?usp=sharing"",""อุตรดิตถ์!I368"")"),27138)</f>
        <v>27138</v>
      </c>
      <c r="J473" s="422">
        <f ca="1">IFERROR(__xludf.DUMMYFUNCTION("IMPORTRANGE(""https://docs.google.com/spreadsheets/d/11923uPwbBZFjjGgGUA6NLw09EwE0CqkOc4q9oUmW1yo/edit?usp=sharing"",""อุตรดิตถ์!J368"")"),27142.65)</f>
        <v>27142.65</v>
      </c>
      <c r="K473" s="203">
        <f t="shared" ca="1" si="117"/>
        <v>100.01713464514702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IFERROR(__xludf.DUMMYFUNCTION("IMPORTRANGE(""https://docs.google.com/spreadsheets/d/11923uPwbBZFjjGgGUA6NLw09EwE0CqkOc4q9oUmW1yo/edit?usp=sharing"",""อุตรดิตถ์!I369"")"),2764)</f>
        <v>2764</v>
      </c>
      <c r="J474" s="422">
        <f ca="1">IFERROR(__xludf.DUMMYFUNCTION("IMPORTRANGE(""https://docs.google.com/spreadsheets/d/11923uPwbBZFjjGgGUA6NLw09EwE0CqkOc4q9oUmW1yo/edit?usp=sharing"",""อุตรดิตถ์!J369"")"),2765)</f>
        <v>2765</v>
      </c>
      <c r="K474" s="165">
        <f t="shared" ca="1" si="117"/>
        <v>100.03617945007235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IFERROR(__xludf.DUMMYFUNCTION("IMPORTRANGE(""https://docs.google.com/spreadsheets/d/11923uPwbBZFjjGgGUA6NLw09EwE0CqkOc4q9oUmW1yo/edit?usp=sharing"",""อุตรดิตถ์!I370"")"),0)</f>
        <v>0</v>
      </c>
      <c r="J475" s="190">
        <f ca="1">IFERROR(__xludf.DUMMYFUNCTION("IMPORTRANGE(""https://docs.google.com/spreadsheets/d/11923uPwbBZFjjGgGUA6NLw09EwE0CqkOc4q9oUmW1yo/edit?usp=sharing"",""อุตรดิตถ์!J370"")"),25677.4)</f>
        <v>25677.4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IFERROR(__xludf.DUMMYFUNCTION("IMPORTRANGE(""https://docs.google.com/spreadsheets/d/11923uPwbBZFjjGgGUA6NLw09EwE0CqkOc4q9oUmW1yo/edit?usp=sharing"",""อุตรดิตถ์!I371"")"),0)</f>
        <v>0</v>
      </c>
      <c r="J476" s="190">
        <f ca="1">IFERROR(__xludf.DUMMYFUNCTION("IMPORTRANGE(""https://docs.google.com/spreadsheets/d/11923uPwbBZFjjGgGUA6NLw09EwE0CqkOc4q9oUmW1yo/edit?usp=sharing"",""อุตรดิตถ์!J371"")"),2618)</f>
        <v>2618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IFERROR(__xludf.DUMMYFUNCTION("IMPORTRANGE(""https://docs.google.com/spreadsheets/d/11923uPwbBZFjjGgGUA6NLw09EwE0CqkOc4q9oUmW1yo/edit?usp=sharing"",""อุตรดิตถ์!I372"")"),0)</f>
        <v>0</v>
      </c>
      <c r="J477" s="190">
        <f ca="1">IFERROR(__xludf.DUMMYFUNCTION("IMPORTRANGE(""https://docs.google.com/spreadsheets/d/11923uPwbBZFjjGgGUA6NLw09EwE0CqkOc4q9oUmW1yo/edit?usp=sharing"",""อุตรดิตถ์!J372"")"),994.25)</f>
        <v>994.25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IFERROR(__xludf.DUMMYFUNCTION("IMPORTRANGE(""https://docs.google.com/spreadsheets/d/11923uPwbBZFjjGgGUA6NLw09EwE0CqkOc4q9oUmW1yo/edit?usp=sharing"",""อุตรดิตถ์!I373"")"),0)</f>
        <v>0</v>
      </c>
      <c r="J478" s="190">
        <f ca="1">IFERROR(__xludf.DUMMYFUNCTION("IMPORTRANGE(""https://docs.google.com/spreadsheets/d/11923uPwbBZFjjGgGUA6NLw09EwE0CqkOc4q9oUmW1yo/edit?usp=sharing"",""อุตรดิตถ์!J373"")"),94)</f>
        <v>94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IFERROR(__xludf.DUMMYFUNCTION("IMPORTRANGE(""https://docs.google.com/spreadsheets/d/11923uPwbBZFjjGgGUA6NLw09EwE0CqkOc4q9oUmW1yo/edit?usp=sharing"",""อุตรดิตถ์!I374"")"),0)</f>
        <v>0</v>
      </c>
      <c r="J479" s="190">
        <f ca="1">IFERROR(__xludf.DUMMYFUNCTION("IMPORTRANGE(""https://docs.google.com/spreadsheets/d/11923uPwbBZFjjGgGUA6NLw09EwE0CqkOc4q9oUmW1yo/edit?usp=sharing"",""อุตรดิตถ์!J374"")"),471)</f>
        <v>471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IFERROR(__xludf.DUMMYFUNCTION("IMPORTRANGE(""https://docs.google.com/spreadsheets/d/11923uPwbBZFjjGgGUA6NLw09EwE0CqkOc4q9oUmW1yo/edit?usp=sharing"",""อุตรดิตถ์!I375"")"),0)</f>
        <v>0</v>
      </c>
      <c r="J480" s="190">
        <f ca="1">IFERROR(__xludf.DUMMYFUNCTION("IMPORTRANGE(""https://docs.google.com/spreadsheets/d/11923uPwbBZFjjGgGUA6NLw09EwE0CqkOc4q9oUmW1yo/edit?usp=sharing"",""อุตรดิตถ์!J375"")"),53)</f>
        <v>53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IFERROR(__xludf.DUMMYFUNCTION("IMPORTRANGE(""https://docs.google.com/spreadsheets/d/11923uPwbBZFjjGgGUA6NLw09EwE0CqkOc4q9oUmW1yo/edit?usp=sharing"",""อุตรดิตถ์!I376"")"),27138)</f>
        <v>27138</v>
      </c>
      <c r="J481" s="422">
        <f ca="1">IFERROR(__xludf.DUMMYFUNCTION("IMPORTRANGE(""https://docs.google.com/spreadsheets/d/11923uPwbBZFjjGgGUA6NLw09EwE0CqkOc4q9oUmW1yo/edit?usp=sharing"",""อุตรดิตถ์!J376"")"),0)</f>
        <v>0</v>
      </c>
      <c r="K481" s="203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IFERROR(__xludf.DUMMYFUNCTION("IMPORTRANGE(""https://docs.google.com/spreadsheets/d/11923uPwbBZFjjGgGUA6NLw09EwE0CqkOc4q9oUmW1yo/edit?usp=sharing"",""อุตรดิตถ์!I377"")"),2764)</f>
        <v>2764</v>
      </c>
      <c r="J482" s="422">
        <f ca="1">IFERROR(__xludf.DUMMYFUNCTION("IMPORTRANGE(""https://docs.google.com/spreadsheets/d/11923uPwbBZFjjGgGUA6NLw09EwE0CqkOc4q9oUmW1yo/edit?usp=sharing"",""อุตรดิตถ์!J377"")"),0)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IFERROR(__xludf.DUMMYFUNCTION("IMPORTRANGE(""https://docs.google.com/spreadsheets/d/11923uPwbBZFjjGgGUA6NLw09EwE0CqkOc4q9oUmW1yo/edit?usp=sharing"",""อุตรดิตถ์!I378"")"),0)</f>
        <v>0</v>
      </c>
      <c r="J483" s="190">
        <f ca="1">IFERROR(__xludf.DUMMYFUNCTION("IMPORTRANGE(""https://docs.google.com/spreadsheets/d/11923uPwbBZFjjGgGUA6NLw09EwE0CqkOc4q9oUmW1yo/edit?usp=sharing"",""อุตรดิตถ์!J378"")"),0)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IFERROR(__xludf.DUMMYFUNCTION("IMPORTRANGE(""https://docs.google.com/spreadsheets/d/11923uPwbBZFjjGgGUA6NLw09EwE0CqkOc4q9oUmW1yo/edit?usp=sharing"",""อุตรดิตถ์!I379"")"),0)</f>
        <v>0</v>
      </c>
      <c r="J484" s="190">
        <f ca="1">IFERROR(__xludf.DUMMYFUNCTION("IMPORTRANGE(""https://docs.google.com/spreadsheets/d/11923uPwbBZFjjGgGUA6NLw09EwE0CqkOc4q9oUmW1yo/edit?usp=sharing"",""อุตรดิตถ์!J379"")"),0)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IFERROR(__xludf.DUMMYFUNCTION("IMPORTRANGE(""https://docs.google.com/spreadsheets/d/11923uPwbBZFjjGgGUA6NLw09EwE0CqkOc4q9oUmW1yo/edit?usp=sharing"",""อุตรดิตถ์!I380"")"),0)</f>
        <v>0</v>
      </c>
      <c r="J485" s="190">
        <f ca="1">IFERROR(__xludf.DUMMYFUNCTION("IMPORTRANGE(""https://docs.google.com/spreadsheets/d/11923uPwbBZFjjGgGUA6NLw09EwE0CqkOc4q9oUmW1yo/edit?usp=sharing"",""อุตรดิตถ์!J380"")"),0)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IFERROR(__xludf.DUMMYFUNCTION("IMPORTRANGE(""https://docs.google.com/spreadsheets/d/11923uPwbBZFjjGgGUA6NLw09EwE0CqkOc4q9oUmW1yo/edit?usp=sharing"",""อุตรดิตถ์!I381"")"),0)</f>
        <v>0</v>
      </c>
      <c r="J486" s="190">
        <f ca="1">IFERROR(__xludf.DUMMYFUNCTION("IMPORTRANGE(""https://docs.google.com/spreadsheets/d/11923uPwbBZFjjGgGUA6NLw09EwE0CqkOc4q9oUmW1yo/edit?usp=sharing"",""อุตรดิตถ์!J381"")"),0)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IFERROR(__xludf.DUMMYFUNCTION("IMPORTRANGE(""https://docs.google.com/spreadsheets/d/11923uPwbBZFjjGgGUA6NLw09EwE0CqkOc4q9oUmW1yo/edit?usp=sharing"",""อุตรดิตถ์!I382"")"),0)</f>
        <v>0</v>
      </c>
      <c r="J487" s="422">
        <f ca="1">IFERROR(__xludf.DUMMYFUNCTION("IMPORTRANGE(""https://docs.google.com/spreadsheets/d/11923uPwbBZFjjGgGUA6NLw09EwE0CqkOc4q9oUmW1yo/edit?usp=sharing"",""อุตรดิตถ์!J382"")"),0)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IFERROR(__xludf.DUMMYFUNCTION("IMPORTRANGE(""https://docs.google.com/spreadsheets/d/11923uPwbBZFjjGgGUA6NLw09EwE0CqkOc4q9oUmW1yo/edit?usp=sharing"",""อุตรดิตถ์!I383"")"),0)</f>
        <v>0</v>
      </c>
      <c r="J488" s="422">
        <f ca="1">IFERROR(__xludf.DUMMYFUNCTION("IMPORTRANGE(""https://docs.google.com/spreadsheets/d/11923uPwbBZFjjGgGUA6NLw09EwE0CqkOc4q9oUmW1yo/edit?usp=sharing"",""อุตรดิตถ์!J383"")"),0)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IFERROR(__xludf.DUMMYFUNCTION("IMPORTRANGE(""https://docs.google.com/spreadsheets/d/11923uPwbBZFjjGgGUA6NLw09EwE0CqkOc4q9oUmW1yo/edit?usp=sharing"",""อุตรดิตถ์!I384"")"),0)</f>
        <v>0</v>
      </c>
      <c r="J489" s="190">
        <f ca="1">IFERROR(__xludf.DUMMYFUNCTION("IMPORTRANGE(""https://docs.google.com/spreadsheets/d/11923uPwbBZFjjGgGUA6NLw09EwE0CqkOc4q9oUmW1yo/edit?usp=sharing"",""อุตรดิตถ์!J384"")"),0)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IFERROR(__xludf.DUMMYFUNCTION("IMPORTRANGE(""https://docs.google.com/spreadsheets/d/11923uPwbBZFjjGgGUA6NLw09EwE0CqkOc4q9oUmW1yo/edit?usp=sharing"",""อุตรดิตถ์!I385"")"),0)</f>
        <v>0</v>
      </c>
      <c r="J490" s="190">
        <f ca="1">IFERROR(__xludf.DUMMYFUNCTION("IMPORTRANGE(""https://docs.google.com/spreadsheets/d/11923uPwbBZFjjGgGUA6NLw09EwE0CqkOc4q9oUmW1yo/edit?usp=sharing"",""อุตรดิตถ์!J385"")"),0)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IFERROR(__xludf.DUMMYFUNCTION("IMPORTRANGE(""https://docs.google.com/spreadsheets/d/11923uPwbBZFjjGgGUA6NLw09EwE0CqkOc4q9oUmW1yo/edit?usp=sharing"",""อุตรดิตถ์!I386"")"),0)</f>
        <v>0</v>
      </c>
      <c r="J491" s="190">
        <f ca="1">IFERROR(__xludf.DUMMYFUNCTION("IMPORTRANGE(""https://docs.google.com/spreadsheets/d/11923uPwbBZFjjGgGUA6NLw09EwE0CqkOc4q9oUmW1yo/edit?usp=sharing"",""อุตรดิตถ์!J386"")"),0)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IFERROR(__xludf.DUMMYFUNCTION("IMPORTRANGE(""https://docs.google.com/spreadsheets/d/11923uPwbBZFjjGgGUA6NLw09EwE0CqkOc4q9oUmW1yo/edit?usp=sharing"",""อุตรดิตถ์!I387"")"),0)</f>
        <v>0</v>
      </c>
      <c r="J492" s="190">
        <f ca="1">IFERROR(__xludf.DUMMYFUNCTION("IMPORTRANGE(""https://docs.google.com/spreadsheets/d/11923uPwbBZFjjGgGUA6NLw09EwE0CqkOc4q9oUmW1yo/edit?usp=sharing"",""อุตรดิตถ์!J387"")"),0)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IFERROR(__xludf.DUMMYFUNCTION("IMPORTRANGE(""https://docs.google.com/spreadsheets/d/11923uPwbBZFjjGgGUA6NLw09EwE0CqkOc4q9oUmW1yo/edit?usp=sharing"",""อุตรดิตถ์!I388"")"),0)</f>
        <v>0</v>
      </c>
      <c r="J493" s="190">
        <f ca="1">IFERROR(__xludf.DUMMYFUNCTION("IMPORTRANGE(""https://docs.google.com/spreadsheets/d/11923uPwbBZFjjGgGUA6NLw09EwE0CqkOc4q9oUmW1yo/edit?usp=sharing"",""อุตรดิตถ์!J388"")"),0)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IFERROR(__xludf.DUMMYFUNCTION("IMPORTRANGE(""https://docs.google.com/spreadsheets/d/11923uPwbBZFjjGgGUA6NLw09EwE0CqkOc4q9oUmW1yo/edit?usp=sharing"",""อุตรดิตถ์!I389"")"),0)</f>
        <v>0</v>
      </c>
      <c r="J494" s="438">
        <f ca="1">IFERROR(__xludf.DUMMYFUNCTION("IMPORTRANGE(""https://docs.google.com/spreadsheets/d/11923uPwbBZFjjGgGUA6NLw09EwE0CqkOc4q9oUmW1yo/edit?usp=sharing"",""อุตรดิตถ์!J389"")"),0)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IFERROR(__xludf.DUMMYFUNCTION("IMPORTRANGE(""https://docs.google.com/spreadsheets/d/11923uPwbBZFjjGgGUA6NLw09EwE0CqkOc4q9oUmW1yo/edit?usp=sharing"",""อุตรดิตถ์!I390"")"),0)</f>
        <v>0</v>
      </c>
      <c r="J495" s="438">
        <f ca="1">IFERROR(__xludf.DUMMYFUNCTION("IMPORTRANGE(""https://docs.google.com/spreadsheets/d/11923uPwbBZFjjGgGUA6NLw09EwE0CqkOc4q9oUmW1yo/edit?usp=sharing"",""อุตรดิตถ์!J390"")"),0)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IFERROR(__xludf.DUMMYFUNCTION("IMPORTRANGE(""https://docs.google.com/spreadsheets/d/11923uPwbBZFjjGgGUA6NLw09EwE0CqkOc4q9oUmW1yo/edit?usp=sharing"",""อุตรดิตถ์!I391"")"),0)</f>
        <v>0</v>
      </c>
      <c r="J496" s="438">
        <f ca="1">IFERROR(__xludf.DUMMYFUNCTION("IMPORTRANGE(""https://docs.google.com/spreadsheets/d/11923uPwbBZFjjGgGUA6NLw09EwE0CqkOc4q9oUmW1yo/edit?usp=sharing"",""อุตรดิตถ์!J391"")"),0)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IFERROR(__xludf.DUMMYFUNCTION("IMPORTRANGE(""https://docs.google.com/spreadsheets/d/11923uPwbBZFjjGgGUA6NLw09EwE0CqkOc4q9oUmW1yo/edit?usp=sharing"",""อุตรดิตถ์!I392"")"),12)</f>
        <v>12</v>
      </c>
      <c r="J497" s="445">
        <f ca="1">IFERROR(__xludf.DUMMYFUNCTION("IMPORTRANGE(""https://docs.google.com/spreadsheets/d/11923uPwbBZFjjGgGUA6NLw09EwE0CqkOc4q9oUmW1yo/edit?usp=sharing"",""อุตรดิตถ์!J392"")"),0)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IFERROR(__xludf.DUMMYFUNCTION("IMPORTRANGE(""https://docs.google.com/spreadsheets/d/11923uPwbBZFjjGgGUA6NLw09EwE0CqkOc4q9oUmW1yo/edit?usp=sharing"",""อุตรดิตถ์!I393"")"),12)</f>
        <v>12</v>
      </c>
      <c r="J498" s="422">
        <f ca="1">IFERROR(__xludf.DUMMYFUNCTION("IMPORTRANGE(""https://docs.google.com/spreadsheets/d/11923uPwbBZFjjGgGUA6NLw09EwE0CqkOc4q9oUmW1yo/edit?usp=sharing"",""อุตรดิตถ์!J393"")"),0)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IFERROR(__xludf.DUMMYFUNCTION("IMPORTRANGE(""https://docs.google.com/spreadsheets/d/11923uPwbBZFjjGgGUA6NLw09EwE0CqkOc4q9oUmW1yo/edit?usp=sharing"",""อุตรดิตถ์!I394"")"),4)</f>
        <v>4</v>
      </c>
      <c r="J499" s="422">
        <f ca="1">IFERROR(__xludf.DUMMYFUNCTION("IMPORTRANGE(""https://docs.google.com/spreadsheets/d/11923uPwbBZFjjGgGUA6NLw09EwE0CqkOc4q9oUmW1yo/edit?usp=sharing"",""อุตรดิตถ์!J394"")"),0)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IFERROR(__xludf.DUMMYFUNCTION("IMPORTRANGE(""https://docs.google.com/spreadsheets/d/11923uPwbBZFjjGgGUA6NLw09EwE0CqkOc4q9oUmW1yo/edit?usp=sharing"",""อุตรดิตถ์!I395"")"),0)</f>
        <v>0</v>
      </c>
      <c r="J500" s="164">
        <f ca="1">IFERROR(__xludf.DUMMYFUNCTION("IMPORTRANGE(""https://docs.google.com/spreadsheets/d/11923uPwbBZFjjGgGUA6NLw09EwE0CqkOc4q9oUmW1yo/edit?usp=sharing"",""อุตรดิตถ์!J395"")"),0)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IFERROR(__xludf.DUMMYFUNCTION("IMPORTRANGE(""https://docs.google.com/spreadsheets/d/11923uPwbBZFjjGgGUA6NLw09EwE0CqkOc4q9oUmW1yo/edit?usp=sharing"",""อุตรดิตถ์!I396"")"),0)</f>
        <v>0</v>
      </c>
      <c r="J501" s="164">
        <f ca="1">IFERROR(__xludf.DUMMYFUNCTION("IMPORTRANGE(""https://docs.google.com/spreadsheets/d/11923uPwbBZFjjGgGUA6NLw09EwE0CqkOc4q9oUmW1yo/edit?usp=sharing"",""อุตรดิตถ์!J396"")"),0)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IFERROR(__xludf.DUMMYFUNCTION("IMPORTRANGE(""https://docs.google.com/spreadsheets/d/11923uPwbBZFjjGgGUA6NLw09EwE0CqkOc4q9oUmW1yo/edit?usp=sharing"",""อุตรดิตถ์!I397"")"),0)</f>
        <v>0</v>
      </c>
      <c r="J502" s="190">
        <f ca="1">IFERROR(__xludf.DUMMYFUNCTION("IMPORTRANGE(""https://docs.google.com/spreadsheets/d/11923uPwbBZFjjGgGUA6NLw09EwE0CqkOc4q9oUmW1yo/edit?usp=sharing"",""อุตรดิตถ์!J397"")"),0)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IFERROR(__xludf.DUMMYFUNCTION("IMPORTRANGE(""https://docs.google.com/spreadsheets/d/11923uPwbBZFjjGgGUA6NLw09EwE0CqkOc4q9oUmW1yo/edit?usp=sharing"",""อุตรดิตถ์!I398"")"),0)</f>
        <v>0</v>
      </c>
      <c r="J503" s="199">
        <f ca="1">IFERROR(__xludf.DUMMYFUNCTION("IMPORTRANGE(""https://docs.google.com/spreadsheets/d/11923uPwbBZFjjGgGUA6NLw09EwE0CqkOc4q9oUmW1yo/edit?usp=sharing"",""อุตรดิตถ์!J398"")"),0)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IFERROR(__xludf.DUMMYFUNCTION("IMPORTRANGE(""https://docs.google.com/spreadsheets/d/11923uPwbBZFjjGgGUA6NLw09EwE0CqkOc4q9oUmW1yo/edit?usp=sharing"",""อุตรดิตถ์!I399"")"),0)</f>
        <v>0</v>
      </c>
      <c r="J504" s="190">
        <f ca="1">IFERROR(__xludf.DUMMYFUNCTION("IMPORTRANGE(""https://docs.google.com/spreadsheets/d/11923uPwbBZFjjGgGUA6NLw09EwE0CqkOc4q9oUmW1yo/edit?usp=sharing"",""อุตรดิตถ์!J399"")"),0)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IFERROR(__xludf.DUMMYFUNCTION("IMPORTRANGE(""https://docs.google.com/spreadsheets/d/11923uPwbBZFjjGgGUA6NLw09EwE0CqkOc4q9oUmW1yo/edit?usp=sharing"",""อุตรดิตถ์!I400"")"),0)</f>
        <v>0</v>
      </c>
      <c r="J505" s="199">
        <f ca="1">IFERROR(__xludf.DUMMYFUNCTION("IMPORTRANGE(""https://docs.google.com/spreadsheets/d/11923uPwbBZFjjGgGUA6NLw09EwE0CqkOc4q9oUmW1yo/edit?usp=sharing"",""อุตรดิตถ์!J400"")"),0)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IFERROR(__xludf.DUMMYFUNCTION("IMPORTRANGE(""https://docs.google.com/spreadsheets/d/11923uPwbBZFjjGgGUA6NLw09EwE0CqkOc4q9oUmW1yo/edit?usp=sharing"",""อุตรดิตถ์!I401"")"),0)</f>
        <v>0</v>
      </c>
      <c r="J506" s="190">
        <f ca="1">IFERROR(__xludf.DUMMYFUNCTION("IMPORTRANGE(""https://docs.google.com/spreadsheets/d/11923uPwbBZFjjGgGUA6NLw09EwE0CqkOc4q9oUmW1yo/edit?usp=sharing"",""อุตรดิตถ์!J401"")"),0)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IFERROR(__xludf.DUMMYFUNCTION("IMPORTRANGE(""https://docs.google.com/spreadsheets/d/11923uPwbBZFjjGgGUA6NLw09EwE0CqkOc4q9oUmW1yo/edit?usp=sharing"",""อุตรดิตถ์!I402"")"),0)</f>
        <v>0</v>
      </c>
      <c r="J507" s="199">
        <f ca="1">IFERROR(__xludf.DUMMYFUNCTION("IMPORTRANGE(""https://docs.google.com/spreadsheets/d/11923uPwbBZFjjGgGUA6NLw09EwE0CqkOc4q9oUmW1yo/edit?usp=sharing"",""อุตรดิตถ์!J402"")"),0)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IFERROR(__xludf.DUMMYFUNCTION("IMPORTRANGE(""https://docs.google.com/spreadsheets/d/11923uPwbBZFjjGgGUA6NLw09EwE0CqkOc4q9oUmW1yo/edit?usp=sharing"",""อุตรดิตถ์!I403"")"),0)</f>
        <v>0</v>
      </c>
      <c r="J508" s="164">
        <f ca="1">IFERROR(__xludf.DUMMYFUNCTION("IMPORTRANGE(""https://docs.google.com/spreadsheets/d/11923uPwbBZFjjGgGUA6NLw09EwE0CqkOc4q9oUmW1yo/edit?usp=sharing"",""อุตรดิตถ์!J403"")"),0)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IFERROR(__xludf.DUMMYFUNCTION("IMPORTRANGE(""https://docs.google.com/spreadsheets/d/11923uPwbBZFjjGgGUA6NLw09EwE0CqkOc4q9oUmW1yo/edit?usp=sharing"",""อุตรดิตถ์!I404"")"),0)</f>
        <v>0</v>
      </c>
      <c r="J509" s="164">
        <f ca="1">IFERROR(__xludf.DUMMYFUNCTION("IMPORTRANGE(""https://docs.google.com/spreadsheets/d/11923uPwbBZFjjGgGUA6NLw09EwE0CqkOc4q9oUmW1yo/edit?usp=sharing"",""อุตรดิตถ์!J404"")"),0)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IFERROR(__xludf.DUMMYFUNCTION("IMPORTRANGE(""https://docs.google.com/spreadsheets/d/11923uPwbBZFjjGgGUA6NLw09EwE0CqkOc4q9oUmW1yo/edit?usp=sharing"",""อุตรดิตถ์!I405"")"),0)</f>
        <v>0</v>
      </c>
      <c r="J510" s="199">
        <f ca="1">IFERROR(__xludf.DUMMYFUNCTION("IMPORTRANGE(""https://docs.google.com/spreadsheets/d/11923uPwbBZFjjGgGUA6NLw09EwE0CqkOc4q9oUmW1yo/edit?usp=sharing"",""อุตรดิตถ์!J405"")"),0)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IFERROR(__xludf.DUMMYFUNCTION("IMPORTRANGE(""https://docs.google.com/spreadsheets/d/11923uPwbBZFjjGgGUA6NLw09EwE0CqkOc4q9oUmW1yo/edit?usp=sharing"",""อุตรดิตถ์!I406"")"),0)</f>
        <v>0</v>
      </c>
      <c r="J511" s="199">
        <f ca="1">IFERROR(__xludf.DUMMYFUNCTION("IMPORTRANGE(""https://docs.google.com/spreadsheets/d/11923uPwbBZFjjGgGUA6NLw09EwE0CqkOc4q9oUmW1yo/edit?usp=sharing"",""อุตรดิตถ์!J406"")"),0)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IFERROR(__xludf.DUMMYFUNCTION("IMPORTRANGE(""https://docs.google.com/spreadsheets/d/11923uPwbBZFjjGgGUA6NLw09EwE0CqkOc4q9oUmW1yo/edit?usp=sharing"",""อุตรดิตถ์!I407"")"),0)</f>
        <v>0</v>
      </c>
      <c r="J512" s="199">
        <f ca="1">IFERROR(__xludf.DUMMYFUNCTION("IMPORTRANGE(""https://docs.google.com/spreadsheets/d/11923uPwbBZFjjGgGUA6NLw09EwE0CqkOc4q9oUmW1yo/edit?usp=sharing"",""อุตรดิตถ์!J407"")"),0)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IFERROR(__xludf.DUMMYFUNCTION("IMPORTRANGE(""https://docs.google.com/spreadsheets/d/11923uPwbBZFjjGgGUA6NLw09EwE0CqkOc4q9oUmW1yo/edit?usp=sharing"",""อุตรดิตถ์!I408"")"),0)</f>
        <v>0</v>
      </c>
      <c r="J513" s="199">
        <f ca="1">IFERROR(__xludf.DUMMYFUNCTION("IMPORTRANGE(""https://docs.google.com/spreadsheets/d/11923uPwbBZFjjGgGUA6NLw09EwE0CqkOc4q9oUmW1yo/edit?usp=sharing"",""อุตรดิตถ์!J408"")"),0)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IFERROR(__xludf.DUMMYFUNCTION("IMPORTRANGE(""https://docs.google.com/spreadsheets/d/11923uPwbBZFjjGgGUA6NLw09EwE0CqkOc4q9oUmW1yo/edit?usp=sharing"",""อุตรดิตถ์!I409"")"),0)</f>
        <v>0</v>
      </c>
      <c r="J514" s="199">
        <f ca="1">IFERROR(__xludf.DUMMYFUNCTION("IMPORTRANGE(""https://docs.google.com/spreadsheets/d/11923uPwbBZFjjGgGUA6NLw09EwE0CqkOc4q9oUmW1yo/edit?usp=sharing"",""อุตรดิตถ์!J409"")"),0)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IFERROR(__xludf.DUMMYFUNCTION("IMPORTRANGE(""https://docs.google.com/spreadsheets/d/11923uPwbBZFjjGgGUA6NLw09EwE0CqkOc4q9oUmW1yo/edit?usp=sharing"",""อุตรดิตถ์!I410"")"),0)</f>
        <v>0</v>
      </c>
      <c r="J515" s="199">
        <f ca="1">IFERROR(__xludf.DUMMYFUNCTION("IMPORTRANGE(""https://docs.google.com/spreadsheets/d/11923uPwbBZFjjGgGUA6NLw09EwE0CqkOc4q9oUmW1yo/edit?usp=sharing"",""อุตรดิตถ์!J410"")"),0)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IFERROR(__xludf.DUMMYFUNCTION("IMPORTRANGE(""https://docs.google.com/spreadsheets/d/11923uPwbBZFjjGgGUA6NLw09EwE0CqkOc4q9oUmW1yo/edit?usp=sharing"",""อุตรดิตถ์!I411"")"),0)</f>
        <v>0</v>
      </c>
      <c r="J516" s="268">
        <f ca="1">IFERROR(__xludf.DUMMYFUNCTION("IMPORTRANGE(""https://docs.google.com/spreadsheets/d/11923uPwbBZFjjGgGUA6NLw09EwE0CqkOc4q9oUmW1yo/edit?usp=sharing"",""อุตรดิตถ์!J411"")"),0)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IFERROR(__xludf.DUMMYFUNCTION("IMPORTRANGE(""https://docs.google.com/spreadsheets/d/11923uPwbBZFjjGgGUA6NLw09EwE0CqkOc4q9oUmW1yo/edit?usp=sharing"",""อุตรดิตถ์!I412"")"),0)</f>
        <v>0</v>
      </c>
      <c r="J517" s="285">
        <f ca="1">IFERROR(__xludf.DUMMYFUNCTION("IMPORTRANGE(""https://docs.google.com/spreadsheets/d/11923uPwbBZFjjGgGUA6NLw09EwE0CqkOc4q9oUmW1yo/edit?usp=sharing"",""อุตรดิตถ์!J412"")"),0)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IFERROR(__xludf.DUMMYFUNCTION("IMPORTRANGE(""https://docs.google.com/spreadsheets/d/11923uPwbBZFjjGgGUA6NLw09EwE0CqkOc4q9oUmW1yo/edit?usp=sharing"",""อุตรดิตถ์!I413"")"),0)</f>
        <v>0</v>
      </c>
      <c r="J518" s="285">
        <f ca="1">IFERROR(__xludf.DUMMYFUNCTION("IMPORTRANGE(""https://docs.google.com/spreadsheets/d/11923uPwbBZFjjGgGUA6NLw09EwE0CqkOc4q9oUmW1yo/edit?usp=sharing"",""อุตรดิตถ์!J413"")"),0)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IFERROR(__xludf.DUMMYFUNCTION("IMPORTRANGE(""https://docs.google.com/spreadsheets/d/11923uPwbBZFjjGgGUA6NLw09EwE0CqkOc4q9oUmW1yo/edit?usp=sharing"",""อุตรดิตถ์!I414"")"),0)</f>
        <v>0</v>
      </c>
      <c r="J519" s="189">
        <f ca="1">IFERROR(__xludf.DUMMYFUNCTION("IMPORTRANGE(""https://docs.google.com/spreadsheets/d/11923uPwbBZFjjGgGUA6NLw09EwE0CqkOc4q9oUmW1yo/edit?usp=sharing"",""อุตรดิตถ์!J414"")"),0)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IFERROR(__xludf.DUMMYFUNCTION("IMPORTRANGE(""https://docs.google.com/spreadsheets/d/11923uPwbBZFjjGgGUA6NLw09EwE0CqkOc4q9oUmW1yo/edit?usp=sharing"",""อุตรดิตถ์!I415"")"),0)</f>
        <v>0</v>
      </c>
      <c r="J520" s="189">
        <f ca="1">IFERROR(__xludf.DUMMYFUNCTION("IMPORTRANGE(""https://docs.google.com/spreadsheets/d/11923uPwbBZFjjGgGUA6NLw09EwE0CqkOc4q9oUmW1yo/edit?usp=sharing"",""อุตรดิตถ์!J415"")"),0)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IFERROR(__xludf.DUMMYFUNCTION("IMPORTRANGE(""https://docs.google.com/spreadsheets/d/11923uPwbBZFjjGgGUA6NLw09EwE0CqkOc4q9oUmW1yo/edit?usp=sharing"",""อุตรดิตถ์!I416"")"),0)</f>
        <v>0</v>
      </c>
      <c r="J521" s="189">
        <f ca="1">IFERROR(__xludf.DUMMYFUNCTION("IMPORTRANGE(""https://docs.google.com/spreadsheets/d/11923uPwbBZFjjGgGUA6NLw09EwE0CqkOc4q9oUmW1yo/edit?usp=sharing"",""อุตรดิตถ์!J416"")"),0)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IFERROR(__xludf.DUMMYFUNCTION("IMPORTRANGE(""https://docs.google.com/spreadsheets/d/11923uPwbBZFjjGgGUA6NLw09EwE0CqkOc4q9oUmW1yo/edit?usp=sharing"",""อุตรดิตถ์!I417"")"),0)</f>
        <v>0</v>
      </c>
      <c r="J522" s="189">
        <f ca="1">IFERROR(__xludf.DUMMYFUNCTION("IMPORTRANGE(""https://docs.google.com/spreadsheets/d/11923uPwbBZFjjGgGUA6NLw09EwE0CqkOc4q9oUmW1yo/edit?usp=sharing"",""อุตรดิตถ์!J417"")"),0)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IFERROR(__xludf.DUMMYFUNCTION("IMPORTRANGE(""https://docs.google.com/spreadsheets/d/11923uPwbBZFjjGgGUA6NLw09EwE0CqkOc4q9oUmW1yo/edit?usp=sharing"",""อุตรดิตถ์!I418"")"),0)</f>
        <v>0</v>
      </c>
      <c r="J523" s="189">
        <f ca="1">IFERROR(__xludf.DUMMYFUNCTION("IMPORTRANGE(""https://docs.google.com/spreadsheets/d/11923uPwbBZFjjGgGUA6NLw09EwE0CqkOc4q9oUmW1yo/edit?usp=sharing"",""อุตรดิตถ์!J418"")"),0)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IFERROR(__xludf.DUMMYFUNCTION("IMPORTRANGE(""https://docs.google.com/spreadsheets/d/11923uPwbBZFjjGgGUA6NLw09EwE0CqkOc4q9oUmW1yo/edit?usp=sharing"",""อุตรดิตถ์!I419"")"),0)</f>
        <v>0</v>
      </c>
      <c r="J524" s="189">
        <f ca="1">IFERROR(__xludf.DUMMYFUNCTION("IMPORTRANGE(""https://docs.google.com/spreadsheets/d/11923uPwbBZFjjGgGUA6NLw09EwE0CqkOc4q9oUmW1yo/edit?usp=sharing"",""อุตรดิตถ์!J419"")"),0)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IFERROR(__xludf.DUMMYFUNCTION("IMPORTRANGE(""https://docs.google.com/spreadsheets/d/11923uPwbBZFjjGgGUA6NLw09EwE0CqkOc4q9oUmW1yo/edit?usp=sharing"",""อุตรดิตถ์!I420"")"),0)</f>
        <v>0</v>
      </c>
      <c r="J525" s="285">
        <f ca="1">IFERROR(__xludf.DUMMYFUNCTION("IMPORTRANGE(""https://docs.google.com/spreadsheets/d/11923uPwbBZFjjGgGUA6NLw09EwE0CqkOc4q9oUmW1yo/edit?usp=sharing"",""อุตรดิตถ์!J420"")"),0)</f>
        <v>0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IFERROR(__xludf.DUMMYFUNCTION("IMPORTRANGE(""https://docs.google.com/spreadsheets/d/11923uPwbBZFjjGgGUA6NLw09EwE0CqkOc4q9oUmW1yo/edit?usp=sharing"",""อุตรดิตถ์!I421"")"),0)</f>
        <v>0</v>
      </c>
      <c r="J526" s="285">
        <f ca="1">IFERROR(__xludf.DUMMYFUNCTION("IMPORTRANGE(""https://docs.google.com/spreadsheets/d/11923uPwbBZFjjGgGUA6NLw09EwE0CqkOc4q9oUmW1yo/edit?usp=sharing"",""อุตรดิตถ์!J421"")"),0)</f>
        <v>0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IFERROR(__xludf.DUMMYFUNCTION("IMPORTRANGE(""https://docs.google.com/spreadsheets/d/11923uPwbBZFjjGgGUA6NLw09EwE0CqkOc4q9oUmW1yo/edit?usp=sharing"",""อุตรดิตถ์!I422"")"),0)</f>
        <v>0</v>
      </c>
      <c r="J527" s="199">
        <f ca="1">IFERROR(__xludf.DUMMYFUNCTION("IMPORTRANGE(""https://docs.google.com/spreadsheets/d/11923uPwbBZFjjGgGUA6NLw09EwE0CqkOc4q9oUmW1yo/edit?usp=sharing"",""อุตรดิตถ์!J422"")"),0)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IFERROR(__xludf.DUMMYFUNCTION("IMPORTRANGE(""https://docs.google.com/spreadsheets/d/11923uPwbBZFjjGgGUA6NLw09EwE0CqkOc4q9oUmW1yo/edit?usp=sharing"",""อุตรดิตถ์!I423"")"),0)</f>
        <v>0</v>
      </c>
      <c r="J528" s="199">
        <f ca="1">IFERROR(__xludf.DUMMYFUNCTION("IMPORTRANGE(""https://docs.google.com/spreadsheets/d/11923uPwbBZFjjGgGUA6NLw09EwE0CqkOc4q9oUmW1yo/edit?usp=sharing"",""อุตรดิตถ์!J423"")"),0)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IFERROR(__xludf.DUMMYFUNCTION("IMPORTRANGE(""https://docs.google.com/spreadsheets/d/11923uPwbBZFjjGgGUA6NLw09EwE0CqkOc4q9oUmW1yo/edit?usp=sharing"",""อุตรดิตถ์!I424"")"),0)</f>
        <v>0</v>
      </c>
      <c r="J529" s="199">
        <f ca="1">IFERROR(__xludf.DUMMYFUNCTION("IMPORTRANGE(""https://docs.google.com/spreadsheets/d/11923uPwbBZFjjGgGUA6NLw09EwE0CqkOc4q9oUmW1yo/edit?usp=sharing"",""อุตรดิตถ์!J424"")"),0)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IFERROR(__xludf.DUMMYFUNCTION("IMPORTRANGE(""https://docs.google.com/spreadsheets/d/11923uPwbBZFjjGgGUA6NLw09EwE0CqkOc4q9oUmW1yo/edit?usp=sharing"",""อุตรดิตถ์!I425"")"),0)</f>
        <v>0</v>
      </c>
      <c r="J530" s="199">
        <f ca="1">IFERROR(__xludf.DUMMYFUNCTION("IMPORTRANGE(""https://docs.google.com/spreadsheets/d/11923uPwbBZFjjGgGUA6NLw09EwE0CqkOc4q9oUmW1yo/edit?usp=sharing"",""อุตรดิตถ์!J425"")"),0)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IFERROR(__xludf.DUMMYFUNCTION("IMPORTRANGE(""https://docs.google.com/spreadsheets/d/11923uPwbBZFjjGgGUA6NLw09EwE0CqkOc4q9oUmW1yo/edit?usp=sharing"",""อุตรดิตถ์!I426"")"),0)</f>
        <v>0</v>
      </c>
      <c r="J531" s="199">
        <f ca="1">IFERROR(__xludf.DUMMYFUNCTION("IMPORTRANGE(""https://docs.google.com/spreadsheets/d/11923uPwbBZFjjGgGUA6NLw09EwE0CqkOc4q9oUmW1yo/edit?usp=sharing"",""อุตรดิตถ์!J426"")"),0)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IFERROR(__xludf.DUMMYFUNCTION("IMPORTRANGE(""https://docs.google.com/spreadsheets/d/11923uPwbBZFjjGgGUA6NLw09EwE0CqkOc4q9oUmW1yo/edit?usp=sharing"",""อุตรดิตถ์!I427"")"),0)</f>
        <v>0</v>
      </c>
      <c r="J532" s="468">
        <f ca="1">IFERROR(__xludf.DUMMYFUNCTION("IMPORTRANGE(""https://docs.google.com/spreadsheets/d/11923uPwbBZFjjGgGUA6NLw09EwE0CqkOc4q9oUmW1yo/edit?usp=sharing"",""อุตรดิตถ์!J427"")"),0)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IFERROR(__xludf.DUMMYFUNCTION("IMPORTRANGE(""https://docs.google.com/spreadsheets/d/11923uPwbBZFjjGgGUA6NLw09EwE0CqkOc4q9oUmW1yo/edit?usp=sharing"",""อุตรดิตถ์!I428"")"),22)</f>
        <v>22</v>
      </c>
      <c r="J533" s="411">
        <f ca="1">IFERROR(__xludf.DUMMYFUNCTION("IMPORTRANGE(""https://docs.google.com/spreadsheets/d/11923uPwbBZFjjGgGUA6NLw09EwE0CqkOc4q9oUmW1yo/edit?usp=sharing"",""อุตรดิตถ์!J428"")"),22)</f>
        <v>22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IFERROR(__xludf.DUMMYFUNCTION("IMPORTRANGE(""https://docs.google.com/spreadsheets/d/11923uPwbBZFjjGgGUA6NLw09EwE0CqkOc4q9oUmW1yo/edit?usp=sharing"",""อุตรดิตถ์!L428"")"),34340)</f>
        <v>34340</v>
      </c>
      <c r="M533" s="413"/>
      <c r="N533" s="413">
        <f ca="1">IFERROR(__xludf.DUMMYFUNCTION("IMPORTRANGE(""https://docs.google.com/spreadsheets/d/11923uPwbBZFjjGgGUA6NLw09EwE0CqkOc4q9oUmW1yo/edit?usp=sharing"",""อุตรดิตถ์!M428"")"),23281)</f>
        <v>23281</v>
      </c>
      <c r="O533" s="413">
        <f t="shared" ref="O533:O537" ca="1" si="118">+IF(L533&gt;0,N533*100/L533,0)</f>
        <v>67.795573675014566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IFERROR(__xludf.DUMMYFUNCTION("IMPORTRANGE(""https://docs.google.com/spreadsheets/d/11923uPwbBZFjjGgGUA6NLw09EwE0CqkOc4q9oUmW1yo/edit?usp=sharing"",""อุตรดิตถ์!L429"")"),0)</f>
        <v>0</v>
      </c>
      <c r="M534" s="166"/>
      <c r="N534" s="170">
        <f ca="1">IFERROR(__xludf.DUMMYFUNCTION("IMPORTRANGE(""https://docs.google.com/spreadsheets/d/11923uPwbBZFjjGgGUA6NLw09EwE0CqkOc4q9oUmW1yo/edit?usp=sharing"",""อุตรดิตถ์!M429"")"),0)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IFERROR(__xludf.DUMMYFUNCTION("IMPORTRANGE(""https://docs.google.com/spreadsheets/d/11923uPwbBZFjjGgGUA6NLw09EwE0CqkOc4q9oUmW1yo/edit?usp=sharing"",""อุตรดิตถ์!L430"")"),34340)</f>
        <v>34340</v>
      </c>
      <c r="M535" s="167"/>
      <c r="N535" s="170">
        <f ca="1">IFERROR(__xludf.DUMMYFUNCTION("IMPORTRANGE(""https://docs.google.com/spreadsheets/d/11923uPwbBZFjjGgGUA6NLw09EwE0CqkOc4q9oUmW1yo/edit?usp=sharing"",""อุตรดิตถ์!M430"")"),23281)</f>
        <v>23281</v>
      </c>
      <c r="O535" s="170">
        <f t="shared" ca="1" si="118"/>
        <v>67.795573675014566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IFERROR(__xludf.DUMMYFUNCTION("IMPORTRANGE(""https://docs.google.com/spreadsheets/d/11923uPwbBZFjjGgGUA6NLw09EwE0CqkOc4q9oUmW1yo/edit?usp=sharing"",""อุตรดิตถ์!L431"")"),0)</f>
        <v>0</v>
      </c>
      <c r="M536" s="170"/>
      <c r="N536" s="170">
        <f ca="1">IFERROR(__xludf.DUMMYFUNCTION("IMPORTRANGE(""https://docs.google.com/spreadsheets/d/11923uPwbBZFjjGgGUA6NLw09EwE0CqkOc4q9oUmW1yo/edit?usp=sharing"",""อุตรดิตถ์!M431"")"),0)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IFERROR(__xludf.DUMMYFUNCTION("IMPORTRANGE(""https://docs.google.com/spreadsheets/d/11923uPwbBZFjjGgGUA6NLw09EwE0CqkOc4q9oUmW1yo/edit?usp=sharing"",""อุตรดิตถ์!L432"")"),34340)</f>
        <v>34340</v>
      </c>
      <c r="M537" s="170"/>
      <c r="N537" s="170">
        <f ca="1">IFERROR(__xludf.DUMMYFUNCTION("IMPORTRANGE(""https://docs.google.com/spreadsheets/d/11923uPwbBZFjjGgGUA6NLw09EwE0CqkOc4q9oUmW1yo/edit?usp=sharing"",""อุตรดิตถ์!M432"")"),23281)</f>
        <v>23281</v>
      </c>
      <c r="O537" s="170">
        <f t="shared" ca="1" si="118"/>
        <v>67.795573675014566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IFERROR(__xludf.DUMMYFUNCTION("IMPORTRANGE(""https://docs.google.com/spreadsheets/d/11923uPwbBZFjjGgGUA6NLw09EwE0CqkOc4q9oUmW1yo/edit?usp=sharing"",""อุตรดิตถ์!M433"")"),18740)</f>
        <v>18740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IFERROR(__xludf.DUMMYFUNCTION("IMPORTRANGE(""https://docs.google.com/spreadsheets/d/11923uPwbBZFjjGgGUA6NLw09EwE0CqkOc4q9oUmW1yo/edit?usp=sharing"",""อุตรดิตถ์!M434"")"),0)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IFERROR(__xludf.DUMMYFUNCTION("IMPORTRANGE(""https://docs.google.com/spreadsheets/d/11923uPwbBZFjjGgGUA6NLw09EwE0CqkOc4q9oUmW1yo/edit?usp=sharing"",""อุตรดิตถ์!M435"")"),0)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IFERROR(__xludf.DUMMYFUNCTION("IMPORTRANGE(""https://docs.google.com/spreadsheets/d/11923uPwbBZFjjGgGUA6NLw09EwE0CqkOc4q9oUmW1yo/edit?usp=sharing"",""อุตรดิตถ์!M436"")"),4541)</f>
        <v>4541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IFERROR(__xludf.DUMMYFUNCTION("IMPORTRANGE(""https://docs.google.com/spreadsheets/d/11923uPwbBZFjjGgGUA6NLw09EwE0CqkOc4q9oUmW1yo/edit?usp=sharing"",""อุตรดิตถ์!J438"")"),0)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IFERROR(__xludf.DUMMYFUNCTION("IMPORTRANGE(""https://docs.google.com/spreadsheets/d/11923uPwbBZFjjGgGUA6NLw09EwE0CqkOc4q9oUmW1yo/edit?usp=sharing"",""อุตรดิตถ์!J439"")"),1)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IFERROR(__xludf.DUMMYFUNCTION("IMPORTRANGE(""https://docs.google.com/spreadsheets/d/11923uPwbBZFjjGgGUA6NLw09EwE0CqkOc4q9oUmW1yo/edit?usp=sharing"",""อุตรดิตถ์!J440"")"),1)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IFERROR(__xludf.DUMMYFUNCTION("IMPORTRANGE(""https://docs.google.com/spreadsheets/d/11923uPwbBZFjjGgGUA6NLw09EwE0CqkOc4q9oUmW1yo/edit?usp=sharing"",""อุตรดิตถ์!J441"")"),1)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IFERROR(__xludf.DUMMYFUNCTION("IMPORTRANGE(""https://docs.google.com/spreadsheets/d/11923uPwbBZFjjGgGUA6NLw09EwE0CqkOc4q9oUmW1yo/edit?usp=sharing"",""อุตรดิตถ์!I442"")"),22)</f>
        <v>22</v>
      </c>
      <c r="J547" s="190">
        <f ca="1">IFERROR(__xludf.DUMMYFUNCTION("IMPORTRANGE(""https://docs.google.com/spreadsheets/d/11923uPwbBZFjjGgGUA6NLw09EwE0CqkOc4q9oUmW1yo/edit?usp=sharing"",""อุตรดิตถ์!J442"")"),22)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IFERROR(__xludf.DUMMYFUNCTION("IMPORTRANGE(""https://docs.google.com/spreadsheets/d/11923uPwbBZFjjGgGUA6NLw09EwE0CqkOc4q9oUmW1yo/edit?usp=sharing"",""อุตรดิตถ์!J166"")"),0)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IFERROR(__xludf.DUMMYFUNCTION("IMPORTRANGE(""https://docs.google.com/spreadsheets/d/11923uPwbBZFjjGgGUA6NLw09EwE0CqkOc4q9oUmW1yo/edit?usp=sharing"",""อุตรดิตถ์!J444"")"),0)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IFERROR(__xludf.DUMMYFUNCTION("IMPORTRANGE(""https://docs.google.com/spreadsheets/d/11923uPwbBZFjjGgGUA6NLw09EwE0CqkOc4q9oUmW1yo/edit?usp=sharing"",""อุตรดิตถ์!J445"")"),0)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IFERROR(__xludf.DUMMYFUNCTION("IMPORTRANGE(""https://docs.google.com/spreadsheets/d/11923uPwbBZFjjGgGUA6NLw09EwE0CqkOc4q9oUmW1yo/edit?usp=sharing"",""อุตรดิตถ์!I446"")"),5000)</f>
        <v>5000</v>
      </c>
      <c r="J551" s="411">
        <f ca="1">IFERROR(__xludf.DUMMYFUNCTION("IMPORTRANGE(""https://docs.google.com/spreadsheets/d/11923uPwbBZFjjGgGUA6NLw09EwE0CqkOc4q9oUmW1yo/edit?usp=sharing"",""อุตรดิตถ์!J446"")"),4626)</f>
        <v>4626</v>
      </c>
      <c r="K551" s="412">
        <f ca="1">IF(I551&gt;0,J551*100/I551,0)</f>
        <v>92.52</v>
      </c>
      <c r="L551" s="413">
        <f ca="1">IFERROR(__xludf.DUMMYFUNCTION("IMPORTRANGE(""https://docs.google.com/spreadsheets/d/11923uPwbBZFjjGgGUA6NLw09EwE0CqkOc4q9oUmW1yo/edit?usp=sharing"",""อุตรดิตถ์!L446"")"),300000)</f>
        <v>300000</v>
      </c>
      <c r="M551" s="413"/>
      <c r="N551" s="413">
        <f ca="1">IFERROR(__xludf.DUMMYFUNCTION("IMPORTRANGE(""https://docs.google.com/spreadsheets/d/11923uPwbBZFjjGgGUA6NLw09EwE0CqkOc4q9oUmW1yo/edit?usp=sharing"",""อุตรดิตถ์!M446"")"),248752.2)</f>
        <v>248752.2</v>
      </c>
      <c r="O551" s="413">
        <f t="shared" ref="O551:O555" ca="1" si="120">+IF(L551&gt;0,N551*100/L551,0)</f>
        <v>82.917400000000001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IFERROR(__xludf.DUMMYFUNCTION("IMPORTRANGE(""https://docs.google.com/spreadsheets/d/11923uPwbBZFjjGgGUA6NLw09EwE0CqkOc4q9oUmW1yo/edit?usp=sharing"",""อุตรดิตถ์!L447"")"),0)</f>
        <v>0</v>
      </c>
      <c r="M552" s="166"/>
      <c r="N552" s="170">
        <f ca="1">IFERROR(__xludf.DUMMYFUNCTION("IMPORTRANGE(""https://docs.google.com/spreadsheets/d/11923uPwbBZFjjGgGUA6NLw09EwE0CqkOc4q9oUmW1yo/edit?usp=sharing"",""อุตรดิตถ์!M447"")"),0)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IFERROR(__xludf.DUMMYFUNCTION("IMPORTRANGE(""https://docs.google.com/spreadsheets/d/11923uPwbBZFjjGgGUA6NLw09EwE0CqkOc4q9oUmW1yo/edit?usp=sharing"",""อุตรดิตถ์!L448"")"),300000)</f>
        <v>300000</v>
      </c>
      <c r="M553" s="167"/>
      <c r="N553" s="170">
        <f ca="1">IFERROR(__xludf.DUMMYFUNCTION("IMPORTRANGE(""https://docs.google.com/spreadsheets/d/11923uPwbBZFjjGgGUA6NLw09EwE0CqkOc4q9oUmW1yo/edit?usp=sharing"",""อุตรดิตถ์!M448"")"),248752.2)</f>
        <v>248752.2</v>
      </c>
      <c r="O553" s="170">
        <f t="shared" ca="1" si="120"/>
        <v>82.917400000000001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IFERROR(__xludf.DUMMYFUNCTION("IMPORTRANGE(""https://docs.google.com/spreadsheets/d/11923uPwbBZFjjGgGUA6NLw09EwE0CqkOc4q9oUmW1yo/edit?usp=sharing"",""อุตรดิตถ์!L449"")"),0)</f>
        <v>0</v>
      </c>
      <c r="M554" s="170"/>
      <c r="N554" s="170">
        <f ca="1">IFERROR(__xludf.DUMMYFUNCTION("IMPORTRANGE(""https://docs.google.com/spreadsheets/d/11923uPwbBZFjjGgGUA6NLw09EwE0CqkOc4q9oUmW1yo/edit?usp=sharing"",""อุตรดิตถ์!M449"")"),0)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IFERROR(__xludf.DUMMYFUNCTION("IMPORTRANGE(""https://docs.google.com/spreadsheets/d/11923uPwbBZFjjGgGUA6NLw09EwE0CqkOc4q9oUmW1yo/edit?usp=sharing"",""อุตรดิตถ์!L450"")"),300000)</f>
        <v>300000</v>
      </c>
      <c r="M555" s="170"/>
      <c r="N555" s="170">
        <f ca="1">IFERROR(__xludf.DUMMYFUNCTION("IMPORTRANGE(""https://docs.google.com/spreadsheets/d/11923uPwbBZFjjGgGUA6NLw09EwE0CqkOc4q9oUmW1yo/edit?usp=sharing"",""อุตรดิตถ์!M450"")"),248752.2)</f>
        <v>248752.2</v>
      </c>
      <c r="O555" s="170">
        <f t="shared" ca="1" si="120"/>
        <v>82.917400000000001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IFERROR(__xludf.DUMMYFUNCTION("IMPORTRANGE(""https://docs.google.com/spreadsheets/d/11923uPwbBZFjjGgGUA6NLw09EwE0CqkOc4q9oUmW1yo/edit?usp=sharing"",""อุตรดิตถ์!M451"")"),0)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IFERROR(__xludf.DUMMYFUNCTION("IMPORTRANGE(""https://docs.google.com/spreadsheets/d/11923uPwbBZFjjGgGUA6NLw09EwE0CqkOc4q9oUmW1yo/edit?usp=sharing"",""อุตรดิตถ์!M452"")"),0)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IFERROR(__xludf.DUMMYFUNCTION("IMPORTRANGE(""https://docs.google.com/spreadsheets/d/11923uPwbBZFjjGgGUA6NLw09EwE0CqkOc4q9oUmW1yo/edit?usp=sharing"",""อุตรดิตถ์!M453"")"),57300)</f>
        <v>57300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IFERROR(__xludf.DUMMYFUNCTION("IMPORTRANGE(""https://docs.google.com/spreadsheets/d/11923uPwbBZFjjGgGUA6NLw09EwE0CqkOc4q9oUmW1yo/edit?usp=sharing"",""อุตรดิตถ์!M454"")"),191452.2)</f>
        <v>191452.2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IFERROR(__xludf.DUMMYFUNCTION("IMPORTRANGE(""https://docs.google.com/spreadsheets/d/11923uPwbBZFjjGgGUA6NLw09EwE0CqkOc4q9oUmW1yo/edit?usp=sharing"",""อุตรดิตถ์!I455"")"),5000)</f>
        <v>5000</v>
      </c>
      <c r="J560" s="164">
        <f ca="1">IFERROR(__xludf.DUMMYFUNCTION("IMPORTRANGE(""https://docs.google.com/spreadsheets/d/11923uPwbBZFjjGgGUA6NLw09EwE0CqkOc4q9oUmW1yo/edit?usp=sharing"",""อุตรดิตถ์!J455"")"),4626)</f>
        <v>4626</v>
      </c>
      <c r="K560" s="225">
        <f t="shared" ref="K560:K561" ca="1" si="121">IF(I560&gt;0,J560*100/I560,0)</f>
        <v>92.52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IFERROR(__xludf.DUMMYFUNCTION("IMPORTRANGE(""https://docs.google.com/spreadsheets/d/11923uPwbBZFjjGgGUA6NLw09EwE0CqkOc4q9oUmW1yo/edit?usp=sharing"",""อุตรดิตถ์!I456"")"),0)</f>
        <v>0</v>
      </c>
      <c r="J561" s="205">
        <f ca="1">IFERROR(__xludf.DUMMYFUNCTION("IMPORTRANGE(""https://docs.google.com/spreadsheets/d/11923uPwbBZFjjGgGUA6NLw09EwE0CqkOc4q9oUmW1yo/edit?usp=sharing"",""อุตรดิตถ์!J456"")"),619)</f>
        <v>619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IFERROR(__xludf.DUMMYFUNCTION("IMPORTRANGE(""https://docs.google.com/spreadsheets/d/11923uPwbBZFjjGgGUA6NLw09EwE0CqkOc4q9oUmW1yo/edit?usp=sharing"",""อุตรดิตถ์!I459"")"),1100)</f>
        <v>1100</v>
      </c>
      <c r="J564" s="372">
        <f ca="1">IFERROR(__xludf.DUMMYFUNCTION("IMPORTRANGE(""https://docs.google.com/spreadsheets/d/11923uPwbBZFjjGgGUA6NLw09EwE0CqkOc4q9oUmW1yo/edit?usp=sharing"",""อุตรดิตถ์!J459"")"),2105)</f>
        <v>2105</v>
      </c>
      <c r="K564" s="373">
        <f ca="1">IF(I564&gt;0,J564*100/I564,0)</f>
        <v>191.36363636363637</v>
      </c>
      <c r="L564" s="374">
        <f ca="1">IFERROR(__xludf.DUMMYFUNCTION("IMPORTRANGE(""https://docs.google.com/spreadsheets/d/11923uPwbBZFjjGgGUA6NLw09EwE0CqkOc4q9oUmW1yo/edit?usp=sharing"",""อุตรดิตถ์!L459"")"),127280)</f>
        <v>127280</v>
      </c>
      <c r="M564" s="374"/>
      <c r="N564" s="374">
        <f ca="1">IFERROR(__xludf.DUMMYFUNCTION("IMPORTRANGE(""https://docs.google.com/spreadsheets/d/11923uPwbBZFjjGgGUA6NLw09EwE0CqkOc4q9oUmW1yo/edit?usp=sharing"",""อุตรดิตถ์!M459"")"),84124)</f>
        <v>84124</v>
      </c>
      <c r="O564" s="374">
        <f t="shared" ref="O564:O568" ca="1" si="122">+IF(L564&gt;0,N564*100/L564,0)</f>
        <v>66.093651791326209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IFERROR(__xludf.DUMMYFUNCTION("IMPORTRANGE(""https://docs.google.com/spreadsheets/d/11923uPwbBZFjjGgGUA6NLw09EwE0CqkOc4q9oUmW1yo/edit?usp=sharing"",""อุตรดิตถ์!L460"")"),0)</f>
        <v>0</v>
      </c>
      <c r="M565" s="166"/>
      <c r="N565" s="170">
        <f ca="1">IFERROR(__xludf.DUMMYFUNCTION("IMPORTRANGE(""https://docs.google.com/spreadsheets/d/11923uPwbBZFjjGgGUA6NLw09EwE0CqkOc4q9oUmW1yo/edit?usp=sharing"",""อุตรดิตถ์!M460"")"),0)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IFERROR(__xludf.DUMMYFUNCTION("IMPORTRANGE(""https://docs.google.com/spreadsheets/d/11923uPwbBZFjjGgGUA6NLw09EwE0CqkOc4q9oUmW1yo/edit?usp=sharing"",""อุตรดิตถ์!L461"")"),127280)</f>
        <v>127280</v>
      </c>
      <c r="M566" s="167"/>
      <c r="N566" s="170">
        <f ca="1">IFERROR(__xludf.DUMMYFUNCTION("IMPORTRANGE(""https://docs.google.com/spreadsheets/d/11923uPwbBZFjjGgGUA6NLw09EwE0CqkOc4q9oUmW1yo/edit?usp=sharing"",""อุตรดิตถ์!M461"")"),84124)</f>
        <v>84124</v>
      </c>
      <c r="O566" s="170">
        <f t="shared" ca="1" si="122"/>
        <v>66.093651791326209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IFERROR(__xludf.DUMMYFUNCTION("IMPORTRANGE(""https://docs.google.com/spreadsheets/d/11923uPwbBZFjjGgGUA6NLw09EwE0CqkOc4q9oUmW1yo/edit?usp=sharing"",""อุตรดิตถ์!L462"")"),0)</f>
        <v>0</v>
      </c>
      <c r="M567" s="170"/>
      <c r="N567" s="170">
        <f ca="1">IFERROR(__xludf.DUMMYFUNCTION("IMPORTRANGE(""https://docs.google.com/spreadsheets/d/11923uPwbBZFjjGgGUA6NLw09EwE0CqkOc4q9oUmW1yo/edit?usp=sharing"",""อุตรดิตถ์!M462"")"),0)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IFERROR(__xludf.DUMMYFUNCTION("IMPORTRANGE(""https://docs.google.com/spreadsheets/d/11923uPwbBZFjjGgGUA6NLw09EwE0CqkOc4q9oUmW1yo/edit?usp=sharing"",""อุตรดิตถ์!L463"")"),127280)</f>
        <v>127280</v>
      </c>
      <c r="M568" s="170"/>
      <c r="N568" s="170">
        <f ca="1">IFERROR(__xludf.DUMMYFUNCTION("IMPORTRANGE(""https://docs.google.com/spreadsheets/d/11923uPwbBZFjjGgGUA6NLw09EwE0CqkOc4q9oUmW1yo/edit?usp=sharing"",""อุตรดิตถ์!M463"")"),84124)</f>
        <v>84124</v>
      </c>
      <c r="O568" s="170">
        <f t="shared" ca="1" si="122"/>
        <v>66.093651791326209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IFERROR(__xludf.DUMMYFUNCTION("IMPORTRANGE(""https://docs.google.com/spreadsheets/d/11923uPwbBZFjjGgGUA6NLw09EwE0CqkOc4q9oUmW1yo/edit?usp=sharing"",""อุตรดิตถ์!M464"")"),0)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IFERROR(__xludf.DUMMYFUNCTION("IMPORTRANGE(""https://docs.google.com/spreadsheets/d/11923uPwbBZFjjGgGUA6NLw09EwE0CqkOc4q9oUmW1yo/edit?usp=sharing"",""อุตรดิตถ์!M465"")"),0)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IFERROR(__xludf.DUMMYFUNCTION("IMPORTRANGE(""https://docs.google.com/spreadsheets/d/11923uPwbBZFjjGgGUA6NLw09EwE0CqkOc4q9oUmW1yo/edit?usp=sharing"",""อุตรดิตถ์!M466"")"),63128)</f>
        <v>63128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IFERROR(__xludf.DUMMYFUNCTION("IMPORTRANGE(""https://docs.google.com/spreadsheets/d/11923uPwbBZFjjGgGUA6NLw09EwE0CqkOc4q9oUmW1yo/edit?usp=sharing"",""อุตรดิตถ์!M467"")"),20996)</f>
        <v>20996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IFERROR(__xludf.DUMMYFUNCTION("IMPORTRANGE(""https://docs.google.com/spreadsheets/d/11923uPwbBZFjjGgGUA6NLw09EwE0CqkOc4q9oUmW1yo/edit?usp=sharing"",""อุตรดิตถ์!I468"")"),1100)</f>
        <v>1100</v>
      </c>
      <c r="J573" s="422">
        <f ca="1">IFERROR(__xludf.DUMMYFUNCTION("IMPORTRANGE(""https://docs.google.com/spreadsheets/d/11923uPwbBZFjjGgGUA6NLw09EwE0CqkOc4q9oUmW1yo/edit?usp=sharing"",""อุตรดิตถ์!J468"")"),2105)</f>
        <v>2105</v>
      </c>
      <c r="K573" s="203">
        <f ca="1">IF(I573&gt;0,J573*100/I573,0)</f>
        <v>191.36363636363637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IFERROR(__xludf.DUMMYFUNCTION("IMPORTRANGE(""https://docs.google.com/spreadsheets/d/11923uPwbBZFjjGgGUA6NLw09EwE0CqkOc4q9oUmW1yo/edit?usp=sharing"",""อุตรดิตถ์!I470"")"),0)</f>
        <v>0</v>
      </c>
      <c r="J575" s="199">
        <f ca="1">IFERROR(__xludf.DUMMYFUNCTION("IMPORTRANGE(""https://docs.google.com/spreadsheets/d/11923uPwbBZFjjGgGUA6NLw09EwE0CqkOc4q9oUmW1yo/edit?usp=sharing"",""อุตรดิตถ์!J470"")"),5)</f>
        <v>5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IFERROR(__xludf.DUMMYFUNCTION("IMPORTRANGE(""https://docs.google.com/spreadsheets/d/11923uPwbBZFjjGgGUA6NLw09EwE0CqkOc4q9oUmW1yo/edit?usp=sharing"",""อุตรดิตถ์!I471"")"),0)</f>
        <v>0</v>
      </c>
      <c r="J576" s="199">
        <f ca="1">IFERROR(__xludf.DUMMYFUNCTION("IMPORTRANGE(""https://docs.google.com/spreadsheets/d/11923uPwbBZFjjGgGUA6NLw09EwE0CqkOc4q9oUmW1yo/edit?usp=sharing"",""อุตรดิตถ์!J471"")"),294)</f>
        <v>294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IFERROR(__xludf.DUMMYFUNCTION("IMPORTRANGE(""https://docs.google.com/spreadsheets/d/11923uPwbBZFjjGgGUA6NLw09EwE0CqkOc4q9oUmW1yo/edit?usp=sharing"",""อุตรดิตถ์!I472"")"),0)</f>
        <v>0</v>
      </c>
      <c r="J577" s="190">
        <f ca="1">IFERROR(__xludf.DUMMYFUNCTION("IMPORTRANGE(""https://docs.google.com/spreadsheets/d/11923uPwbBZFjjGgGUA6NLw09EwE0CqkOc4q9oUmW1yo/edit?usp=sharing"",""อุตรดิตถ์!J472"")"),1370)</f>
        <v>1370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IFERROR(__xludf.DUMMYFUNCTION("IMPORTRANGE(""https://docs.google.com/spreadsheets/d/11923uPwbBZFjjGgGUA6NLw09EwE0CqkOc4q9oUmW1yo/edit?usp=sharing"",""อุตรดิตถ์!I473"")"),0)</f>
        <v>0</v>
      </c>
      <c r="J578" s="199">
        <f ca="1">IFERROR(__xludf.DUMMYFUNCTION("IMPORTRANGE(""https://docs.google.com/spreadsheets/d/11923uPwbBZFjjGgGUA6NLw09EwE0CqkOc4q9oUmW1yo/edit?usp=sharing"",""อุตรดิตถ์!J473"")"),0)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IFERROR(__xludf.DUMMYFUNCTION("IMPORTRANGE(""https://docs.google.com/spreadsheets/d/11923uPwbBZFjjGgGUA6NLw09EwE0CqkOc4q9oUmW1yo/edit?usp=sharing"",""อุตรดิตถ์!I474"")"),0)</f>
        <v>0</v>
      </c>
      <c r="J579" s="199">
        <f ca="1">IFERROR(__xludf.DUMMYFUNCTION("IMPORTRANGE(""https://docs.google.com/spreadsheets/d/11923uPwbBZFjjGgGUA6NLw09EwE0CqkOc4q9oUmW1yo/edit?usp=sharing"",""อุตรดิตถ์!J474"")"),441)</f>
        <v>441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IFERROR(__xludf.DUMMYFUNCTION("IMPORTRANGE(""https://docs.google.com/spreadsheets/d/11923uPwbBZFjjGgGUA6NLw09EwE0CqkOc4q9oUmW1yo/edit?usp=sharing"",""อุตรดิตถ์!I475"")"),0)</f>
        <v>0</v>
      </c>
      <c r="J580" s="372">
        <f ca="1">IFERROR(__xludf.DUMMYFUNCTION("IMPORTRANGE(""https://docs.google.com/spreadsheets/d/11923uPwbBZFjjGgGUA6NLw09EwE0CqkOc4q9oUmW1yo/edit?usp=sharing"",""อุตรดิตถ์!J475"")"),0)</f>
        <v>0</v>
      </c>
      <c r="K580" s="373">
        <f ca="1">IF(I580&gt;0,J580*100/I580,0)</f>
        <v>0</v>
      </c>
      <c r="L580" s="374">
        <f ca="1">IFERROR(__xludf.DUMMYFUNCTION("IMPORTRANGE(""https://docs.google.com/spreadsheets/d/11923uPwbBZFjjGgGUA6NLw09EwE0CqkOc4q9oUmW1yo/edit?usp=sharing"",""อุตรดิตถ์!L475"")"),0)</f>
        <v>0</v>
      </c>
      <c r="M580" s="374"/>
      <c r="N580" s="374">
        <f ca="1">IFERROR(__xludf.DUMMYFUNCTION("IMPORTRANGE(""https://docs.google.com/spreadsheets/d/11923uPwbBZFjjGgGUA6NLw09EwE0CqkOc4q9oUmW1yo/edit?usp=sharing"",""อุตรดิตถ์!M475"")"),0)</f>
        <v>0</v>
      </c>
      <c r="O580" s="374">
        <f t="shared" ref="O580:O584" ca="1" si="124">+IF(L580&gt;0,N580*100/L580,0)</f>
        <v>0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IFERROR(__xludf.DUMMYFUNCTION("IMPORTRANGE(""https://docs.google.com/spreadsheets/d/11923uPwbBZFjjGgGUA6NLw09EwE0CqkOc4q9oUmW1yo/edit?usp=sharing"",""อุตรดิตถ์!L476"")"),0)</f>
        <v>0</v>
      </c>
      <c r="M581" s="166"/>
      <c r="N581" s="170">
        <f ca="1">IFERROR(__xludf.DUMMYFUNCTION("IMPORTRANGE(""https://docs.google.com/spreadsheets/d/11923uPwbBZFjjGgGUA6NLw09EwE0CqkOc4q9oUmW1yo/edit?usp=sharing"",""อุตรดิตถ์!M476"")"),0)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IFERROR(__xludf.DUMMYFUNCTION("IMPORTRANGE(""https://docs.google.com/spreadsheets/d/11923uPwbBZFjjGgGUA6NLw09EwE0CqkOc4q9oUmW1yo/edit?usp=sharing"",""อุตรดิตถ์!L477"")"),0)</f>
        <v>0</v>
      </c>
      <c r="M582" s="167"/>
      <c r="N582" s="170">
        <f ca="1">IFERROR(__xludf.DUMMYFUNCTION("IMPORTRANGE(""https://docs.google.com/spreadsheets/d/11923uPwbBZFjjGgGUA6NLw09EwE0CqkOc4q9oUmW1yo/edit?usp=sharing"",""อุตรดิตถ์!M477"")"),0)</f>
        <v>0</v>
      </c>
      <c r="O582" s="170">
        <f t="shared" ca="1" si="124"/>
        <v>0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IFERROR(__xludf.DUMMYFUNCTION("IMPORTRANGE(""https://docs.google.com/spreadsheets/d/11923uPwbBZFjjGgGUA6NLw09EwE0CqkOc4q9oUmW1yo/edit?usp=sharing"",""อุตรดิตถ์!L478"")"),0)</f>
        <v>0</v>
      </c>
      <c r="M583" s="170"/>
      <c r="N583" s="170">
        <f ca="1">IFERROR(__xludf.DUMMYFUNCTION("IMPORTRANGE(""https://docs.google.com/spreadsheets/d/11923uPwbBZFjjGgGUA6NLw09EwE0CqkOc4q9oUmW1yo/edit?usp=sharing"",""อุตรดิตถ์!M478"")"),0)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IFERROR(__xludf.DUMMYFUNCTION("IMPORTRANGE(""https://docs.google.com/spreadsheets/d/11923uPwbBZFjjGgGUA6NLw09EwE0CqkOc4q9oUmW1yo/edit?usp=sharing"",""อุตรดิตถ์!L479"")"),0)</f>
        <v>0</v>
      </c>
      <c r="M584" s="170"/>
      <c r="N584" s="170">
        <f ca="1">IFERROR(__xludf.DUMMYFUNCTION("IMPORTRANGE(""https://docs.google.com/spreadsheets/d/11923uPwbBZFjjGgGUA6NLw09EwE0CqkOc4q9oUmW1yo/edit?usp=sharing"",""อุตรดิตถ์!M479"")"),0)</f>
        <v>0</v>
      </c>
      <c r="O584" s="170">
        <f t="shared" ca="1" si="124"/>
        <v>0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IFERROR(__xludf.DUMMYFUNCTION("IMPORTRANGE(""https://docs.google.com/spreadsheets/d/11923uPwbBZFjjGgGUA6NLw09EwE0CqkOc4q9oUmW1yo/edit?usp=sharing"",""อุตรดิตถ์!M480"")"),0)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IFERROR(__xludf.DUMMYFUNCTION("IMPORTRANGE(""https://docs.google.com/spreadsheets/d/11923uPwbBZFjjGgGUA6NLw09EwE0CqkOc4q9oUmW1yo/edit?usp=sharing"",""อุตรดิตถ์!M481"")"),0)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IFERROR(__xludf.DUMMYFUNCTION("IMPORTRANGE(""https://docs.google.com/spreadsheets/d/11923uPwbBZFjjGgGUA6NLw09EwE0CqkOc4q9oUmW1yo/edit?usp=sharing"",""อุตรดิตถ์!M482"")"),0)</f>
        <v>0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IFERROR(__xludf.DUMMYFUNCTION("IMPORTRANGE(""https://docs.google.com/spreadsheets/d/11923uPwbBZFjjGgGUA6NLw09EwE0CqkOc4q9oUmW1yo/edit?usp=sharing"",""อุตรดิตถ์!M483"")"),0)</f>
        <v>0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IFERROR(__xludf.DUMMYFUNCTION("IMPORTRANGE(""https://docs.google.com/spreadsheets/d/11923uPwbBZFjjGgGUA6NLw09EwE0CqkOc4q9oUmW1yo/edit?usp=sharing"",""อุตรดิตถ์!I484"")"),0)</f>
        <v>0</v>
      </c>
      <c r="J589" s="189">
        <f ca="1">IFERROR(__xludf.DUMMYFUNCTION("IMPORTRANGE(""https://docs.google.com/spreadsheets/d/11923uPwbBZFjjGgGUA6NLw09EwE0CqkOc4q9oUmW1yo/edit?usp=sharing"",""อุตรดิตถ์!J484"")"),2)</f>
        <v>2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IFERROR(__xludf.DUMMYFUNCTION("IMPORTRANGE(""https://docs.google.com/spreadsheets/d/11923uPwbBZFjjGgGUA6NLw09EwE0CqkOc4q9oUmW1yo/edit?usp=sharing"",""อุตรดิตถ์!I485"")"),0)</f>
        <v>0</v>
      </c>
      <c r="J590" s="189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IFERROR(__xludf.DUMMYFUNCTION("IMPORTRANGE(""https://docs.google.com/spreadsheets/d/11923uPwbBZFjjGgGUA6NLw09EwE0CqkOc4q9oUmW1yo/edit?usp=sharing"",""อุตรดิตถ์!I486"")"),0)</f>
        <v>0</v>
      </c>
      <c r="J591" s="189">
        <f ca="1">IFERROR(__xludf.DUMMYFUNCTION("IMPORTRANGE(""https://docs.google.com/spreadsheets/d/11923uPwbBZFjjGgGUA6NLw09EwE0CqkOc4q9oUmW1yo/edit?usp=sharing"",""อุตรดิตถ์!J486"")"),2)</f>
        <v>2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IFERROR(__xludf.DUMMYFUNCTION("IMPORTRANGE(""https://docs.google.com/spreadsheets/d/11923uPwbBZFjjGgGUA6NLw09EwE0CqkOc4q9oUmW1yo/edit?usp=sharing"",""อุตรดิตถ์!I487"")"),0)</f>
        <v>0</v>
      </c>
      <c r="J592" s="189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IFERROR(__xludf.DUMMYFUNCTION("IMPORTRANGE(""https://docs.google.com/spreadsheets/d/11923uPwbBZFjjGgGUA6NLw09EwE0CqkOc4q9oUmW1yo/edit?usp=sharing"",""อุตรดิตถ์!I488"")"),0)</f>
        <v>0</v>
      </c>
      <c r="J593" s="189">
        <f ca="1">IFERROR(__xludf.DUMMYFUNCTION("IMPORTRANGE(""https://docs.google.com/spreadsheets/d/11923uPwbBZFjjGgGUA6NLw09EwE0CqkOc4q9oUmW1yo/edit?usp=sharing"",""อุตรดิตถ์!J488"")"),0)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IFERROR(__xludf.DUMMYFUNCTION("IMPORTRANGE(""https://docs.google.com/spreadsheets/d/11923uPwbBZFjjGgGUA6NLw09EwE0CqkOc4q9oUmW1yo/edit?usp=sharing"",""อุตรดิตถ์!I489"")"),0)</f>
        <v>0</v>
      </c>
      <c r="J594" s="189">
        <f ca="1">IFERROR(__xludf.DUMMYFUNCTION("IMPORTRANGE(""https://docs.google.com/spreadsheets/d/11923uPwbBZFjjGgGUA6NLw09EwE0CqkOc4q9oUmW1yo/edit?usp=sharing"",""อุตรดิตถ์!J489"")"),0)</f>
        <v>0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IFERROR(__xludf.DUMMYFUNCTION("IMPORTRANGE(""https://docs.google.com/spreadsheets/d/11923uPwbBZFjjGgGUA6NLw09EwE0CqkOc4q9oUmW1yo/edit?usp=sharing"",""อุตรดิตถ์!I490"")"),0)</f>
        <v>0</v>
      </c>
      <c r="J595" s="189">
        <f ca="1">IFERROR(__xludf.DUMMYFUNCTION("IMPORTRANGE(""https://docs.google.com/spreadsheets/d/11923uPwbBZFjjGgGUA6NLw09EwE0CqkOc4q9oUmW1yo/edit?usp=sharing"",""อุตรดิตถ์!J490"")"),0)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IFERROR(__xludf.DUMMYFUNCTION("IMPORTRANGE(""https://docs.google.com/spreadsheets/d/11923uPwbBZFjjGgGUA6NLw09EwE0CqkOc4q9oUmW1yo/edit?usp=sharing"",""อุตรดิตถ์!I491"")"),0)</f>
        <v>0</v>
      </c>
      <c r="J596" s="242">
        <f ca="1">IFERROR(__xludf.DUMMYFUNCTION("IMPORTRANGE(""https://docs.google.com/spreadsheets/d/11923uPwbBZFjjGgGUA6NLw09EwE0CqkOc4q9oUmW1yo/edit?usp=sharing"",""อุตรดิตถ์!J491"")"),0)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IFERROR(__xludf.DUMMYFUNCTION("IMPORTRANGE(""https://docs.google.com/spreadsheets/d/11923uPwbBZFjjGgGUA6NLw09EwE0CqkOc4q9oUmW1yo/edit?usp=sharing"",""อุตรดิตถ์!I492"")"),50)</f>
        <v>50</v>
      </c>
      <c r="J597" s="489">
        <f ca="1">IFERROR(__xludf.DUMMYFUNCTION("IMPORTRANGE(""https://docs.google.com/spreadsheets/d/11923uPwbBZFjjGgGUA6NLw09EwE0CqkOc4q9oUmW1yo/edit?usp=sharing"",""อุตรดิตถ์!J492"")"),0)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IFERROR(__xludf.DUMMYFUNCTION("IMPORTRANGE(""https://docs.google.com/spreadsheets/d/11923uPwbBZFjjGgGUA6NLw09EwE0CqkOc4q9oUmW1yo/edit?usp=sharing"",""อุตรดิตถ์!L492"")"),6150)</f>
        <v>6150</v>
      </c>
      <c r="M597" s="413"/>
      <c r="N597" s="413">
        <f ca="1">IFERROR(__xludf.DUMMYFUNCTION("IMPORTRANGE(""https://docs.google.com/spreadsheets/d/11923uPwbBZFjjGgGUA6NLw09EwE0CqkOc4q9oUmW1yo/edit?usp=sharing"",""อุตรดิตถ์!M492"")"),1600)</f>
        <v>1600</v>
      </c>
      <c r="O597" s="413">
        <f t="shared" ref="O597:O601" ca="1" si="126">+IF(L597&gt;0,N597*100/L597,0)</f>
        <v>26.016260162601625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IFERROR(__xludf.DUMMYFUNCTION("IMPORTRANGE(""https://docs.google.com/spreadsheets/d/11923uPwbBZFjjGgGUA6NLw09EwE0CqkOc4q9oUmW1yo/edit?usp=sharing"",""อุตรดิตถ์!L493"")"),0)</f>
        <v>0</v>
      </c>
      <c r="M598" s="166"/>
      <c r="N598" s="170">
        <f ca="1">IFERROR(__xludf.DUMMYFUNCTION("IMPORTRANGE(""https://docs.google.com/spreadsheets/d/11923uPwbBZFjjGgGUA6NLw09EwE0CqkOc4q9oUmW1yo/edit?usp=sharing"",""อุตรดิตถ์!M493"")"),0)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IFERROR(__xludf.DUMMYFUNCTION("IMPORTRANGE(""https://docs.google.com/spreadsheets/d/11923uPwbBZFjjGgGUA6NLw09EwE0CqkOc4q9oUmW1yo/edit?usp=sharing"",""อุตรดิตถ์!L494"")"),6150)</f>
        <v>6150</v>
      </c>
      <c r="M599" s="167"/>
      <c r="N599" s="170">
        <f ca="1">IFERROR(__xludf.DUMMYFUNCTION("IMPORTRANGE(""https://docs.google.com/spreadsheets/d/11923uPwbBZFjjGgGUA6NLw09EwE0CqkOc4q9oUmW1yo/edit?usp=sharing"",""อุตรดิตถ์!M494"")"),1600)</f>
        <v>1600</v>
      </c>
      <c r="O599" s="170">
        <f t="shared" ca="1" si="126"/>
        <v>26.016260162601625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IFERROR(__xludf.DUMMYFUNCTION("IMPORTRANGE(""https://docs.google.com/spreadsheets/d/11923uPwbBZFjjGgGUA6NLw09EwE0CqkOc4q9oUmW1yo/edit?usp=sharing"",""อุตรดิตถ์!L495"")"),0)</f>
        <v>0</v>
      </c>
      <c r="M600" s="170"/>
      <c r="N600" s="170">
        <f ca="1">IFERROR(__xludf.DUMMYFUNCTION("IMPORTRANGE(""https://docs.google.com/spreadsheets/d/11923uPwbBZFjjGgGUA6NLw09EwE0CqkOc4q9oUmW1yo/edit?usp=sharing"",""อุตรดิตถ์!M495"")"),0)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IFERROR(__xludf.DUMMYFUNCTION("IMPORTRANGE(""https://docs.google.com/spreadsheets/d/11923uPwbBZFjjGgGUA6NLw09EwE0CqkOc4q9oUmW1yo/edit?usp=sharing"",""อุตรดิตถ์!L496"")"),6150)</f>
        <v>6150</v>
      </c>
      <c r="M601" s="170"/>
      <c r="N601" s="170">
        <f ca="1">IFERROR(__xludf.DUMMYFUNCTION("IMPORTRANGE(""https://docs.google.com/spreadsheets/d/11923uPwbBZFjjGgGUA6NLw09EwE0CqkOc4q9oUmW1yo/edit?usp=sharing"",""อุตรดิตถ์!M496"")"),1600)</f>
        <v>1600</v>
      </c>
      <c r="O601" s="170">
        <f t="shared" ca="1" si="126"/>
        <v>26.016260162601625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IFERROR(__xludf.DUMMYFUNCTION("IMPORTRANGE(""https://docs.google.com/spreadsheets/d/11923uPwbBZFjjGgGUA6NLw09EwE0CqkOc4q9oUmW1yo/edit?usp=sharing"",""อุตรดิตถ์!M497"")"),0)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IFERROR(__xludf.DUMMYFUNCTION("IMPORTRANGE(""https://docs.google.com/spreadsheets/d/11923uPwbBZFjjGgGUA6NLw09EwE0CqkOc4q9oUmW1yo/edit?usp=sharing"",""อุตรดิตถ์!M498"")"),0)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IFERROR(__xludf.DUMMYFUNCTION("IMPORTRANGE(""https://docs.google.com/spreadsheets/d/11923uPwbBZFjjGgGUA6NLw09EwE0CqkOc4q9oUmW1yo/edit?usp=sharing"",""อุตรดิตถ์!M499"")"),0)</f>
        <v>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IFERROR(__xludf.DUMMYFUNCTION("IMPORTRANGE(""https://docs.google.com/spreadsheets/d/11923uPwbBZFjjGgGUA6NLw09EwE0CqkOc4q9oUmW1yo/edit?usp=sharing"",""อุตรดิตถ์!M500"")"),1600)</f>
        <v>1600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IFERROR(__xludf.DUMMYFUNCTION("IMPORTRANGE(""https://docs.google.com/spreadsheets/d/11923uPwbBZFjjGgGUA6NLw09EwE0CqkOc4q9oUmW1yo/edit?usp=sharing"",""อุตรดิตถ์!J502"")"),0)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IFERROR(__xludf.DUMMYFUNCTION("IMPORTRANGE(""https://docs.google.com/spreadsheets/d/11923uPwbBZFjjGgGUA6NLw09EwE0CqkOc4q9oUmW1yo/edit?usp=sharing"",""อุตรดิตถ์!J503"")"),1)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IFERROR(__xludf.DUMMYFUNCTION("IMPORTRANGE(""https://docs.google.com/spreadsheets/d/11923uPwbBZFjjGgGUA6NLw09EwE0CqkOc4q9oUmW1yo/edit?usp=sharing"",""อุตรดิตถ์!J166"")"),0)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IFERROR(__xludf.DUMMYFUNCTION("IMPORTRANGE(""https://docs.google.com/spreadsheets/d/11923uPwbBZFjjGgGUA6NLw09EwE0CqkOc4q9oUmW1yo/edit?usp=sharing"",""อุตรดิตถ์!J166"")"),0)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IFERROR(__xludf.DUMMYFUNCTION("IMPORTRANGE(""https://docs.google.com/spreadsheets/d/11923uPwbBZFjjGgGUA6NLw09EwE0CqkOc4q9oUmW1yo/edit?usp=sharing"",""อุตรดิตถ์!I506"")"),50)</f>
        <v>50</v>
      </c>
      <c r="J611" s="164">
        <f ca="1">IFERROR(__xludf.DUMMYFUNCTION("IMPORTRANGE(""https://docs.google.com/spreadsheets/d/11923uPwbBZFjjGgGUA6NLw09EwE0CqkOc4q9oUmW1yo/edit?usp=sharing"",""อุตรดิตถ์!J506"")"),0)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IFERROR(__xludf.DUMMYFUNCTION("IMPORTRANGE(""https://docs.google.com/spreadsheets/d/11923uPwbBZFjjGgGUA6NLw09EwE0CqkOc4q9oUmW1yo/edit?usp=sharing"",""อุตรดิตถ์!I507"")"),0)</f>
        <v>0</v>
      </c>
      <c r="J612" s="199">
        <f ca="1">IFERROR(__xludf.DUMMYFUNCTION("IMPORTRANGE(""https://docs.google.com/spreadsheets/d/11923uPwbBZFjjGgGUA6NLw09EwE0CqkOc4q9oUmW1yo/edit?usp=sharing"",""อุตรดิตถ์!J507"")"),0)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IFERROR(__xludf.DUMMYFUNCTION("IMPORTRANGE(""https://docs.google.com/spreadsheets/d/11923uPwbBZFjjGgGUA6NLw09EwE0CqkOc4q9oUmW1yo/edit?usp=sharing"",""อุตรดิตถ์!I508"")"),0)</f>
        <v>0</v>
      </c>
      <c r="J613" s="199">
        <f ca="1">IFERROR(__xludf.DUMMYFUNCTION("IMPORTRANGE(""https://docs.google.com/spreadsheets/d/11923uPwbBZFjjGgGUA6NLw09EwE0CqkOc4q9oUmW1yo/edit?usp=sharing"",""อุตรดิตถ์!J508"")"),0)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IFERROR(__xludf.DUMMYFUNCTION("IMPORTRANGE(""https://docs.google.com/spreadsheets/d/11923uPwbBZFjjGgGUA6NLw09EwE0CqkOc4q9oUmW1yo/edit?usp=sharing"",""อุตรดิตถ์!I509"")"),0)</f>
        <v>0</v>
      </c>
      <c r="J614" s="199">
        <f ca="1">IFERROR(__xludf.DUMMYFUNCTION("IMPORTRANGE(""https://docs.google.com/spreadsheets/d/11923uPwbBZFjjGgGUA6NLw09EwE0CqkOc4q9oUmW1yo/edit?usp=sharing"",""อุตรดิตถ์!J509"")"),0)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IFERROR(__xludf.DUMMYFUNCTION("IMPORTRANGE(""https://docs.google.com/spreadsheets/d/11923uPwbBZFjjGgGUA6NLw09EwE0CqkOc4q9oUmW1yo/edit?usp=sharing"",""อุตรดิตถ์!I510"")"),0)</f>
        <v>0</v>
      </c>
      <c r="J615" s="199">
        <f ca="1">IFERROR(__xludf.DUMMYFUNCTION("IMPORTRANGE(""https://docs.google.com/spreadsheets/d/11923uPwbBZFjjGgGUA6NLw09EwE0CqkOc4q9oUmW1yo/edit?usp=sharing"",""อุตรดิตถ์!J510"")"),0)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IFERROR(__xludf.DUMMYFUNCTION("IMPORTRANGE(""https://docs.google.com/spreadsheets/d/11923uPwbBZFjjGgGUA6NLw09EwE0CqkOc4q9oUmW1yo/edit?usp=sharing"",""อุตรดิตถ์!I511"")"),0)</f>
        <v>0</v>
      </c>
      <c r="J616" s="199">
        <f ca="1">IFERROR(__xludf.DUMMYFUNCTION("IMPORTRANGE(""https://docs.google.com/spreadsheets/d/11923uPwbBZFjjGgGUA6NLw09EwE0CqkOc4q9oUmW1yo/edit?usp=sharing"",""อุตรดิตถ์!J511"")"),0)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IFERROR(__xludf.DUMMYFUNCTION("IMPORTRANGE(""https://docs.google.com/spreadsheets/d/11923uPwbBZFjjGgGUA6NLw09EwE0CqkOc4q9oUmW1yo/edit?usp=sharing"",""อุตรดิตถ์!I512"")"),0)</f>
        <v>0</v>
      </c>
      <c r="J617" s="189">
        <f ca="1">IFERROR(__xludf.DUMMYFUNCTION("IMPORTRANGE(""https://docs.google.com/spreadsheets/d/11923uPwbBZFjjGgGUA6NLw09EwE0CqkOc4q9oUmW1yo/edit?usp=sharing"",""อุตรดิตถ์!J512"")"),0)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IFERROR(__xludf.DUMMYFUNCTION("IMPORTRANGE(""https://docs.google.com/spreadsheets/d/11923uPwbBZFjjGgGUA6NLw09EwE0CqkOc4q9oUmW1yo/edit?usp=sharing"",""อุตรดิตถ์!I513"")"),0)</f>
        <v>0</v>
      </c>
      <c r="J618" s="190">
        <f ca="1">IFERROR(__xludf.DUMMYFUNCTION("IMPORTRANGE(""https://docs.google.com/spreadsheets/d/11923uPwbBZFjjGgGUA6NLw09EwE0CqkOc4q9oUmW1yo/edit?usp=sharing"",""อุตรดิตถ์!J513"")"),0)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IFERROR(__xludf.DUMMYFUNCTION("IMPORTRANGE(""https://docs.google.com/spreadsheets/d/11923uPwbBZFjjGgGUA6NLw09EwE0CqkOc4q9oUmW1yo/edit?usp=sharing"",""อุตรดิตถ์!I514"")"),0)</f>
        <v>0</v>
      </c>
      <c r="J619" s="190">
        <f ca="1">IFERROR(__xludf.DUMMYFUNCTION("IMPORTRANGE(""https://docs.google.com/spreadsheets/d/11923uPwbBZFjjGgGUA6NLw09EwE0CqkOc4q9oUmW1yo/edit?usp=sharing"",""อุตรดิตถ์!J514"")"),0)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IFERROR(__xludf.DUMMYFUNCTION("IMPORTRANGE(""https://docs.google.com/spreadsheets/d/11923uPwbBZFjjGgGUA6NLw09EwE0CqkOc4q9oUmW1yo/edit?usp=sharing"",""อุตรดิตถ์!I515"")"),1577)</f>
        <v>1577</v>
      </c>
      <c r="J620" s="204">
        <f ca="1">IFERROR(__xludf.DUMMYFUNCTION("IMPORTRANGE(""https://docs.google.com/spreadsheets/d/11923uPwbBZFjjGgGUA6NLw09EwE0CqkOc4q9oUmW1yo/edit?usp=sharing"",""อุตรดิตถ์!J515"")"),0)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IFERROR(__xludf.DUMMYFUNCTION("IMPORTRANGE(""https://docs.google.com/spreadsheets/d/11923uPwbBZFjjGgGUA6NLw09EwE0CqkOc4q9oUmW1yo/edit?usp=sharing"",""อุตรดิตถ์!I516"")"),0)</f>
        <v>0</v>
      </c>
      <c r="J621" s="204">
        <f ca="1">IFERROR(__xludf.DUMMYFUNCTION("IMPORTRANGE(""https://docs.google.com/spreadsheets/d/11923uPwbBZFjjGgGUA6NLw09EwE0CqkOc4q9oUmW1yo/edit?usp=sharing"",""อุตรดิตถ์!J516"")"),0)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IFERROR(__xludf.DUMMYFUNCTION("IMPORTRANGE(""https://docs.google.com/spreadsheets/d/11923uPwbBZFjjGgGUA6NLw09EwE0CqkOc4q9oUmW1yo/edit?usp=sharing"",""อุตรดิตถ์!I517"")"),0)</f>
        <v>0</v>
      </c>
      <c r="J622" s="190">
        <f ca="1">IFERROR(__xludf.DUMMYFUNCTION("IMPORTRANGE(""https://docs.google.com/spreadsheets/d/11923uPwbBZFjjGgGUA6NLw09EwE0CqkOc4q9oUmW1yo/edit?usp=sharing"",""อุตรดิตถ์!J517"")"),0)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IFERROR(__xludf.DUMMYFUNCTION("IMPORTRANGE(""https://docs.google.com/spreadsheets/d/11923uPwbBZFjjGgGUA6NLw09EwE0CqkOc4q9oUmW1yo/edit?usp=sharing"",""อุตรดิตถ์!I518"")"),0)</f>
        <v>0</v>
      </c>
      <c r="J623" s="190">
        <f ca="1">IFERROR(__xludf.DUMMYFUNCTION("IMPORTRANGE(""https://docs.google.com/spreadsheets/d/11923uPwbBZFjjGgGUA6NLw09EwE0CqkOc4q9oUmW1yo/edit?usp=sharing"",""อุตรดิตถ์!J518"")"),0)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IFERROR(__xludf.DUMMYFUNCTION("IMPORTRANGE(""https://docs.google.com/spreadsheets/d/11923uPwbBZFjjGgGUA6NLw09EwE0CqkOc4q9oUmW1yo/edit?usp=sharing"",""อุตรดิตถ์!I519"")"),0)</f>
        <v>0</v>
      </c>
      <c r="J624" s="189">
        <f ca="1">IFERROR(__xludf.DUMMYFUNCTION("IMPORTRANGE(""https://docs.google.com/spreadsheets/d/11923uPwbBZFjjGgGUA6NLw09EwE0CqkOc4q9oUmW1yo/edit?usp=sharing"",""อุตรดิตถ์!J519"")"),0)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IFERROR(__xludf.DUMMYFUNCTION("IMPORTRANGE(""https://docs.google.com/spreadsheets/d/11923uPwbBZFjjGgGUA6NLw09EwE0CqkOc4q9oUmW1yo/edit?usp=sharing"",""อุตรดิตถ์!I520"")"),0)</f>
        <v>0</v>
      </c>
      <c r="J625" s="190">
        <f ca="1">IFERROR(__xludf.DUMMYFUNCTION("IMPORTRANGE(""https://docs.google.com/spreadsheets/d/11923uPwbBZFjjGgGUA6NLw09EwE0CqkOc4q9oUmW1yo/edit?usp=sharing"",""อุตรดิตถ์!J520"")"),0)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IFERROR(__xludf.DUMMYFUNCTION("IMPORTRANGE(""https://docs.google.com/spreadsheets/d/11923uPwbBZFjjGgGUA6NLw09EwE0CqkOc4q9oUmW1yo/edit?usp=sharing"",""อุตรดิตถ์!I521"")"),0)</f>
        <v>0</v>
      </c>
      <c r="J626" s="190">
        <f ca="1">IFERROR(__xludf.DUMMYFUNCTION("IMPORTRANGE(""https://docs.google.com/spreadsheets/d/11923uPwbBZFjjGgGUA6NLw09EwE0CqkOc4q9oUmW1yo/edit?usp=sharing"",""อุตรดิตถ์!J521"")"),0)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IFERROR(__xludf.DUMMYFUNCTION("IMPORTRANGE(""https://docs.google.com/spreadsheets/d/11923uPwbBZFjjGgGUA6NLw09EwE0CqkOc4q9oUmW1yo/edit?usp=sharing"",""อุตรดิตถ์!I523"")"),14484921.75)</f>
        <v>14484921.75</v>
      </c>
      <c r="J628" s="342">
        <f ca="1">IFERROR(__xludf.DUMMYFUNCTION("IMPORTRANGE(""https://docs.google.com/spreadsheets/d/11923uPwbBZFjjGgGUA6NLw09EwE0CqkOc4q9oUmW1yo/edit?usp=sharing"",""อุตรดิตถ์!J523"")"),9671313.14)</f>
        <v>9671313.1400000006</v>
      </c>
      <c r="K628" s="343">
        <f t="shared" ref="K628:K635" ca="1" si="129">IF(I628&gt;0,J628*100/I628,0)</f>
        <v>66.7681421199255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IFERROR(__xludf.DUMMYFUNCTION("IMPORTRANGE(""https://docs.google.com/spreadsheets/d/11923uPwbBZFjjGgGUA6NLw09EwE0CqkOc4q9oUmW1yo/edit?usp=sharing"",""อุตรดิตถ์!I524"")"),823)</f>
        <v>823</v>
      </c>
      <c r="J629" s="342">
        <f ca="1">IFERROR(__xludf.DUMMYFUNCTION("IMPORTRANGE(""https://docs.google.com/spreadsheets/d/11923uPwbBZFjjGgGUA6NLw09EwE0CqkOc4q9oUmW1yo/edit?usp=sharing"",""อุตรดิตถ์!J524"")"),688)</f>
        <v>688</v>
      </c>
      <c r="K629" s="343">
        <f t="shared" ca="1" si="129"/>
        <v>83.596597812879708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IFERROR(__xludf.DUMMYFUNCTION("IMPORTRANGE(""https://docs.google.com/spreadsheets/d/11923uPwbBZFjjGgGUA6NLw09EwE0CqkOc4q9oUmW1yo/edit?usp=sharing"",""อุตรดิตถ์!I525"")"),19312390.9)</f>
        <v>19312390.899999999</v>
      </c>
      <c r="J630" s="342">
        <f ca="1">IFERROR(__xludf.DUMMYFUNCTION("IMPORTRANGE(""https://docs.google.com/spreadsheets/d/11923uPwbBZFjjGgGUA6NLw09EwE0CqkOc4q9oUmW1yo/edit?usp=sharing"",""อุตรดิตถ์!J525"")"),1736344.84)</f>
        <v>1736344.84</v>
      </c>
      <c r="K630" s="343">
        <f t="shared" ca="1" si="129"/>
        <v>8.9908331339751424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IFERROR(__xludf.DUMMYFUNCTION("IMPORTRANGE(""https://docs.google.com/spreadsheets/d/11923uPwbBZFjjGgGUA6NLw09EwE0CqkOc4q9oUmW1yo/edit?usp=sharing"",""อุตรดิตถ์!I526"")"),698)</f>
        <v>698</v>
      </c>
      <c r="J631" s="342">
        <f ca="1">IFERROR(__xludf.DUMMYFUNCTION("IMPORTRANGE(""https://docs.google.com/spreadsheets/d/11923uPwbBZFjjGgGUA6NLw09EwE0CqkOc4q9oUmW1yo/edit?usp=sharing"",""อุตรดิตถ์!J526"")"),266)</f>
        <v>266</v>
      </c>
      <c r="K631" s="343">
        <f t="shared" ca="1" si="129"/>
        <v>38.108882521489974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42">
        <f ca="1">IFERROR(__xludf.DUMMYFUNCTION("IMPORTRANGE(""https://docs.google.com/spreadsheets/d/11923uPwbBZFjjGgGUA6NLw09EwE0CqkOc4q9oUmW1yo/edit?usp=sharing"",""อุตรดิตถ์!J527"")"),202614.98)</f>
        <v>202614.98</v>
      </c>
      <c r="K632" s="343">
        <f t="shared" ca="1" si="129"/>
        <v>7.3517167670892807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IFERROR(__xludf.DUMMYFUNCTION("IMPORTRANGE(""https://docs.google.com/spreadsheets/d/11923uPwbBZFjjGgGUA6NLw09EwE0CqkOc4q9oUmW1yo/edit?usp=sharing"",""อุตรดิตถ์!I528"")"),79)</f>
        <v>79</v>
      </c>
      <c r="J633" s="342">
        <f ca="1">IFERROR(__xludf.DUMMYFUNCTION("IMPORTRANGE(""https://docs.google.com/spreadsheets/d/11923uPwbBZFjjGgGUA6NLw09EwE0CqkOc4q9oUmW1yo/edit?usp=sharing"",""อุตรดิตถ์!J528"")"),26)</f>
        <v>26</v>
      </c>
      <c r="K633" s="343">
        <f t="shared" ca="1" si="129"/>
        <v>32.911392405063289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42">
        <f ca="1">IFERROR(__xludf.DUMMYFUNCTION("IMPORTRANGE(""https://docs.google.com/spreadsheets/d/11923uPwbBZFjjGgGUA6NLw09EwE0CqkOc4q9oUmW1yo/edit?usp=sharing"",""อุตรดิตถ์!J529"")"),7045000)</f>
        <v>7045000</v>
      </c>
      <c r="K634" s="343">
        <f t="shared" ca="1" si="129"/>
        <v>46.966666666666669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IFERROR(__xludf.DUMMYFUNCTION("IMPORTRANGE(""https://docs.google.com/spreadsheets/d/11923uPwbBZFjjGgGUA6NLw09EwE0CqkOc4q9oUmW1yo/edit?usp=sharing"",""อุตรดิตถ์!I530"")"),400)</f>
        <v>400</v>
      </c>
      <c r="J635" s="506">
        <f ca="1">IFERROR(__xludf.DUMMYFUNCTION("IMPORTRANGE(""https://docs.google.com/spreadsheets/d/11923uPwbBZFjjGgGUA6NLw09EwE0CqkOc4q9oUmW1yo/edit?usp=sharing"",""อุตรดิตถ์!J530"")"),161)</f>
        <v>161</v>
      </c>
      <c r="K635" s="488">
        <f t="shared" ca="1" si="129"/>
        <v>40.25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2420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2420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2420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IFERROR(__xludf.DUMMYFUNCTION("IMPORTRANGE(""https://docs.google.com/spreadsheets/d/11923uPwbBZFjjGgGUA6NLw09EwE0CqkOc4q9oUmW1yo/edit?usp=sharing"",""อุตรดิตถ์!J541"")"),0)</f>
        <v>0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IFERROR(__xludf.DUMMYFUNCTION("IMPORTRANGE(""https://docs.google.com/spreadsheets/d/11923uPwbBZFjjGgGUA6NLw09EwE0CqkOc4q9oUmW1yo/edit?usp=sharing"",""อุตรดิตถ์!J542"")"),0)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IFERROR(__xludf.DUMMYFUNCTION("IMPORTRANGE(""https://docs.google.com/spreadsheets/d/11923uPwbBZFjjGgGUA6NLw09EwE0CqkOc4q9oUmW1yo/edit?usp=sharing"",""อุตรดิตถ์!I543"")"),0)</f>
        <v>0</v>
      </c>
      <c r="J648" s="537">
        <f ca="1">IFERROR(__xludf.DUMMYFUNCTION("IMPORTRANGE(""https://docs.google.com/spreadsheets/d/11923uPwbBZFjjGgGUA6NLw09EwE0CqkOc4q9oUmW1yo/edit?usp=sharing"",""อุตรดิตถ์!J543"")"),0)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IFERROR(__xludf.DUMMYFUNCTION("IMPORTRANGE(""https://docs.google.com/spreadsheets/d/11923uPwbBZFjjGgGUA6NLw09EwE0CqkOc4q9oUmW1yo/edit?usp=sharing"",""อุตรดิตถ์!L543"")"),0)</f>
        <v>0</v>
      </c>
      <c r="M648" s="522"/>
      <c r="N648" s="539">
        <f ca="1">IFERROR(__xludf.DUMMYFUNCTION("IMPORTRANGE(""https://docs.google.com/spreadsheets/d/11923uPwbBZFjjGgGUA6NLw09EwE0CqkOc4q9oUmW1yo/edit?usp=sharing"",""อุตรดิตถ์!M543"")"),0)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IFERROR(__xludf.DUMMYFUNCTION("IMPORTRANGE(""https://docs.google.com/spreadsheets/d/11923uPwbBZFjjGgGUA6NLw09EwE0CqkOc4q9oUmW1yo/edit?usp=sharing"",""อุตรดิตถ์!I544"")"),0)</f>
        <v>0</v>
      </c>
      <c r="J649" s="537">
        <f ca="1">IFERROR(__xludf.DUMMYFUNCTION("IMPORTRANGE(""https://docs.google.com/spreadsheets/d/11923uPwbBZFjjGgGUA6NLw09EwE0CqkOc4q9oUmW1yo/edit?usp=sharing"",""อุตรดิตถ์!J544"")"),0)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IFERROR(__xludf.DUMMYFUNCTION("IMPORTRANGE(""https://docs.google.com/spreadsheets/d/11923uPwbBZFjjGgGUA6NLw09EwE0CqkOc4q9oUmW1yo/edit?usp=sharing"",""อุตรดิตถ์!L544"")"),0)</f>
        <v>0</v>
      </c>
      <c r="M649" s="522"/>
      <c r="N649" s="539">
        <f ca="1">IFERROR(__xludf.DUMMYFUNCTION("IMPORTRANGE(""https://docs.google.com/spreadsheets/d/11923uPwbBZFjjGgGUA6NLw09EwE0CqkOc4q9oUmW1yo/edit?usp=sharing"",""อุตรดิตถ์!M544"")"),0)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IFERROR(__xludf.DUMMYFUNCTION("IMPORTRANGE(""https://docs.google.com/spreadsheets/d/11923uPwbBZFjjGgGUA6NLw09EwE0CqkOc4q9oUmW1yo/edit?usp=sharing"",""อุตรดิตถ์!I545"")"),4)</f>
        <v>4</v>
      </c>
      <c r="J650" s="537">
        <f ca="1">IFERROR(__xludf.DUMMYFUNCTION("IMPORTRANGE(""https://docs.google.com/spreadsheets/d/11923uPwbBZFjjGgGUA6NLw09EwE0CqkOc4q9oUmW1yo/edit?usp=sharing"",""อุตรดิตถ์!J545"")"),0)</f>
        <v>0</v>
      </c>
      <c r="K650" s="538">
        <f t="shared" ca="1" si="131"/>
        <v>0</v>
      </c>
      <c r="L650" s="523">
        <f ca="1">IFERROR(__xludf.DUMMYFUNCTION("IMPORTRANGE(""https://docs.google.com/spreadsheets/d/11923uPwbBZFjjGgGUA6NLw09EwE0CqkOc4q9oUmW1yo/edit?usp=sharing"",""อุตรดิตถ์!L545"")"),20)</f>
        <v>20</v>
      </c>
      <c r="M650" s="522"/>
      <c r="N650" s="539">
        <f ca="1">IFERROR(__xludf.DUMMYFUNCTION("IMPORTRANGE(""https://docs.google.com/spreadsheets/d/11923uPwbBZFjjGgGUA6NLw09EwE0CqkOc4q9oUmW1yo/edit?usp=sharing"",""อุตรดิตถ์!M545"")"),0)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IFERROR(__xludf.DUMMYFUNCTION("IMPORTRANGE(""https://docs.google.com/spreadsheets/d/11923uPwbBZFjjGgGUA6NLw09EwE0CqkOc4q9oUmW1yo/edit?usp=sharing"",""อุตรดิตถ์!I546"")"),0)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IFERROR(__xludf.DUMMYFUNCTION("IMPORTRANGE(""https://docs.google.com/spreadsheets/d/11923uPwbBZFjjGgGUA6NLw09EwE0CqkOc4q9oUmW1yo/edit?usp=sharing"",""อุตรดิตถ์!L546"")"),0)</f>
        <v>0</v>
      </c>
      <c r="M651" s="522"/>
      <c r="N651" s="539">
        <f ca="1">IFERROR(__xludf.DUMMYFUNCTION("IMPORTRANGE(""https://docs.google.com/spreadsheets/d/11923uPwbBZFjjGgGUA6NLw09EwE0CqkOc4q9oUmW1yo/edit?usp=sharing"",""อุตรดิตถ์!M546"")"),0)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IFERROR(__xludf.DUMMYFUNCTION("IMPORTRANGE(""https://docs.google.com/spreadsheets/d/11923uPwbBZFjjGgGUA6NLw09EwE0CqkOc4q9oUmW1yo/edit?usp=sharing"",""อุตรดิตถ์!J547"")"),0)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IFERROR(__xludf.DUMMYFUNCTION("IMPORTRANGE(""https://docs.google.com/spreadsheets/d/11923uPwbBZFjjGgGUA6NLw09EwE0CqkOc4q9oUmW1yo/edit?usp=sharing"",""อุตรดิตถ์!J548"")"),0)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IFERROR(__xludf.DUMMYFUNCTION("IMPORTRANGE(""https://docs.google.com/spreadsheets/d/11923uPwbBZFjjGgGUA6NLw09EwE0CqkOc4q9oUmW1yo/edit?usp=sharing"",""อุตรดิตถ์!J550"")"),0)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IFERROR(__xludf.DUMMYFUNCTION("IMPORTRANGE(""https://docs.google.com/spreadsheets/d/11923uPwbBZFjjGgGUA6NLw09EwE0CqkOc4q9oUmW1yo/edit?usp=sharing"",""อุตรดิตถ์!J551"")"),0)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IFERROR(__xludf.DUMMYFUNCTION("IMPORTRANGE(""https://docs.google.com/spreadsheets/d/11923uPwbBZFjjGgGUA6NLw09EwE0CqkOc4q9oUmW1yo/edit?usp=sharing"",""อุตรดิตถ์!J552"")"),0)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IFERROR(__xludf.DUMMYFUNCTION("IMPORTRANGE(""https://docs.google.com/spreadsheets/d/11923uPwbBZFjjGgGUA6NLw09EwE0CqkOc4q9oUmW1yo/edit?usp=sharing"",""อุตรดิตถ์!J553"")"),0)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IFERROR(__xludf.DUMMYFUNCTION("IMPORTRANGE(""https://docs.google.com/spreadsheets/d/11923uPwbBZFjjGgGUA6NLw09EwE0CqkOc4q9oUmW1yo/edit?usp=sharing"",""อุตรดิตถ์!J554"")"),0)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IFERROR(__xludf.DUMMYFUNCTION("IMPORTRANGE(""https://docs.google.com/spreadsheets/d/11923uPwbBZFjjGgGUA6NLw09EwE0CqkOc4q9oUmW1yo/edit?usp=sharing"",""อุตรดิตถ์!J555"")"),0)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IFERROR(__xludf.DUMMYFUNCTION("IMPORTRANGE(""https://docs.google.com/spreadsheets/d/11923uPwbBZFjjGgGUA6NLw09EwE0CqkOc4q9oUmW1yo/edit?usp=sharing"",""อุตรดิตถ์!J556"")"),0)</f>
        <v>0</v>
      </c>
      <c r="K661" s="538"/>
      <c r="L661" s="523">
        <f ca="1">IFERROR(__xludf.DUMMYFUNCTION("IMPORTRANGE(""https://docs.google.com/spreadsheets/d/11923uPwbBZFjjGgGUA6NLw09EwE0CqkOc4q9oUmW1yo/edit?usp=sharing"",""อุตรดิตถ์!L556"")"),2280)</f>
        <v>2280</v>
      </c>
      <c r="M661" s="522"/>
      <c r="N661" s="539">
        <f ca="1">IFERROR(__xludf.DUMMYFUNCTION("IMPORTRANGE(""https://docs.google.com/spreadsheets/d/11923uPwbBZFjjGgGUA6NLw09EwE0CqkOc4q9oUmW1yo/edit?usp=sharing"",""อุตรดิตถ์!M556"")"),0)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IFERROR(__xludf.DUMMYFUNCTION("IMPORTRANGE(""https://docs.google.com/spreadsheets/d/11923uPwbBZFjjGgGUA6NLw09EwE0CqkOc4q9oUmW1yo/edit?usp=sharing"",""อุตรดิตถ์!J557"")"),0)</f>
        <v>0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IFERROR(__xludf.DUMMYFUNCTION("IMPORTRANGE(""https://docs.google.com/spreadsheets/d/11923uPwbBZFjjGgGUA6NLw09EwE0CqkOc4q9oUmW1yo/edit?usp=sharing"",""อุตรดิตถ์!I558"")"),57)</f>
        <v>57</v>
      </c>
      <c r="J663" s="537">
        <f ca="1">IFERROR(__xludf.DUMMYFUNCTION("IMPORTRANGE(""https://docs.google.com/spreadsheets/d/11923uPwbBZFjjGgGUA6NLw09EwE0CqkOc4q9oUmW1yo/edit?usp=sharing"",""อุตรดิตถ์!J558"")"),0)</f>
        <v>0</v>
      </c>
      <c r="K663" s="538">
        <f ca="1">IF(I663&gt;0,J663*100/I663,0)</f>
        <v>0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IFERROR(__xludf.DUMMYFUNCTION("IMPORTRANGE(""https://docs.google.com/spreadsheets/d/11923uPwbBZFjjGgGUA6NLw09EwE0CqkOc4q9oUmW1yo/edit?usp=sharing"",""อุตรดิตถ์!I560"")"),1)</f>
        <v>1</v>
      </c>
      <c r="J665" s="537">
        <f ca="1">IFERROR(__xludf.DUMMYFUNCTION("IMPORTRANGE(""https://docs.google.com/spreadsheets/d/11923uPwbBZFjjGgGUA6NLw09EwE0CqkOc4q9oUmW1yo/edit?usp=sharing"",""อุตรดิตถ์!J560"")"),0)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IFERROR(__xludf.DUMMYFUNCTION("IMPORTRANGE(""https://docs.google.com/spreadsheets/d/11923uPwbBZFjjGgGUA6NLw09EwE0CqkOc4q9oUmW1yo/edit?usp=sharing"",""อุตรดิตถ์!L560"")"),120)</f>
        <v>120</v>
      </c>
      <c r="M665" s="522"/>
      <c r="N665" s="539">
        <f ca="1">IFERROR(__xludf.DUMMYFUNCTION("IMPORTRANGE(""https://docs.google.com/spreadsheets/d/11923uPwbBZFjjGgGUA6NLw09EwE0CqkOc4q9oUmW1yo/edit?usp=sharing"",""อุตรดิตถ์!M560"")"),0)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IFERROR(__xludf.DUMMYFUNCTION("IMPORTRANGE(""https://docs.google.com/spreadsheets/d/11923uPwbBZFjjGgGUA6NLw09EwE0CqkOc4q9oUmW1yo/edit?usp=sharing"",""อุตรดิตถ์!J561"")"),0)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IFERROR(__xludf.DUMMYFUNCTION("IMPORTRANGE(""https://docs.google.com/spreadsheets/d/11923uPwbBZFjjGgGUA6NLw09EwE0CqkOc4q9oUmW1yo/edit?usp=sharing"",""อุตรดิตถ์!J562"")"),0)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IFERROR(__xludf.DUMMYFUNCTION("IMPORTRANGE(""https://docs.google.com/spreadsheets/d/11923uPwbBZFjjGgGUA6NLw09EwE0CqkOc4q9oUmW1yo/edit?usp=sharing"",""อุตรดิตถ์!I563"")"),0)</f>
        <v>0</v>
      </c>
      <c r="J668" s="537">
        <f ca="1">IFERROR(__xludf.DUMMYFUNCTION("IMPORTRANGE(""https://docs.google.com/spreadsheets/d/11923uPwbBZFjjGgGUA6NLw09EwE0CqkOc4q9oUmW1yo/edit?usp=sharing"",""อุตรดิตถ์!J563"")"),0)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IFERROR(__xludf.DUMMYFUNCTION("IMPORTRANGE(""https://docs.google.com/spreadsheets/d/11923uPwbBZFjjGgGUA6NLw09EwE0CqkOc4q9oUmW1yo/edit?usp=sharing"",""อุตรดิตถ์!L563"")"),0)</f>
        <v>0</v>
      </c>
      <c r="M668" s="522"/>
      <c r="N668" s="539">
        <f ca="1">IFERROR(__xludf.DUMMYFUNCTION("IMPORTRANGE(""https://docs.google.com/spreadsheets/d/11923uPwbBZFjjGgGUA6NLw09EwE0CqkOc4q9oUmW1yo/edit?usp=sharing"",""อุตรดิตถ์!M563"")"),0)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IFERROR(__xludf.DUMMYFUNCTION("IMPORTRANGE(""https://docs.google.com/spreadsheets/d/11923uPwbBZFjjGgGUA6NLw09EwE0CqkOc4q9oUmW1yo/edit?usp=sharing"",""อุตรดิตถ์!J564"")"),0)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IFERROR(__xludf.DUMMYFUNCTION("IMPORTRANGE(""https://docs.google.com/spreadsheets/d/11923uPwbBZFjjGgGUA6NLw09EwE0CqkOc4q9oUmW1yo/edit?usp=sharing"",""อุตรดิตถ์!J565"")"),0)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IFERROR(__xludf.DUMMYFUNCTION("IMPORTRANGE(""https://docs.google.com/spreadsheets/d/11923uPwbBZFjjGgGUA6NLw09EwE0CqkOc4q9oUmW1yo/edit?usp=sharing"",""อุตรดิตถ์!I566"")"),0)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IFERROR(__xludf.DUMMYFUNCTION("IMPORTRANGE(""https://docs.google.com/spreadsheets/d/11923uPwbBZFjjGgGUA6NLw09EwE0CqkOc4q9oUmW1yo/edit?usp=sharing"",""อุตรดิตถ์!L566"")"),0)</f>
        <v>0</v>
      </c>
      <c r="M671" s="522"/>
      <c r="N671" s="539">
        <f ca="1">IFERROR(__xludf.DUMMYFUNCTION("IMPORTRANGE(""https://docs.google.com/spreadsheets/d/11923uPwbBZFjjGgGUA6NLw09EwE0CqkOc4q9oUmW1yo/edit?usp=sharing"",""อุตรดิตถ์!M566"")"),0)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IFERROR(__xludf.DUMMYFUNCTION("IMPORTRANGE(""https://docs.google.com/spreadsheets/d/11923uPwbBZFjjGgGUA6NLw09EwE0CqkOc4q9oUmW1yo/edit?usp=sharing"",""อุตรดิตถ์!J567"")"),0)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IFERROR(__xludf.DUMMYFUNCTION("IMPORTRANGE(""https://docs.google.com/spreadsheets/d/11923uPwbBZFjjGgGUA6NLw09EwE0CqkOc4q9oUmW1yo/edit?usp=sharing"",""อุตรดิตถ์!J568"")"),0)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IFERROR(__xludf.DUMMYFUNCTION("IMPORTRANGE(""https://docs.google.com/spreadsheets/d/11923uPwbBZFjjGgGUA6NLw09EwE0CqkOc4q9oUmW1yo/edit?usp=sharing"",""อุตรดิตถ์!J569"")"),0)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IFERROR(__xludf.DUMMYFUNCTION("IMPORTRANGE(""https://docs.google.com/spreadsheets/d/11923uPwbBZFjjGgGUA6NLw09EwE0CqkOc4q9oUmW1yo/edit?usp=sharing"",""อุตรดิตถ์!J570"")"),0)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IFERROR(__xludf.DUMMYFUNCTION("IMPORTRANGE(""https://docs.google.com/spreadsheets/d/11923uPwbBZFjjGgGUA6NLw09EwE0CqkOc4q9oUmW1yo/edit?usp=sharing"",""อุตรดิตถ์!J571"")"),0)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IFERROR(__xludf.DUMMYFUNCTION("IMPORTRANGE(""https://docs.google.com/spreadsheets/d/11923uPwbBZFjjGgGUA6NLw09EwE0CqkOc4q9oUmW1yo/edit?usp=sharing"",""อุตรดิตถ์!J572"")"),0)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tabSelected="1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292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6720150</v>
      </c>
      <c r="M8" s="25">
        <f t="shared" ca="1" si="0"/>
        <v>3808633</v>
      </c>
      <c r="N8" s="25">
        <f t="shared" ca="1" si="0"/>
        <v>3318649.1</v>
      </c>
      <c r="O8" s="24">
        <f t="shared" ref="O8:O16" ca="1" si="1">IF(L8&gt;0,N8*100/L8,0)</f>
        <v>49.383556914652203</v>
      </c>
      <c r="P8" s="24">
        <f t="shared" ref="P8:P16" ca="1" si="2">IF(M8&gt;0,N8*100/M8,0)</f>
        <v>87.134914285519244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6720150</v>
      </c>
      <c r="M10" s="32">
        <f t="shared" ca="1" si="4"/>
        <v>3808633</v>
      </c>
      <c r="N10" s="32">
        <f t="shared" ca="1" si="4"/>
        <v>3318649.1</v>
      </c>
      <c r="O10" s="31">
        <f t="shared" ca="1" si="1"/>
        <v>49.383556914652203</v>
      </c>
      <c r="P10" s="31">
        <f t="shared" ca="1" si="2"/>
        <v>87.134914285519244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6482750</v>
      </c>
      <c r="M12" s="41">
        <f t="shared" ca="1" si="6"/>
        <v>3571233</v>
      </c>
      <c r="N12" s="41">
        <f t="shared" ca="1" si="6"/>
        <v>3081249.1</v>
      </c>
      <c r="O12" s="41">
        <f t="shared" ca="1" si="1"/>
        <v>47.529969534533954</v>
      </c>
      <c r="P12" s="41">
        <f t="shared" ca="1" si="2"/>
        <v>86.279699476343325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2346000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4136750</v>
      </c>
      <c r="M14" s="41">
        <f t="shared" si="8"/>
        <v>0</v>
      </c>
      <c r="N14" s="41">
        <f t="shared" ca="1" si="8"/>
        <v>683346.23</v>
      </c>
      <c r="O14" s="41">
        <f t="shared" ca="1" si="1"/>
        <v>16.518915332084365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237400</v>
      </c>
      <c r="M16" s="41">
        <f t="shared" ca="1" si="10"/>
        <v>237400</v>
      </c>
      <c r="N16" s="41">
        <f t="shared" ca="1" si="10"/>
        <v>237400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4508755</v>
      </c>
      <c r="M18" s="25">
        <f t="shared" ca="1" si="11"/>
        <v>3808633</v>
      </c>
      <c r="N18" s="25">
        <f t="shared" ca="1" si="11"/>
        <v>2635302.87</v>
      </c>
      <c r="O18" s="24">
        <f t="shared" ref="O18:O20" ca="1" si="12">IF(L18&gt;0,N18*100/L18,0)</f>
        <v>58.448571057864086</v>
      </c>
      <c r="P18" s="24">
        <f t="shared" ref="P18:P26" ca="1" si="13">IF(M18&gt;0,N18*100/M18,0)</f>
        <v>69.192880227630226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4508755</v>
      </c>
      <c r="M20" s="32">
        <f t="shared" ca="1" si="15"/>
        <v>3808633</v>
      </c>
      <c r="N20" s="32">
        <f t="shared" ca="1" si="15"/>
        <v>2635302.87</v>
      </c>
      <c r="O20" s="31">
        <f t="shared" ca="1" si="12"/>
        <v>58.448571057864086</v>
      </c>
      <c r="P20" s="31">
        <f t="shared" ca="1" si="13"/>
        <v>69.192880227630226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4271355</v>
      </c>
      <c r="M22" s="44">
        <f t="shared" ca="1" si="18"/>
        <v>3571233</v>
      </c>
      <c r="N22" s="41">
        <f t="shared" ca="1" si="18"/>
        <v>2397902.87</v>
      </c>
      <c r="O22" s="41">
        <f t="shared" ca="1" si="17"/>
        <v>56.139161226355569</v>
      </c>
      <c r="P22" s="41">
        <f t="shared" ca="1" si="13"/>
        <v>67.144957217857254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2346000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1925355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237400</v>
      </c>
      <c r="M26" s="52">
        <f t="shared" ca="1" si="22"/>
        <v>237400</v>
      </c>
      <c r="N26" s="52">
        <f t="shared" ca="1" si="22"/>
        <v>237400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2211395</v>
      </c>
      <c r="M28" s="25">
        <f t="shared" si="23"/>
        <v>0</v>
      </c>
      <c r="N28" s="25">
        <f t="shared" ca="1" si="23"/>
        <v>683346.23</v>
      </c>
      <c r="O28" s="24">
        <f t="shared" ref="O28:O30" ca="1" si="24">IF(L28&gt;0,N28*100/L28,0)</f>
        <v>30.901138421675007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2211395</v>
      </c>
      <c r="M30" s="32">
        <f t="shared" si="27"/>
        <v>0</v>
      </c>
      <c r="N30" s="32">
        <f t="shared" ca="1" si="27"/>
        <v>683346.23</v>
      </c>
      <c r="O30" s="31">
        <f t="shared" ca="1" si="24"/>
        <v>30.901138421675007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2211395</v>
      </c>
      <c r="M32" s="41">
        <f t="shared" si="30"/>
        <v>0</v>
      </c>
      <c r="N32" s="41">
        <f t="shared" ca="1" si="30"/>
        <v>683346.23</v>
      </c>
      <c r="O32" s="41">
        <f t="shared" ca="1" si="29"/>
        <v>30.901138421675007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2211395</v>
      </c>
      <c r="M34" s="41">
        <f t="shared" si="32"/>
        <v>0</v>
      </c>
      <c r="N34" s="41">
        <f t="shared" ca="1" si="32"/>
        <v>683346.23</v>
      </c>
      <c r="O34" s="41">
        <f t="shared" ca="1" si="29"/>
        <v>30.901138421675007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4508755</v>
      </c>
      <c r="M37" s="57">
        <f t="shared" ca="1" si="33"/>
        <v>3808633</v>
      </c>
      <c r="N37" s="57">
        <f t="shared" ca="1" si="33"/>
        <v>2635302.87</v>
      </c>
      <c r="O37" s="58">
        <f t="shared" ca="1" si="29"/>
        <v>58.448571057864086</v>
      </c>
      <c r="P37" s="58">
        <f t="shared" ca="1" si="25"/>
        <v>69.192880227630226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784100</v>
      </c>
      <c r="M41" s="81">
        <f t="shared" ca="1" si="34"/>
        <v>588100</v>
      </c>
      <c r="N41" s="81">
        <f t="shared" ca="1" si="34"/>
        <v>403526.02</v>
      </c>
      <c r="O41" s="80">
        <f t="shared" ref="O41:O43" ca="1" si="35">IF(L41&gt;0,N41*100/L41,0)</f>
        <v>51.463591378650683</v>
      </c>
      <c r="P41" s="80">
        <f t="shared" ref="P41:P43" ca="1" si="36">IF(M41&gt;0,N41*100/M41,0)</f>
        <v>68.615204897126333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784100</v>
      </c>
      <c r="M43" s="81">
        <f t="shared" ca="1" si="38"/>
        <v>588100</v>
      </c>
      <c r="N43" s="81">
        <f t="shared" ca="1" si="38"/>
        <v>403526.02</v>
      </c>
      <c r="O43" s="80">
        <f t="shared" ca="1" si="35"/>
        <v>51.463591378650683</v>
      </c>
      <c r="P43" s="80">
        <f t="shared" ca="1" si="36"/>
        <v>68.615204897126333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784100</v>
      </c>
      <c r="M45" s="52">
        <f ca="1">IFERROR(__xludf.DUMMYFUNCTION("IMPORTRANGE(""https://docs.google.com/spreadsheets/d/1Yj_ptqi66GCucihVvJfMjLAmec39IyEx_6qawtMGysU/edit?usp=sharing"",""สบก!Q36"")"),588100)</f>
        <v>588100</v>
      </c>
      <c r="N45" s="52">
        <f ca="1">IFERROR(__xludf.DUMMYFUNCTION("IMPORTRANGE(""https://docs.google.com/spreadsheets/d/1Yj_ptqi66GCucihVvJfMjLAmec39IyEx_6qawtMGysU/edit?usp=sharing"",""สบก!R36"")"),403526.02)</f>
        <v>403526.02</v>
      </c>
      <c r="O45" s="41">
        <f ca="1">IF(L45&gt;0,N45*100/L45,0)</f>
        <v>51.463591378650683</v>
      </c>
      <c r="P45" s="41">
        <f ca="1">IF(M45&gt;0,N45*100/M45,0)</f>
        <v>68.615204897126333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IFERROR(__xludf.DUMMYFUNCTION("IMPORTRANGE(""https://docs.google.com/spreadsheets/d/1Yj_ptqi66GCucihVvJfMjLAmec39IyEx_6qawtMGysU/edit?usp=sharing"",""สบก!M36"")"),784100)</f>
        <v>784100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IFERROR(__xludf.DUMMYFUNCTION("IMPORTRANGE(""https://docs.google.com/spreadsheets/d/1Yj_ptqi66GCucihVvJfMjLAmec39IyEx_6qawtMGysU/edit?usp=sharing"",""สบก!N36"")"),0)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IFERROR(__xludf.DUMMYFUNCTION("IMPORTRANGE(""https://docs.google.com/spreadsheets/d/1Yj_ptqi66GCucihVvJfMjLAmec39IyEx_6qawtMGysU/edit?usp=sharing"",""สบก!O36"")"),0)</f>
        <v>0</v>
      </c>
      <c r="M49" s="52"/>
      <c r="N49" s="52">
        <f ca="1">IFERROR(__xludf.DUMMYFUNCTION("IMPORTRANGE(""https://docs.google.com/spreadsheets/d/1Yj_ptqi66GCucihVvJfMjLAmec39IyEx_6qawtMGysU/edit?usp=sharing"",""สบก!S36"")"),0)</f>
        <v>0</v>
      </c>
      <c r="O49" s="52">
        <f ca="1">IF(L49&gt;0,N49*100/L49,0)</f>
        <v>0</v>
      </c>
      <c r="P49" s="52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750000</v>
      </c>
      <c r="M53" s="123">
        <f t="shared" ca="1" si="39"/>
        <v>591558</v>
      </c>
      <c r="N53" s="123">
        <f t="shared" ca="1" si="39"/>
        <v>525750</v>
      </c>
      <c r="O53" s="122">
        <f t="shared" ref="O53:O55" ca="1" si="40">IF(L53&gt;0,N53*100/L53,0)</f>
        <v>70.099999999999994</v>
      </c>
      <c r="P53" s="122">
        <f t="shared" ref="P53:P55" ca="1" si="41">IF(M53&gt;0,N53*100/M53,0)</f>
        <v>88.875477975109789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750000</v>
      </c>
      <c r="M55" s="123">
        <f t="shared" ca="1" si="43"/>
        <v>591558</v>
      </c>
      <c r="N55" s="123">
        <f t="shared" ca="1" si="43"/>
        <v>525750</v>
      </c>
      <c r="O55" s="122">
        <f t="shared" ca="1" si="40"/>
        <v>70.099999999999994</v>
      </c>
      <c r="P55" s="122">
        <f t="shared" ca="1" si="41"/>
        <v>88.875477975109789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750000</v>
      </c>
      <c r="M57" s="52">
        <f ca="1">IFERROR(__xludf.DUMMYFUNCTION("IMPORTRANGE(""https://docs.google.com/spreadsheets/d/1Yj_ptqi66GCucihVvJfMjLAmec39IyEx_6qawtMGysU/edit?usp=sharing"",""สบก!Z36"")"),591558)</f>
        <v>591558</v>
      </c>
      <c r="N57" s="52">
        <f ca="1">IFERROR(__xludf.DUMMYFUNCTION("IMPORTRANGE(""https://docs.google.com/spreadsheets/d/1Yj_ptqi66GCucihVvJfMjLAmec39IyEx_6qawtMGysU/edit?usp=sharing"",""สบก!AA36"")"),525750)</f>
        <v>525750</v>
      </c>
      <c r="O57" s="41">
        <f ca="1">IF(L57&gt;0,N57*100/L57,0)</f>
        <v>70.099999999999994</v>
      </c>
      <c r="P57" s="41">
        <f ca="1">IF(M57&gt;0,N57*100/M57,0)</f>
        <v>88.875477975109789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IFERROR(__xludf.DUMMYFUNCTION("IMPORTRANGE(""https://docs.google.com/spreadsheets/d/1Yj_ptqi66GCucihVvJfMjLAmec39IyEx_6qawtMGysU/edit?usp=sharing"",""สบก!V36"")"),750000)</f>
        <v>750000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IFERROR(__xludf.DUMMYFUNCTION("IMPORTRANGE(""https://docs.google.com/spreadsheets/d/1Yj_ptqi66GCucihVvJfMjLAmec39IyEx_6qawtMGysU/edit?usp=sharing"",""สบก!W36"")"),0)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IFERROR(__xludf.DUMMYFUNCTION("IMPORTRANGE(""https://docs.google.com/spreadsheets/d/1Yj_ptqi66GCucihVvJfMjLAmec39IyEx_6qawtMGysU/edit?usp=sharing"",""สบก!X36"")"),0)</f>
        <v>0</v>
      </c>
      <c r="M61" s="52"/>
      <c r="N61" s="52">
        <f ca="1">IFERROR(__xludf.DUMMYFUNCTION("IMPORTRANGE(""https://docs.google.com/spreadsheets/d/1Yj_ptqi66GCucihVvJfMjLAmec39IyEx_6qawtMGysU/edit?usp=sharing"",""สบก!AB36"")"),0)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IFERROR(__xludf.DUMMYFUNCTION("IMPORTRANGE(""https://docs.google.com/spreadsheets/d/11923uPwbBZFjjGgGUA6NLw09EwE0CqkOc4q9oUmW1yo/edit?usp=sharing"",""อุทัยธานี!I9"")"),2)</f>
        <v>2</v>
      </c>
      <c r="J64" s="144">
        <f ca="1">IFERROR(__xludf.DUMMYFUNCTION("IMPORTRANGE(""https://docs.google.com/spreadsheets/d/11923uPwbBZFjjGgGUA6NLw09EwE0CqkOc4q9oUmW1yo/edit?usp=sharing"",""อุทัยธานี!J9"")"),2)</f>
        <v>2</v>
      </c>
      <c r="K64" s="145">
        <f t="shared" ref="K64:K65" ca="1" si="44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IFERROR(__xludf.DUMMYFUNCTION("IMPORTRANGE(""https://docs.google.com/spreadsheets/d/11923uPwbBZFjjGgGUA6NLw09EwE0CqkOc4q9oUmW1yo/edit?usp=sharing"",""อุทัยธานี!I10"")"),70)</f>
        <v>70</v>
      </c>
      <c r="J65" s="144">
        <f ca="1">IFERROR(__xludf.DUMMYFUNCTION("IMPORTRANGE(""https://docs.google.com/spreadsheets/d/11923uPwbBZFjjGgGUA6NLw09EwE0CqkOc4q9oUmW1yo/edit?usp=sharing"",""อุทัยธานี!J10"")"),70)</f>
        <v>70</v>
      </c>
      <c r="K65" s="145">
        <f t="shared" ca="1" si="44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829500</v>
      </c>
      <c r="M66" s="154">
        <f t="shared" ca="1" si="45"/>
        <v>708200</v>
      </c>
      <c r="N66" s="154">
        <f t="shared" ca="1" si="45"/>
        <v>373550.85</v>
      </c>
      <c r="O66" s="153">
        <f t="shared" ref="O66:O68" ca="1" si="46">IF(L66&gt;0,N66*100/L66,0)</f>
        <v>45.033254972875227</v>
      </c>
      <c r="P66" s="153">
        <f t="shared" ref="P66:P68" ca="1" si="47">IF(M66&gt;0,N66*100/M66,0)</f>
        <v>52.746519344817848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829500</v>
      </c>
      <c r="M68" s="90">
        <f t="shared" ca="1" si="49"/>
        <v>708200</v>
      </c>
      <c r="N68" s="90">
        <f t="shared" ca="1" si="49"/>
        <v>373550.85</v>
      </c>
      <c r="O68" s="158">
        <f t="shared" ca="1" si="46"/>
        <v>45.033254972875227</v>
      </c>
      <c r="P68" s="158">
        <f t="shared" ca="1" si="47"/>
        <v>52.746519344817848</v>
      </c>
    </row>
    <row r="69" spans="1:16" ht="21.75" customHeight="1">
      <c r="A69" s="159"/>
      <c r="B69" s="160"/>
      <c r="C69" s="160" t="s">
        <v>16</v>
      </c>
      <c r="D69" s="570" t="s">
        <v>20</v>
      </c>
      <c r="E69" s="565"/>
      <c r="F69" s="565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829500</v>
      </c>
      <c r="M70" s="169">
        <f ca="1">IFERROR(__xludf.DUMMYFUNCTION("IMPORTRANGE(""https://docs.google.com/spreadsheets/d/1Yj_ptqi66GCucihVvJfMjLAmec39IyEx_6qawtMGysU/edit?usp=sharing"",""สบก!AI36"")"),708200)</f>
        <v>708200</v>
      </c>
      <c r="N70" s="170">
        <f ca="1">IFERROR(__xludf.DUMMYFUNCTION("IMPORTRANGE(""https://docs.google.com/spreadsheets/d/1Yj_ptqi66GCucihVvJfMjLAmec39IyEx_6qawtMGysU/edit?usp=sharing"",""สบก!AJ36"")"),373550.85)</f>
        <v>373550.85</v>
      </c>
      <c r="O70" s="170">
        <f ca="1">IF(L70&gt;0,N70*100/L70,0)</f>
        <v>45.033254972875227</v>
      </c>
      <c r="P70" s="170">
        <f ca="1">IF(M70&gt;0,N70*100/M70,0)</f>
        <v>52.746519344817848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IFERROR(__xludf.DUMMYFUNCTION("IMPORTRANGE(""https://docs.google.com/spreadsheets/d/1Yj_ptqi66GCucihVvJfMjLAmec39IyEx_6qawtMGysU/edit?usp=sharing"",""สบก!AE36"")"),179500)</f>
        <v>179500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IFERROR(__xludf.DUMMYFUNCTION("IMPORTRANGE(""https://docs.google.com/spreadsheets/d/1Yj_ptqi66GCucihVvJfMjLAmec39IyEx_6qawtMGysU/edit?usp=sharing"",""สบก!AF36"")"),650000)</f>
        <v>650000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IFERROR(__xludf.DUMMYFUNCTION("IMPORTRANGE(""https://docs.google.com/spreadsheets/d/1Yj_ptqi66GCucihVvJfMjLAmec39IyEx_6qawtMGysU/edit?usp=sharing"",""สบก!AG36"")"),0)</f>
        <v>0</v>
      </c>
      <c r="M74" s="52"/>
      <c r="N74" s="52">
        <f ca="1">IFERROR(__xludf.DUMMYFUNCTION("IMPORTRANGE(""https://docs.google.com/spreadsheets/d/1Yj_ptqi66GCucihVvJfMjLAmec39IyEx_6qawtMGysU/edit?usp=sharing"",""สบก!AK36"")"),0)</f>
        <v>0</v>
      </c>
      <c r="O74" s="52">
        <f ca="1">IF(L74&gt;0,N74*100/L74,0)</f>
        <v>0</v>
      </c>
      <c r="P74" s="52"/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IFERROR(__xludf.DUMMYFUNCTION("IMPORTRANGE(""https://docs.google.com/spreadsheets/d/11923uPwbBZFjjGgGUA6NLw09EwE0CqkOc4q9oUmW1yo/edit?usp=sharing"",""อุทัยธานี!J16"")"),0)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IFERROR(__xludf.DUMMYFUNCTION("IMPORTRANGE(""https://docs.google.com/spreadsheets/d/11923uPwbBZFjjGgGUA6NLw09EwE0CqkOc4q9oUmW1yo/edit?usp=sharing"",""อุทัยธานี!J17"")"),1)</f>
        <v>1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IFERROR(__xludf.DUMMYFUNCTION("IMPORTRANGE(""https://docs.google.com/spreadsheets/d/11923uPwbBZFjjGgGUA6NLw09EwE0CqkOc4q9oUmW1yo/edit?usp=sharing"",""อุทัยธานี!J18"")"),1)</f>
        <v>1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IFERROR(__xludf.DUMMYFUNCTION("IMPORTRANGE(""https://docs.google.com/spreadsheets/d/11923uPwbBZFjjGgGUA6NLw09EwE0CqkOc4q9oUmW1yo/edit?usp=sharing"",""อุทัยธานี!J19"")"),1)</f>
        <v>1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IFERROR(__xludf.DUMMYFUNCTION("IMPORTRANGE(""https://docs.google.com/spreadsheets/d/11923uPwbBZFjjGgGUA6NLw09EwE0CqkOc4q9oUmW1yo/edit?usp=sharing"",""อุทัยธานี!I20"")"),2)</f>
        <v>2</v>
      </c>
      <c r="J80" s="202">
        <f ca="1">IFERROR(__xludf.DUMMYFUNCTION("IMPORTRANGE(""https://docs.google.com/spreadsheets/d/11923uPwbBZFjjGgGUA6NLw09EwE0CqkOc4q9oUmW1yo/edit?usp=sharing"",""อุทัยธานี!J20"")"),2)</f>
        <v>2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IFERROR(__xludf.DUMMYFUNCTION("IMPORTRANGE(""https://docs.google.com/spreadsheets/d/11923uPwbBZFjjGgGUA6NLw09EwE0CqkOc4q9oUmW1yo/edit?usp=sharing"",""อุทัยธานี!I21"")"),70)</f>
        <v>70</v>
      </c>
      <c r="J81" s="202">
        <f ca="1">IFERROR(__xludf.DUMMYFUNCTION("IMPORTRANGE(""https://docs.google.com/spreadsheets/d/11923uPwbBZFjjGgGUA6NLw09EwE0CqkOc4q9oUmW1yo/edit?usp=sharing"",""อุทัยธานี!J21"")"),70)</f>
        <v>70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IFERROR(__xludf.DUMMYFUNCTION("IMPORTRANGE(""https://docs.google.com/spreadsheets/d/11923uPwbBZFjjGgGUA6NLw09EwE0CqkOc4q9oUmW1yo/edit?usp=sharing"",""อุทัยธานี!I22"")"),1)</f>
        <v>1</v>
      </c>
      <c r="J82" s="205">
        <f ca="1">IFERROR(__xludf.DUMMYFUNCTION("IMPORTRANGE(""https://docs.google.com/spreadsheets/d/11923uPwbBZFjjGgGUA6NLw09EwE0CqkOc4q9oUmW1yo/edit?usp=sharing"",""อุทัยธานี!J22"")"),1)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IFERROR(__xludf.DUMMYFUNCTION("IMPORTRANGE(""https://docs.google.com/spreadsheets/d/11923uPwbBZFjjGgGUA6NLw09EwE0CqkOc4q9oUmW1yo/edit?usp=sharing"",""อุทัยธานี!I23"")"),30)</f>
        <v>30</v>
      </c>
      <c r="J83" s="205">
        <f ca="1">IFERROR(__xludf.DUMMYFUNCTION("IMPORTRANGE(""https://docs.google.com/spreadsheets/d/11923uPwbBZFjjGgGUA6NLw09EwE0CqkOc4q9oUmW1yo/edit?usp=sharing"",""อุทัยธานี!J23"")"),30)</f>
        <v>30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IFERROR(__xludf.DUMMYFUNCTION("IMPORTRANGE(""https://docs.google.com/spreadsheets/d/11923uPwbBZFjjGgGUA6NLw09EwE0CqkOc4q9oUmW1yo/edit?usp=sharing"",""อุทัยธานี!I24"")"),0)</f>
        <v>0</v>
      </c>
      <c r="J84" s="190">
        <f ca="1">IFERROR(__xludf.DUMMYFUNCTION("IMPORTRANGE(""https://docs.google.com/spreadsheets/d/11923uPwbBZFjjGgGUA6NLw09EwE0CqkOc4q9oUmW1yo/edit?usp=sharing"",""อุทัยธานี!J24"")"),0)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IFERROR(__xludf.DUMMYFUNCTION("IMPORTRANGE(""https://docs.google.com/spreadsheets/d/11923uPwbBZFjjGgGUA6NLw09EwE0CqkOc4q9oUmW1yo/edit?usp=sharing"",""อุทัยธานี!I25"")"),0)</f>
        <v>0</v>
      </c>
      <c r="J85" s="190">
        <f ca="1">IFERROR(__xludf.DUMMYFUNCTION("IMPORTRANGE(""https://docs.google.com/spreadsheets/d/11923uPwbBZFjjGgGUA6NLw09EwE0CqkOc4q9oUmW1yo/edit?usp=sharing"",""อุทัยธานี!J25"")"),0)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IFERROR(__xludf.DUMMYFUNCTION("IMPORTRANGE(""https://docs.google.com/spreadsheets/d/11923uPwbBZFjjGgGUA6NLw09EwE0CqkOc4q9oUmW1yo/edit?usp=sharing"",""อุทัยธานี!I26"")"),1)</f>
        <v>1</v>
      </c>
      <c r="J86" s="205">
        <f ca="1">IFERROR(__xludf.DUMMYFUNCTION("IMPORTRANGE(""https://docs.google.com/spreadsheets/d/11923uPwbBZFjjGgGUA6NLw09EwE0CqkOc4q9oUmW1yo/edit?usp=sharing"",""อุทัยธานี!J26"")"),1)</f>
        <v>1</v>
      </c>
      <c r="K86" s="165">
        <f t="shared" ca="1" si="50"/>
        <v>100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IFERROR(__xludf.DUMMYFUNCTION("IMPORTRANGE(""https://docs.google.com/spreadsheets/d/11923uPwbBZFjjGgGUA6NLw09EwE0CqkOc4q9oUmW1yo/edit?usp=sharing"",""อุทัยธานี!I27"")"),40)</f>
        <v>40</v>
      </c>
      <c r="J87" s="205">
        <f ca="1">IFERROR(__xludf.DUMMYFUNCTION("IMPORTRANGE(""https://docs.google.com/spreadsheets/d/11923uPwbBZFjjGgGUA6NLw09EwE0CqkOc4q9oUmW1yo/edit?usp=sharing"",""อุทัยธานี!J27"")"),40)</f>
        <v>40</v>
      </c>
      <c r="K87" s="165">
        <f t="shared" ca="1" si="50"/>
        <v>100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IFERROR(__xludf.DUMMYFUNCTION("IMPORTRANGE(""https://docs.google.com/spreadsheets/d/11923uPwbBZFjjGgGUA6NLw09EwE0CqkOc4q9oUmW1yo/edit?usp=sharing"",""อุทัยธานี!I28"")"),30)</f>
        <v>30</v>
      </c>
      <c r="J88" s="205">
        <f ca="1">IFERROR(__xludf.DUMMYFUNCTION("IMPORTRANGE(""https://docs.google.com/spreadsheets/d/11923uPwbBZFjjGgGUA6NLw09EwE0CqkOc4q9oUmW1yo/edit?usp=sharing"",""อุทัยธานี!J28"")"),0)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IFERROR(__xludf.DUMMYFUNCTION("IMPORTRANGE(""https://docs.google.com/spreadsheets/d/11923uPwbBZFjjGgGUA6NLw09EwE0CqkOc4q9oUmW1yo/edit?usp=sharing"",""อุทัยธานี!J29"")"),0)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IFERROR(__xludf.DUMMYFUNCTION("IMPORTRANGE(""https://docs.google.com/spreadsheets/d/11923uPwbBZFjjGgGUA6NLw09EwE0CqkOc4q9oUmW1yo/edit?usp=sharing"",""อุทัยธานี!J30"")"),0)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IFERROR(__xludf.DUMMYFUNCTION("IMPORTRANGE(""https://docs.google.com/spreadsheets/d/11923uPwbBZFjjGgGUA6NLw09EwE0CqkOc4q9oUmW1yo/edit?usp=sharing"",""อุทัยธานี!I32"")"),4)</f>
        <v>4</v>
      </c>
      <c r="J92" s="144">
        <f ca="1">IFERROR(__xludf.DUMMYFUNCTION("IMPORTRANGE(""https://docs.google.com/spreadsheets/d/11923uPwbBZFjjGgGUA6NLw09EwE0CqkOc4q9oUmW1yo/edit?usp=sharing"",""อุทัยธานี!J32"")"),0)</f>
        <v>0</v>
      </c>
      <c r="K92" s="145">
        <f t="shared" ref="K92:K93" ca="1" si="51">IF(I92&gt;0,J92*100/I92,0)</f>
        <v>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IFERROR(__xludf.DUMMYFUNCTION("IMPORTRANGE(""https://docs.google.com/spreadsheets/d/11923uPwbBZFjjGgGUA6NLw09EwE0CqkOc4q9oUmW1yo/edit?usp=sharing"",""อุทัยธานี!I33"")"),1)</f>
        <v>1</v>
      </c>
      <c r="J93" s="144">
        <f ca="1">IFERROR(__xludf.DUMMYFUNCTION("IMPORTRANGE(""https://docs.google.com/spreadsheets/d/11923uPwbBZFjjGgGUA6NLw09EwE0CqkOc4q9oUmW1yo/edit?usp=sharing"",""อุทัยธานี!J33"")"),1)</f>
        <v>1</v>
      </c>
      <c r="K93" s="145">
        <f t="shared" ca="1" si="51"/>
        <v>100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214500</v>
      </c>
      <c r="M94" s="154">
        <f t="shared" ca="1" si="52"/>
        <v>194455</v>
      </c>
      <c r="N94" s="154">
        <f t="shared" ca="1" si="52"/>
        <v>109350</v>
      </c>
      <c r="O94" s="153">
        <f t="shared" ref="O94:O96" ca="1" si="53">IF(L94&gt;0,N94*100/L94,0)</f>
        <v>50.97902097902098</v>
      </c>
      <c r="P94" s="153">
        <f t="shared" ref="P94:P96" ca="1" si="54">IF(M94&gt;0,N94*100/M94,0)</f>
        <v>56.234090149391889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214500</v>
      </c>
      <c r="M96" s="90">
        <f t="shared" ca="1" si="56"/>
        <v>194455</v>
      </c>
      <c r="N96" s="90">
        <f t="shared" ca="1" si="56"/>
        <v>109350</v>
      </c>
      <c r="O96" s="158">
        <f t="shared" ca="1" si="53"/>
        <v>50.97902097902098</v>
      </c>
      <c r="P96" s="158">
        <f t="shared" ca="1" si="54"/>
        <v>56.234090149391889</v>
      </c>
    </row>
    <row r="97" spans="1:16" ht="21.75" customHeight="1">
      <c r="A97" s="159"/>
      <c r="B97" s="160"/>
      <c r="C97" s="160" t="s">
        <v>16</v>
      </c>
      <c r="D97" s="570" t="s">
        <v>20</v>
      </c>
      <c r="E97" s="565"/>
      <c r="F97" s="565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IFERROR(__xludf.DUMMYFUNCTION("IMPORTRANGE(""https://docs.google.com/spreadsheets/d/1Yj_ptqi66GCucihVvJfMjLAmec39IyEx_6qawtMGysU/edit?usp=sharing"",""สบก!AR36"")"),102055)</f>
        <v>102055</v>
      </c>
      <c r="N98" s="170">
        <f ca="1">IFERROR(__xludf.DUMMYFUNCTION("IMPORTRANGE(""https://docs.google.com/spreadsheets/d/1Yj_ptqi66GCucihVvJfMjLAmec39IyEx_6qawtMGysU/edit?usp=sharing"",""สบก!AS36"")"),16950)</f>
        <v>16950</v>
      </c>
      <c r="O98" s="170">
        <f ca="1">IF(L98&gt;0,N98*100/L98,0)</f>
        <v>13.882063882063882</v>
      </c>
      <c r="P98" s="170">
        <f ca="1">IF(M98&gt;0,N98*100/M98,0)</f>
        <v>16.608691391896528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IFERROR(__xludf.DUMMYFUNCTION("IMPORTRANGE(""https://docs.google.com/spreadsheets/d/1Yj_ptqi66GCucihVvJfMjLAmec39IyEx_6qawtMGysU/edit?usp=sharing"",""สบก!AN36"")"),0)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IFERROR(__xludf.DUMMYFUNCTION("IMPORTRANGE(""https://docs.google.com/spreadsheets/d/1Yj_ptqi66GCucihVvJfMjLAmec39IyEx_6qawtMGysU/edit?usp=sharing"",""สบก!AO36"")"),122100)</f>
        <v>122100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IFERROR(__xludf.DUMMYFUNCTION("IMPORTRANGE(""https://docs.google.com/spreadsheets/d/1Yj_ptqi66GCucihVvJfMjLAmec39IyEx_6qawtMGysU/edit?usp=sharing"",""สบก!AP36"")"),92400)</f>
        <v>92400</v>
      </c>
      <c r="M102" s="52">
        <f ca="1">L102</f>
        <v>92400</v>
      </c>
      <c r="N102" s="52">
        <f ca="1">IFERROR(__xludf.DUMMYFUNCTION("IMPORTRANGE(""https://docs.google.com/spreadsheets/d/1Yj_ptqi66GCucihVvJfMjLAmec39IyEx_6qawtMGysU/edit?usp=sharing"",""สบก!AT36"")"),92400)</f>
        <v>92400</v>
      </c>
      <c r="O102" s="52">
        <f ca="1">IF(L102&gt;0,N102*100/L102,0)</f>
        <v>100</v>
      </c>
      <c r="P102" s="52">
        <f ca="1">IF(M102&gt;0,N102*100/M102,0)</f>
        <v>100</v>
      </c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IFERROR(__xludf.DUMMYFUNCTION("IMPORTRANGE(""https://docs.google.com/spreadsheets/d/11923uPwbBZFjjGgGUA6NLw09EwE0CqkOc4q9oUmW1yo/edit?usp=sharing"",""อุทัยธานี!J39"")"),0)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IFERROR(__xludf.DUMMYFUNCTION("IMPORTRANGE(""https://docs.google.com/spreadsheets/d/11923uPwbBZFjjGgGUA6NLw09EwE0CqkOc4q9oUmW1yo/edit?usp=sharing"",""อุทัยธานี!J40"")"),1)</f>
        <v>1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IFERROR(__xludf.DUMMYFUNCTION("IMPORTRANGE(""https://docs.google.com/spreadsheets/d/11923uPwbBZFjjGgGUA6NLw09EwE0CqkOc4q9oUmW1yo/edit?usp=sharing"",""อุทัยธานี!J41"")"),1)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IFERROR(__xludf.DUMMYFUNCTION("IMPORTRANGE(""https://docs.google.com/spreadsheets/d/11923uPwbBZFjjGgGUA6NLw09EwE0CqkOc4q9oUmW1yo/edit?usp=sharing"",""อุทัยธานี!J42"")"),1)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IFERROR(__xludf.DUMMYFUNCTION("IMPORTRANGE(""https://docs.google.com/spreadsheets/d/11923uPwbBZFjjGgGUA6NLw09EwE0CqkOc4q9oUmW1yo/edit?usp=sharing"",""อุทัยธานี!I43"")"),1)</f>
        <v>1</v>
      </c>
      <c r="J108" s="205">
        <f ca="1">IFERROR(__xludf.DUMMYFUNCTION("IMPORTRANGE(""https://docs.google.com/spreadsheets/d/11923uPwbBZFjjGgGUA6NLw09EwE0CqkOc4q9oUmW1yo/edit?usp=sharing"",""อุทัยธานี!J43"")"),1)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IFERROR(__xludf.DUMMYFUNCTION("IMPORTRANGE(""https://docs.google.com/spreadsheets/d/11923uPwbBZFjjGgGUA6NLw09EwE0CqkOc4q9oUmW1yo/edit?usp=sharing"",""อุทัยธานี!I44"")"),4)</f>
        <v>4</v>
      </c>
      <c r="J109" s="205">
        <f ca="1">IFERROR(__xludf.DUMMYFUNCTION("IMPORTRANGE(""https://docs.google.com/spreadsheets/d/11923uPwbBZFjjGgGUA6NLw09EwE0CqkOc4q9oUmW1yo/edit?usp=sharing"",""อุทัยธานี!J44"")"),0)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IFERROR(__xludf.DUMMYFUNCTION("IMPORTRANGE(""https://docs.google.com/spreadsheets/d/11923uPwbBZFjjGgGUA6NLw09EwE0CqkOc4q9oUmW1yo/edit?usp=sharing"",""อุทัยธานี!I45"")"),4)</f>
        <v>4</v>
      </c>
      <c r="J110" s="205">
        <f ca="1">IFERROR(__xludf.DUMMYFUNCTION("IMPORTRANGE(""https://docs.google.com/spreadsheets/d/11923uPwbBZFjjGgGUA6NLw09EwE0CqkOc4q9oUmW1yo/edit?usp=sharing"",""อุทัยธานี!J45"")"),4)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IFERROR(__xludf.DUMMYFUNCTION("IMPORTRANGE(""https://docs.google.com/spreadsheets/d/11923uPwbBZFjjGgGUA6NLw09EwE0CqkOc4q9oUmW1yo/edit?usp=sharing"",""อุทัยธานี!I46"")"),4)</f>
        <v>4</v>
      </c>
      <c r="J111" s="205">
        <f ca="1">IFERROR(__xludf.DUMMYFUNCTION("IMPORTRANGE(""https://docs.google.com/spreadsheets/d/11923uPwbBZFjjGgGUA6NLw09EwE0CqkOc4q9oUmW1yo/edit?usp=sharing"",""อุทัยธานี!J46"")"),0)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IFERROR(__xludf.DUMMYFUNCTION("IMPORTRANGE(""https://docs.google.com/spreadsheets/d/11923uPwbBZFjjGgGUA6NLw09EwE0CqkOc4q9oUmW1yo/edit?usp=sharing"",""อุทัยธานี!I47"")"),4)</f>
        <v>4</v>
      </c>
      <c r="J112" s="205">
        <f ca="1">IFERROR(__xludf.DUMMYFUNCTION("IMPORTRANGE(""https://docs.google.com/spreadsheets/d/11923uPwbBZFjjGgGUA6NLw09EwE0CqkOc4q9oUmW1yo/edit?usp=sharing"",""อุทัยธานี!J47"")"),4)</f>
        <v>4</v>
      </c>
      <c r="K112" s="225">
        <f t="shared" ca="1" si="57"/>
        <v>100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IFERROR(__xludf.DUMMYFUNCTION("IMPORTRANGE(""https://docs.google.com/spreadsheets/d/11923uPwbBZFjjGgGUA6NLw09EwE0CqkOc4q9oUmW1yo/edit?usp=sharing"",""อุทัยธานี!I48"")"),1)</f>
        <v>1</v>
      </c>
      <c r="J113" s="205">
        <f ca="1">IFERROR(__xludf.DUMMYFUNCTION("IMPORTRANGE(""https://docs.google.com/spreadsheets/d/11923uPwbBZFjjGgGUA6NLw09EwE0CqkOc4q9oUmW1yo/edit?usp=sharing"",""อุทัยธานี!J48"")"),1)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IFERROR(__xludf.DUMMYFUNCTION("IMPORTRANGE(""https://docs.google.com/spreadsheets/d/11923uPwbBZFjjGgGUA6NLw09EwE0CqkOc4q9oUmW1yo/edit?usp=sharing"",""อุทัยธานี!J49"")"),0)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IFERROR(__xludf.DUMMYFUNCTION("IMPORTRANGE(""https://docs.google.com/spreadsheets/d/11923uPwbBZFjjGgGUA6NLw09EwE0CqkOc4q9oUmW1yo/edit?usp=sharing"",""อุทัยธานี!J50"")"),0)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IFERROR(__xludf.DUMMYFUNCTION("IMPORTRANGE(""https://docs.google.com/spreadsheets/d/11923uPwbBZFjjGgGUA6NLw09EwE0CqkOc4q9oUmW1yo/edit?usp=sharing"",""อุทัยธานี!I52"")"),0)</f>
        <v>0</v>
      </c>
      <c r="J117" s="144">
        <f ca="1">IFERROR(__xludf.DUMMYFUNCTION("IMPORTRANGE(""https://docs.google.com/spreadsheets/d/11923uPwbBZFjjGgGUA6NLw09EwE0CqkOc4q9oUmW1yo/edit?usp=sharing"",""อุทัยธานี!J52"")"),0)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0</v>
      </c>
      <c r="M120" s="90">
        <f t="shared" ca="1" si="62"/>
        <v>0</v>
      </c>
      <c r="N120" s="90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59"/>
      <c r="B121" s="160"/>
      <c r="C121" s="160" t="s">
        <v>16</v>
      </c>
      <c r="D121" s="570" t="s">
        <v>20</v>
      </c>
      <c r="E121" s="565"/>
      <c r="F121" s="565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IFERROR(__xludf.DUMMYFUNCTION("IMPORTRANGE(""https://docs.google.com/spreadsheets/d/1Yj_ptqi66GCucihVvJfMjLAmec39IyEx_6qawtMGysU/edit?usp=sharing"",""สบก!BA36"")"),0)</f>
        <v>0</v>
      </c>
      <c r="N122" s="170">
        <f ca="1">IFERROR(__xludf.DUMMYFUNCTION("IMPORTRANGE(""https://docs.google.com/spreadsheets/d/1Yj_ptqi66GCucihVvJfMjLAmec39IyEx_6qawtMGysU/edit?usp=sharing"",""สบก!BB36"")"),0)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IFERROR(__xludf.DUMMYFUNCTION("IMPORTRANGE(""https://docs.google.com/spreadsheets/d/1Yj_ptqi66GCucihVvJfMjLAmec39IyEx_6qawtMGysU/edit?usp=sharing"",""สบก!AW36"")"),0)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IFERROR(__xludf.DUMMYFUNCTION("IMPORTRANGE(""https://docs.google.com/spreadsheets/d/1Yj_ptqi66GCucihVvJfMjLAmec39IyEx_6qawtMGysU/edit?usp=sharing"",""สบก!AX36"")"),0)</f>
        <v>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IFERROR(__xludf.DUMMYFUNCTION("IMPORTRANGE(""https://docs.google.com/spreadsheets/d/1Yj_ptqi66GCucihVvJfMjLAmec39IyEx_6qawtMGysU/edit?usp=sharing"",""สบก!AY36"")"),0)</f>
        <v>0</v>
      </c>
      <c r="M126" s="52"/>
      <c r="N126" s="52">
        <f ca="1">IFERROR(__xludf.DUMMYFUNCTION("IMPORTRANGE(""https://docs.google.com/spreadsheets/d/1Yj_ptqi66GCucihVvJfMjLAmec39IyEx_6qawtMGysU/edit?usp=sharing"",""สบก!BC36"")"),0)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293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IFERROR(__xludf.DUMMYFUNCTION("IMPORTRANGE(""https://docs.google.com/spreadsheets/d/11923uPwbBZFjjGgGUA6NLw09EwE0CqkOc4q9oUmW1yo/edit?usp=sharing"",""อุทัยธานี!J58"")"),0)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IFERROR(__xludf.DUMMYFUNCTION("IMPORTRANGE(""https://docs.google.com/spreadsheets/d/11923uPwbBZFjjGgGUA6NLw09EwE0CqkOc4q9oUmW1yo/edit?usp=sharing"",""อุทัยธานี!J59"")"),0)</f>
        <v>0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IFERROR(__xludf.DUMMYFUNCTION("IMPORTRANGE(""https://docs.google.com/spreadsheets/d/11923uPwbBZFjjGgGUA6NLw09EwE0CqkOc4q9oUmW1yo/edit?usp=sharing"",""อุทัยธานี!J60"")"),0)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IFERROR(__xludf.DUMMYFUNCTION("IMPORTRANGE(""https://docs.google.com/spreadsheets/d/11923uPwbBZFjjGgGUA6NLw09EwE0CqkOc4q9oUmW1yo/edit?usp=sharing"",""อุทัยธานี!J61"")"),0)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IFERROR(__xludf.DUMMYFUNCTION("IMPORTRANGE(""https://docs.google.com/spreadsheets/d/11923uPwbBZFjjGgGUA6NLw09EwE0CqkOc4q9oUmW1yo/edit?usp=sharing"",""อุทัยธานี!I62"")"),0)</f>
        <v>0</v>
      </c>
      <c r="J132" s="205">
        <f ca="1">IFERROR(__xludf.DUMMYFUNCTION("IMPORTRANGE(""https://docs.google.com/spreadsheets/d/11923uPwbBZFjjGgGUA6NLw09EwE0CqkOc4q9oUmW1yo/edit?usp=sharing"",""อุทัยธานี!J62"")"),0)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IFERROR(__xludf.DUMMYFUNCTION("IMPORTRANGE(""https://docs.google.com/spreadsheets/d/11923uPwbBZFjjGgGUA6NLw09EwE0CqkOc4q9oUmW1yo/edit?usp=sharing"",""อุทัยธานี!I63"")"),0)</f>
        <v>0</v>
      </c>
      <c r="J133" s="205">
        <f ca="1">IFERROR(__xludf.DUMMYFUNCTION("IMPORTRANGE(""https://docs.google.com/spreadsheets/d/11923uPwbBZFjjGgGUA6NLw09EwE0CqkOc4q9oUmW1yo/edit?usp=sharing"",""อุทัยธานี!J63"")"),0)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IFERROR(__xludf.DUMMYFUNCTION("IMPORTRANGE(""https://docs.google.com/spreadsheets/d/11923uPwbBZFjjGgGUA6NLw09EwE0CqkOc4q9oUmW1yo/edit?usp=sharing"",""อุทัยธานี!J64"")"),0)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IFERROR(__xludf.DUMMYFUNCTION("IMPORTRANGE(""https://docs.google.com/spreadsheets/d/11923uPwbBZFjjGgGUA6NLw09EwE0CqkOc4q9oUmW1yo/edit?usp=sharing"",""อุทัยธานี!J65"")"),0)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IFERROR(__xludf.DUMMYFUNCTION("IMPORTRANGE(""https://docs.google.com/spreadsheets/d/11923uPwbBZFjjGgGUA6NLw09EwE0CqkOc4q9oUmW1yo/edit?usp=sharing"",""อุทัยธานี!I68"")"),0)</f>
        <v>0</v>
      </c>
      <c r="J138" s="268">
        <f ca="1">IFERROR(__xludf.DUMMYFUNCTION("IMPORTRANGE(""https://docs.google.com/spreadsheets/d/11923uPwbBZFjjGgGUA6NLw09EwE0CqkOc4q9oUmW1yo/edit?usp=sharing"",""อุทัยธานี!J68"")"),0)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83500</v>
      </c>
      <c r="M140" s="154">
        <f t="shared" ca="1" si="64"/>
        <v>55625</v>
      </c>
      <c r="N140" s="154">
        <f t="shared" ca="1" si="64"/>
        <v>47290</v>
      </c>
      <c r="O140" s="153">
        <f t="shared" ref="O140:O142" ca="1" si="65">IF(L140&gt;0,N140*100/L140,0)</f>
        <v>56.634730538922156</v>
      </c>
      <c r="P140" s="153">
        <f t="shared" ref="P140:P142" ca="1" si="66">IF(M140&gt;0,N140*100/M140,0)</f>
        <v>85.015730337078651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83500</v>
      </c>
      <c r="M142" s="90">
        <f t="shared" ca="1" si="68"/>
        <v>55625</v>
      </c>
      <c r="N142" s="90">
        <f t="shared" ca="1" si="68"/>
        <v>47290</v>
      </c>
      <c r="O142" s="158">
        <f t="shared" ca="1" si="65"/>
        <v>56.634730538922156</v>
      </c>
      <c r="P142" s="158">
        <f t="shared" ca="1" si="66"/>
        <v>85.015730337078651</v>
      </c>
    </row>
    <row r="143" spans="1:16" ht="21.75" customHeight="1">
      <c r="A143" s="159"/>
      <c r="B143" s="160"/>
      <c r="C143" s="160" t="s">
        <v>16</v>
      </c>
      <c r="D143" s="570" t="s">
        <v>20</v>
      </c>
      <c r="E143" s="565"/>
      <c r="F143" s="565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83500</v>
      </c>
      <c r="M144" s="169">
        <f ca="1">IFERROR(__xludf.DUMMYFUNCTION("IMPORTRANGE(""https://docs.google.com/spreadsheets/d/1Yj_ptqi66GCucihVvJfMjLAmec39IyEx_6qawtMGysU/edit?usp=sharing"",""สบก!BJ36"")"),55625)</f>
        <v>55625</v>
      </c>
      <c r="N144" s="170">
        <f ca="1">IFERROR(__xludf.DUMMYFUNCTION("IMPORTRANGE(""https://docs.google.com/spreadsheets/d/1Yj_ptqi66GCucihVvJfMjLAmec39IyEx_6qawtMGysU/edit?usp=sharing"",""สบก!BK36"")"),47290)</f>
        <v>47290</v>
      </c>
      <c r="O144" s="170">
        <f ca="1">IF(L144&gt;0,N144*100/L144,0)</f>
        <v>56.634730538922156</v>
      </c>
      <c r="P144" s="170">
        <f ca="1">IF(M144&gt;0,N144*100/M144,0)</f>
        <v>85.015730337078651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IFERROR(__xludf.DUMMYFUNCTION("IMPORTRANGE(""https://docs.google.com/spreadsheets/d/1Yj_ptqi66GCucihVvJfMjLAmec39IyEx_6qawtMGysU/edit?usp=sharing"",""สบก!BF36"")"),0)</f>
        <v>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IFERROR(__xludf.DUMMYFUNCTION("IMPORTRANGE(""https://docs.google.com/spreadsheets/d/1Yj_ptqi66GCucihVvJfMjLAmec39IyEx_6qawtMGysU/edit?usp=sharing"",""สบก!BG36"")"),83500)</f>
        <v>83500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IFERROR(__xludf.DUMMYFUNCTION("IMPORTRANGE(""https://docs.google.com/spreadsheets/d/1Yj_ptqi66GCucihVvJfMjLAmec39IyEx_6qawtMGysU/edit?usp=sharing"",""สบก!BH36"")"),0)</f>
        <v>0</v>
      </c>
      <c r="M148" s="52"/>
      <c r="N148" s="52">
        <f ca="1">IFERROR(__xludf.DUMMYFUNCTION("IMPORTRANGE(""https://docs.google.com/spreadsheets/d/1Yj_ptqi66GCucihVvJfMjLAmec39IyEx_6qawtMGysU/edit?usp=sharing"",""สบก!BL36"")"),0)</f>
        <v>0</v>
      </c>
      <c r="O148" s="52">
        <f ca="1">IF(L148&gt;0,N148*100/L148,0)</f>
        <v>0</v>
      </c>
      <c r="P148" s="52"/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IFERROR(__xludf.DUMMYFUNCTION("IMPORTRANGE(""https://docs.google.com/spreadsheets/d/11923uPwbBZFjjGgGUA6NLw09EwE0CqkOc4q9oUmW1yo/edit?usp=sharing"",""อุทัยธานี!I74"")"),4)</f>
        <v>4</v>
      </c>
      <c r="J149" s="276">
        <f ca="1">IFERROR(__xludf.DUMMYFUNCTION("IMPORTRANGE(""https://docs.google.com/spreadsheets/d/11923uPwbBZFjjGgGUA6NLw09EwE0CqkOc4q9oUmW1yo/edit?usp=sharing"",""อุทัยธานี!J74"")"),2)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IFERROR(__xludf.DUMMYFUNCTION("IMPORTRANGE(""https://docs.google.com/spreadsheets/d/11923uPwbBZFjjGgGUA6NLw09EwE0CqkOc4q9oUmW1yo/edit?usp=sharing"",""อุทัยธานี!J79"")"),0)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IFERROR(__xludf.DUMMYFUNCTION("IMPORTRANGE(""https://docs.google.com/spreadsheets/d/11923uPwbBZFjjGgGUA6NLw09EwE0CqkOc4q9oUmW1yo/edit?usp=sharing"",""อุทัยธานี!J80"")"),1)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IFERROR(__xludf.DUMMYFUNCTION("IMPORTRANGE(""https://docs.google.com/spreadsheets/d/11923uPwbBZFjjGgGUA6NLw09EwE0CqkOc4q9oUmW1yo/edit?usp=sharing"",""อุทัยธานี!J81"")"),0)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IFERROR(__xludf.DUMMYFUNCTION("IMPORTRANGE(""https://docs.google.com/spreadsheets/d/11923uPwbBZFjjGgGUA6NLw09EwE0CqkOc4q9oUmW1yo/edit?usp=sharing"",""อุทัยธานี!J82"")"),0)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IFERROR(__xludf.DUMMYFUNCTION("IMPORTRANGE(""https://docs.google.com/spreadsheets/d/11923uPwbBZFjjGgGUA6NLw09EwE0CqkOc4q9oUmW1yo/edit?usp=sharing"",""อุทัยธานี!I83"")"),4)</f>
        <v>4</v>
      </c>
      <c r="J158" s="190">
        <f ca="1">IFERROR(__xludf.DUMMYFUNCTION("IMPORTRANGE(""https://docs.google.com/spreadsheets/d/11923uPwbBZFjjGgGUA6NLw09EwE0CqkOc4q9oUmW1yo/edit?usp=sharing"",""อุทัยธานี!J83"")"),2)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IFERROR(__xludf.DUMMYFUNCTION("IMPORTRANGE(""https://docs.google.com/spreadsheets/d/11923uPwbBZFjjGgGUA6NLw09EwE0CqkOc4q9oUmW1yo/edit?usp=sharing"",""อุทัยธานี!J84"")"),10)</f>
        <v>10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IFERROR(__xludf.DUMMYFUNCTION("IMPORTRANGE(""https://docs.google.com/spreadsheets/d/11923uPwbBZFjjGgGUA6NLw09EwE0CqkOc4q9oUmW1yo/edit?usp=sharing"",""อุทัยธานี!J85"")"),10)</f>
        <v>10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IFERROR(__xludf.DUMMYFUNCTION("IMPORTRANGE(""https://docs.google.com/spreadsheets/d/11923uPwbBZFjjGgGUA6NLw09EwE0CqkOc4q9oUmW1yo/edit?usp=sharing"",""อุทัยธานี!J86"")"),0)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IFERROR(__xludf.DUMMYFUNCTION("IMPORTRANGE(""https://docs.google.com/spreadsheets/d/11923uPwbBZFjjGgGUA6NLw09EwE0CqkOc4q9oUmW1yo/edit?usp=sharing"",""อุทัยธานี!J87"")"),0)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IFERROR(__xludf.DUMMYFUNCTION("IMPORTRANGE(""https://docs.google.com/spreadsheets/d/11923uPwbBZFjjGgGUA6NLw09EwE0CqkOc4q9oUmW1yo/edit?usp=sharing"",""อุทัยธานี!J88"")"),0)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IFERROR(__xludf.DUMMYFUNCTION("IMPORTRANGE(""https://docs.google.com/spreadsheets/d/11923uPwbBZFjjGgGUA6NLw09EwE0CqkOc4q9oUmW1yo/edit?usp=sharing"",""อุทัยธานี!I89"")"),3)</f>
        <v>3</v>
      </c>
      <c r="J164" s="285">
        <f ca="1">IFERROR(__xludf.DUMMYFUNCTION("IMPORTRANGE(""https://docs.google.com/spreadsheets/d/11923uPwbBZFjjGgGUA6NLw09EwE0CqkOc4q9oUmW1yo/edit?usp=sharing"",""อุทัยธานี!J89"")"),3)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IFERROR(__xludf.DUMMYFUNCTION("IMPORTRANGE(""https://docs.google.com/spreadsheets/d/11923uPwbBZFjjGgGUA6NLw09EwE0CqkOc4q9oUmW1yo/edit?usp=sharing"",""อุทัยธานี!J94"")"),0)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IFERROR(__xludf.DUMMYFUNCTION("IMPORTRANGE(""https://docs.google.com/spreadsheets/d/11923uPwbBZFjjGgGUA6NLw09EwE0CqkOc4q9oUmW1yo/edit?usp=sharing"",""อุทัยธานี!J95"")"),1)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IFERROR(__xludf.DUMMYFUNCTION("IMPORTRANGE(""https://docs.google.com/spreadsheets/d/11923uPwbBZFjjGgGUA6NLw09EwE0CqkOc4q9oUmW1yo/edit?usp=sharing"",""อุทัยธานี!J96"")"),0)</f>
        <v>0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IFERROR(__xludf.DUMMYFUNCTION("IMPORTRANGE(""https://docs.google.com/spreadsheets/d/11923uPwbBZFjjGgGUA6NLw09EwE0CqkOc4q9oUmW1yo/edit?usp=sharing"",""อุทัยธานี!J97"")"),0)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IFERROR(__xludf.DUMMYFUNCTION("IMPORTRANGE(""https://docs.google.com/spreadsheets/d/11923uPwbBZFjjGgGUA6NLw09EwE0CqkOc4q9oUmW1yo/edit?usp=sharing"",""อุทัยธานี!I98"")"),3)</f>
        <v>3</v>
      </c>
      <c r="J173" s="190">
        <f ca="1">IFERROR(__xludf.DUMMYFUNCTION("IMPORTRANGE(""https://docs.google.com/spreadsheets/d/11923uPwbBZFjjGgGUA6NLw09EwE0CqkOc4q9oUmW1yo/edit?usp=sharing"",""อุทัยธานี!J98"")"),3)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IFERROR(__xludf.DUMMYFUNCTION("IMPORTRANGE(""https://docs.google.com/spreadsheets/d/11923uPwbBZFjjGgGUA6NLw09EwE0CqkOc4q9oUmW1yo/edit?usp=sharing"",""อุทัยธานี!J99"")"),0)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IFERROR(__xludf.DUMMYFUNCTION("IMPORTRANGE(""https://docs.google.com/spreadsheets/d/11923uPwbBZFjjGgGUA6NLw09EwE0CqkOc4q9oUmW1yo/edit?usp=sharing"",""อุทัยธานี!J100"")"),0)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IFERROR(__xludf.DUMMYFUNCTION("IMPORTRANGE(""https://docs.google.com/spreadsheets/d/11923uPwbBZFjjGgGUA6NLw09EwE0CqkOc4q9oUmW1yo/edit?usp=sharing"",""อุทัยธานี!I101"")"),0)</f>
        <v>0</v>
      </c>
      <c r="J176" s="285">
        <f ca="1">IFERROR(__xludf.DUMMYFUNCTION("IMPORTRANGE(""https://docs.google.com/spreadsheets/d/11923uPwbBZFjjGgGUA6NLw09EwE0CqkOc4q9oUmW1yo/edit?usp=sharing"",""อุทัยธานี!J101"")"),0)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IFERROR(__xludf.DUMMYFUNCTION("IMPORTRANGE(""https://docs.google.com/spreadsheets/d/11923uPwbBZFjjGgGUA6NLw09EwE0CqkOc4q9oUmW1yo/edit?usp=sharing"",""อุทัยธานี!J106"")"),0)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IFERROR(__xludf.DUMMYFUNCTION("IMPORTRANGE(""https://docs.google.com/spreadsheets/d/11923uPwbBZFjjGgGUA6NLw09EwE0CqkOc4q9oUmW1yo/edit?usp=sharing"",""อุทัยธานี!J107"")"),0)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IFERROR(__xludf.DUMMYFUNCTION("IMPORTRANGE(""https://docs.google.com/spreadsheets/d/11923uPwbBZFjjGgGUA6NLw09EwE0CqkOc4q9oUmW1yo/edit?usp=sharing"",""อุทัยธานี!J108"")"),0)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IFERROR(__xludf.DUMMYFUNCTION("IMPORTRANGE(""https://docs.google.com/spreadsheets/d/11923uPwbBZFjjGgGUA6NLw09EwE0CqkOc4q9oUmW1yo/edit?usp=sharing"",""อุทัยธานี!J109"")"),0)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IFERROR(__xludf.DUMMYFUNCTION("IMPORTRANGE(""https://docs.google.com/spreadsheets/d/11923uPwbBZFjjGgGUA6NLw09EwE0CqkOc4q9oUmW1yo/edit?usp=sharing"",""อุทัยธานี!I110"")"),0)</f>
        <v>0</v>
      </c>
      <c r="J185" s="205">
        <f ca="1">IFERROR(__xludf.DUMMYFUNCTION("IMPORTRANGE(""https://docs.google.com/spreadsheets/d/11923uPwbBZFjjGgGUA6NLw09EwE0CqkOc4q9oUmW1yo/edit?usp=sharing"",""อุทัยธานี!J110"")"),0)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IFERROR(__xludf.DUMMYFUNCTION("IMPORTRANGE(""https://docs.google.com/spreadsheets/d/11923uPwbBZFjjGgGUA6NLw09EwE0CqkOc4q9oUmW1yo/edit?usp=sharing"",""อุทัยธานี!I111"")"),0)</f>
        <v>0</v>
      </c>
      <c r="J186" s="205">
        <f ca="1">IFERROR(__xludf.DUMMYFUNCTION("IMPORTRANGE(""https://docs.google.com/spreadsheets/d/11923uPwbBZFjjGgGUA6NLw09EwE0CqkOc4q9oUmW1yo/edit?usp=sharing"",""อุทัยธานี!J111"")"),0)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IFERROR(__xludf.DUMMYFUNCTION("IMPORTRANGE(""https://docs.google.com/spreadsheets/d/11923uPwbBZFjjGgGUA6NLw09EwE0CqkOc4q9oUmW1yo/edit?usp=sharing"",""อุทัยธานี!J112"")"),0)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IFERROR(__xludf.DUMMYFUNCTION("IMPORTRANGE(""https://docs.google.com/spreadsheets/d/11923uPwbBZFjjGgGUA6NLw09EwE0CqkOc4q9oUmW1yo/edit?usp=sharing"",""อุทัยธานี!J113"")"),0)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IFERROR(__xludf.DUMMYFUNCTION("IMPORTRANGE(""https://docs.google.com/spreadsheets/d/11923uPwbBZFjjGgGUA6NLw09EwE0CqkOc4q9oUmW1yo/edit?usp=sharing"",""อุทัยธานี!I114"")"),100000)</f>
        <v>100000</v>
      </c>
      <c r="J189" s="285">
        <f ca="1">IFERROR(__xludf.DUMMYFUNCTION("IMPORTRANGE(""https://docs.google.com/spreadsheets/d/11923uPwbBZFjjGgGUA6NLw09EwE0CqkOc4q9oUmW1yo/edit?usp=sharing"",""อุทัยธานี!J114"")"),0)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IFERROR(__xludf.DUMMYFUNCTION("IMPORTRANGE(""https://docs.google.com/spreadsheets/d/11923uPwbBZFjjGgGUA6NLw09EwE0CqkOc4q9oUmW1yo/edit?usp=sharing"",""อุทัยธานี!J119"")"),0)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IFERROR(__xludf.DUMMYFUNCTION("IMPORTRANGE(""https://docs.google.com/spreadsheets/d/11923uPwbBZFjjGgGUA6NLw09EwE0CqkOc4q9oUmW1yo/edit?usp=sharing"",""อุทัยธานี!J120"")"),1)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IFERROR(__xludf.DUMMYFUNCTION("IMPORTRANGE(""https://docs.google.com/spreadsheets/d/11923uPwbBZFjjGgGUA6NLw09EwE0CqkOc4q9oUmW1yo/edit?usp=sharing"",""อุทัยธานี!J121"")"),0)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IFERROR(__xludf.DUMMYFUNCTION("IMPORTRANGE(""https://docs.google.com/spreadsheets/d/11923uPwbBZFjjGgGUA6NLw09EwE0CqkOc4q9oUmW1yo/edit?usp=sharing"",""อุทัยธานี!J122"")"),0)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IFERROR(__xludf.DUMMYFUNCTION("IMPORTRANGE(""https://docs.google.com/spreadsheets/d/11923uPwbBZFjjGgGUA6NLw09EwE0CqkOc4q9oUmW1yo/edit?usp=sharing"",""อุทัยธานี!I124"")"),100000)</f>
        <v>100000</v>
      </c>
      <c r="J199" s="190">
        <f ca="1">IFERROR(__xludf.DUMMYFUNCTION("IMPORTRANGE(""https://docs.google.com/spreadsheets/d/11923uPwbBZFjjGgGUA6NLw09EwE0CqkOc4q9oUmW1yo/edit?usp=sharing"",""อุทัยธานี!J124"")"),0)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IFERROR(__xludf.DUMMYFUNCTION("IMPORTRANGE(""https://docs.google.com/spreadsheets/d/11923uPwbBZFjjGgGUA6NLw09EwE0CqkOc4q9oUmW1yo/edit?usp=sharing"",""อุทัยธานี!I125"")"),100000)</f>
        <v>100000</v>
      </c>
      <c r="J200" s="190">
        <f ca="1">IFERROR(__xludf.DUMMYFUNCTION("IMPORTRANGE(""https://docs.google.com/spreadsheets/d/11923uPwbBZFjjGgGUA6NLw09EwE0CqkOc4q9oUmW1yo/edit?usp=sharing"",""อุทัยธานี!J125"")"),0)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IFERROR(__xludf.DUMMYFUNCTION("IMPORTRANGE(""https://docs.google.com/spreadsheets/d/11923uPwbBZFjjGgGUA6NLw09EwE0CqkOc4q9oUmW1yo/edit?usp=sharing"",""อุทัยธานี!I126"")"),0)</f>
        <v>0</v>
      </c>
      <c r="J201" s="190">
        <f ca="1">IFERROR(__xludf.DUMMYFUNCTION("IMPORTRANGE(""https://docs.google.com/spreadsheets/d/11923uPwbBZFjjGgGUA6NLw09EwE0CqkOc4q9oUmW1yo/edit?usp=sharing"",""อุทัยธานี!J126"")"),0)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IFERROR(__xludf.DUMMYFUNCTION("IMPORTRANGE(""https://docs.google.com/spreadsheets/d/11923uPwbBZFjjGgGUA6NLw09EwE0CqkOc4q9oUmW1yo/edit?usp=sharing"",""อุทัยธานี!J127"")"),0)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IFERROR(__xludf.DUMMYFUNCTION("IMPORTRANGE(""https://docs.google.com/spreadsheets/d/11923uPwbBZFjjGgGUA6NLw09EwE0CqkOc4q9oUmW1yo/edit?usp=sharing"",""อุทัยธานี!J128"")"),0)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IFERROR(__xludf.DUMMYFUNCTION("IMPORTRANGE(""https://docs.google.com/spreadsheets/d/11923uPwbBZFjjGgGUA6NLw09EwE0CqkOc4q9oUmW1yo/edit?usp=sharing"",""อุทัยธานี!I129"")"),0)</f>
        <v>0</v>
      </c>
      <c r="J204" s="285">
        <f ca="1">IFERROR(__xludf.DUMMYFUNCTION("IMPORTRANGE(""https://docs.google.com/spreadsheets/d/11923uPwbBZFjjGgGUA6NLw09EwE0CqkOc4q9oUmW1yo/edit?usp=sharing"",""อุทัยธานี!J129"")"),0)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IFERROR(__xludf.DUMMYFUNCTION("IMPORTRANGE(""https://docs.google.com/spreadsheets/d/11923uPwbBZFjjGgGUA6NLw09EwE0CqkOc4q9oUmW1yo/edit?usp=sharing"",""อุทัยธานี!J134"")"),0)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IFERROR(__xludf.DUMMYFUNCTION("IMPORTRANGE(""https://docs.google.com/spreadsheets/d/11923uPwbBZFjjGgGUA6NLw09EwE0CqkOc4q9oUmW1yo/edit?usp=sharing"",""อุทัยธานี!J135"")"),0)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IFERROR(__xludf.DUMMYFUNCTION("IMPORTRANGE(""https://docs.google.com/spreadsheets/d/11923uPwbBZFjjGgGUA6NLw09EwE0CqkOc4q9oUmW1yo/edit?usp=sharing"",""อุทัยธานี!J136"")"),0)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IFERROR(__xludf.DUMMYFUNCTION("IMPORTRANGE(""https://docs.google.com/spreadsheets/d/11923uPwbBZFjjGgGUA6NLw09EwE0CqkOc4q9oUmW1yo/edit?usp=sharing"",""อุทัยธานี!J137"")"),0)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IFERROR(__xludf.DUMMYFUNCTION("IMPORTRANGE(""https://docs.google.com/spreadsheets/d/11923uPwbBZFjjGgGUA6NLw09EwE0CqkOc4q9oUmW1yo/edit?usp=sharing"",""อุทัยธานี!I138"")"),0)</f>
        <v>0</v>
      </c>
      <c r="J213" s="205">
        <f ca="1">IFERROR(__xludf.DUMMYFUNCTION("IMPORTRANGE(""https://docs.google.com/spreadsheets/d/11923uPwbBZFjjGgGUA6NLw09EwE0CqkOc4q9oUmW1yo/edit?usp=sharing"",""อุทัยธานี!J138"")"),0)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IFERROR(__xludf.DUMMYFUNCTION("IMPORTRANGE(""https://docs.google.com/spreadsheets/d/11923uPwbBZFjjGgGUA6NLw09EwE0CqkOc4q9oUmW1yo/edit?usp=sharing"",""อุทัยธานี!I140"")"),0)</f>
        <v>0</v>
      </c>
      <c r="J215" s="205">
        <f ca="1">IFERROR(__xludf.DUMMYFUNCTION("IMPORTRANGE(""https://docs.google.com/spreadsheets/d/11923uPwbBZFjjGgGUA6NLw09EwE0CqkOc4q9oUmW1yo/edit?usp=sharing"",""อุทัยธานี!J140"")"),0)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IFERROR(__xludf.DUMMYFUNCTION("IMPORTRANGE(""https://docs.google.com/spreadsheets/d/11923uPwbBZFjjGgGUA6NLw09EwE0CqkOc4q9oUmW1yo/edit?usp=sharing"",""อุทัยธานี!I141"")"),0)</f>
        <v>0</v>
      </c>
      <c r="J216" s="205">
        <f ca="1">IFERROR(__xludf.DUMMYFUNCTION("IMPORTRANGE(""https://docs.google.com/spreadsheets/d/11923uPwbBZFjjGgGUA6NLw09EwE0CqkOc4q9oUmW1yo/edit?usp=sharing"",""อุทัยธานี!J141"")"),0)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IFERROR(__xludf.DUMMYFUNCTION("IMPORTRANGE(""https://docs.google.com/spreadsheets/d/11923uPwbBZFjjGgGUA6NLw09EwE0CqkOc4q9oUmW1yo/edit?usp=sharing"",""อุทัยธานี!J142"")"),0)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IFERROR(__xludf.DUMMYFUNCTION("IMPORTRANGE(""https://docs.google.com/spreadsheets/d/11923uPwbBZFjjGgGUA6NLw09EwE0CqkOc4q9oUmW1yo/edit?usp=sharing"",""อุทัยธานี!J143"")"),0)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IFERROR(__xludf.DUMMYFUNCTION("IMPORTRANGE(""https://docs.google.com/spreadsheets/d/11923uPwbBZFjjGgGUA6NLw09EwE0CqkOc4q9oUmW1yo/edit?usp=sharing"",""อุทัยธานี!I144"")"),15)</f>
        <v>15</v>
      </c>
      <c r="J219" s="268">
        <f ca="1">IFERROR(__xludf.DUMMYFUNCTION("IMPORTRANGE(""https://docs.google.com/spreadsheets/d/11923uPwbBZFjjGgGUA6NLw09EwE0CqkOc4q9oUmW1yo/edit?usp=sharing"",""อุทัยธานี!J144"")"),15)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20505</v>
      </c>
      <c r="O220" s="153">
        <f t="shared" ref="O220:O222" ca="1" si="73">IF(L220&gt;0,N220*100/L220,0)</f>
        <v>97.065088757396452</v>
      </c>
      <c r="P220" s="153">
        <f t="shared" ref="P220:P222" ca="1" si="74">IF(M220&gt;0,N220*100/M220,0)</f>
        <v>97.065088757396452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21125</v>
      </c>
      <c r="M222" s="90">
        <f t="shared" ca="1" si="76"/>
        <v>21125</v>
      </c>
      <c r="N222" s="90">
        <f t="shared" ca="1" si="76"/>
        <v>20505</v>
      </c>
      <c r="O222" s="158">
        <f t="shared" ca="1" si="73"/>
        <v>97.065088757396452</v>
      </c>
      <c r="P222" s="158">
        <f t="shared" ca="1" si="74"/>
        <v>97.065088757396452</v>
      </c>
    </row>
    <row r="223" spans="1:16" ht="21.75" customHeight="1">
      <c r="A223" s="159"/>
      <c r="B223" s="160"/>
      <c r="C223" s="160" t="s">
        <v>16</v>
      </c>
      <c r="D223" s="570" t="s">
        <v>20</v>
      </c>
      <c r="E223" s="565"/>
      <c r="F223" s="565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IFERROR(__xludf.DUMMYFUNCTION("IMPORTRANGE(""https://docs.google.com/spreadsheets/d/1Yj_ptqi66GCucihVvJfMjLAmec39IyEx_6qawtMGysU/edit?usp=sharing"",""สบก!BS36"")"),21125)</f>
        <v>21125</v>
      </c>
      <c r="N224" s="170">
        <f ca="1">IFERROR(__xludf.DUMMYFUNCTION("IMPORTRANGE(""https://docs.google.com/spreadsheets/d/1Yj_ptqi66GCucihVvJfMjLAmec39IyEx_6qawtMGysU/edit?usp=sharing"",""สบก!BT36"")"),20505)</f>
        <v>20505</v>
      </c>
      <c r="O224" s="170">
        <f ca="1">IF(L224&gt;0,N224*100/L224,0)</f>
        <v>97.065088757396452</v>
      </c>
      <c r="P224" s="170">
        <f ca="1">IF(M224&gt;0,N224*100/M224,0)</f>
        <v>97.065088757396452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IFERROR(__xludf.DUMMYFUNCTION("IMPORTRANGE(""https://docs.google.com/spreadsheets/d/1Yj_ptqi66GCucihVvJfMjLAmec39IyEx_6qawtMGysU/edit?usp=sharing"",""สบก!BO36"")"),0)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IFERROR(__xludf.DUMMYFUNCTION("IMPORTRANGE(""https://docs.google.com/spreadsheets/d/1Yj_ptqi66GCucihVvJfMjLAmec39IyEx_6qawtMGysU/edit?usp=sharing"",""สบก!BP36"")"),21125)</f>
        <v>21125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IFERROR(__xludf.DUMMYFUNCTION("IMPORTRANGE(""https://docs.google.com/spreadsheets/d/1Yj_ptqi66GCucihVvJfMjLAmec39IyEx_6qawtMGysU/edit?usp=sharing"",""สบก!BQ36"")"),0)</f>
        <v>0</v>
      </c>
      <c r="M228" s="52"/>
      <c r="N228" s="52">
        <f ca="1">IFERROR(__xludf.DUMMYFUNCTION("IMPORTRANGE(""https://docs.google.com/spreadsheets/d/1Yj_ptqi66GCucihVvJfMjLAmec39IyEx_6qawtMGysU/edit?usp=sharing"",""สบก!BU36"")"),0)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IFERROR(__xludf.DUMMYFUNCTION("IMPORTRANGE(""https://docs.google.com/spreadsheets/d/11923uPwbBZFjjGgGUA6NLw09EwE0CqkOc4q9oUmW1yo/edit?usp=sharing"",""อุทัยธานี!I149"")"),15)</f>
        <v>15</v>
      </c>
      <c r="J229" s="268">
        <f ca="1">IFERROR(__xludf.DUMMYFUNCTION("IMPORTRANGE(""https://docs.google.com/spreadsheets/d/11923uPwbBZFjjGgGUA6NLw09EwE0CqkOc4q9oUmW1yo/edit?usp=sharing"",""อุทัยธานี!J149"")"),15)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IFERROR(__xludf.DUMMYFUNCTION("IMPORTRANGE(""https://docs.google.com/spreadsheets/d/11923uPwbBZFjjGgGUA6NLw09EwE0CqkOc4q9oUmW1yo/edit?usp=sharing"",""อุทัยธานี!J151"")"),0)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IFERROR(__xludf.DUMMYFUNCTION("IMPORTRANGE(""https://docs.google.com/spreadsheets/d/11923uPwbBZFjjGgGUA6NLw09EwE0CqkOc4q9oUmW1yo/edit?usp=sharing"",""อุทัยธานี!J152"")"),1)</f>
        <v>1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IFERROR(__xludf.DUMMYFUNCTION("IMPORTRANGE(""https://docs.google.com/spreadsheets/d/11923uPwbBZFjjGgGUA6NLw09EwE0CqkOc4q9oUmW1yo/edit?usp=sharing"",""อุทัยธานี!J153"")"),1)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IFERROR(__xludf.DUMMYFUNCTION("IMPORTRANGE(""https://docs.google.com/spreadsheets/d/11923uPwbBZFjjGgGUA6NLw09EwE0CqkOc4q9oUmW1yo/edit?usp=sharing"",""อุทัยธานี!J154"")"),1)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IFERROR(__xludf.DUMMYFUNCTION("IMPORTRANGE(""https://docs.google.com/spreadsheets/d/11923uPwbBZFjjGgGUA6NLw09EwE0CqkOc4q9oUmW1yo/edit?usp=sharing"",""อุทัยธานี!I155"")"),15)</f>
        <v>15</v>
      </c>
      <c r="J235" s="190">
        <f ca="1">IFERROR(__xludf.DUMMYFUNCTION("IMPORTRANGE(""https://docs.google.com/spreadsheets/d/11923uPwbBZFjjGgGUA6NLw09EwE0CqkOc4q9oUmW1yo/edit?usp=sharing"",""อุทัยธานี!J155"")"),15)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IFERROR(__xludf.DUMMYFUNCTION("IMPORTRANGE(""https://docs.google.com/spreadsheets/d/11923uPwbBZFjjGgGUA6NLw09EwE0CqkOc4q9oUmW1yo/edit?usp=sharing"",""อุทัยธานี!J156"")"),0)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IFERROR(__xludf.DUMMYFUNCTION("IMPORTRANGE(""https://docs.google.com/spreadsheets/d/11923uPwbBZFjjGgGUA6NLw09EwE0CqkOc4q9oUmW1yo/edit?usp=sharing"",""อุทัยธานี!J157"")"),0)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IFERROR(__xludf.DUMMYFUNCTION("IMPORTRANGE(""https://docs.google.com/spreadsheets/d/11923uPwbBZFjjGgGUA6NLw09EwE0CqkOc4q9oUmW1yo/edit?usp=sharing"",""อุทัยธานี!I158"")"),0)</f>
        <v>0</v>
      </c>
      <c r="J238" s="268">
        <f ca="1">IFERROR(__xludf.DUMMYFUNCTION("IMPORTRANGE(""https://docs.google.com/spreadsheets/d/11923uPwbBZFjjGgGUA6NLw09EwE0CqkOc4q9oUmW1yo/edit?usp=sharing"",""อุทัยธานี!J158"")"),0)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IFERROR(__xludf.DUMMYFUNCTION("IMPORTRANGE(""https://docs.google.com/spreadsheets/d/11923uPwbBZFjjGgGUA6NLw09EwE0CqkOc4q9oUmW1yo/edit?usp=sharing"",""อุทัยธานี!J159"")"),"")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IFERROR(__xludf.DUMMYFUNCTION("IMPORTRANGE(""https://docs.google.com/spreadsheets/d/11923uPwbBZFjjGgGUA6NLw09EwE0CqkOc4q9oUmW1yo/edit?usp=sharing"",""อุทัยธานี!J161"")"),0)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IFERROR(__xludf.DUMMYFUNCTION("IMPORTRANGE(""https://docs.google.com/spreadsheets/d/11923uPwbBZFjjGgGUA6NLw09EwE0CqkOc4q9oUmW1yo/edit?usp=sharing"",""อุทัยธานี!J162"")"),0)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IFERROR(__xludf.DUMMYFUNCTION("IMPORTRANGE(""https://docs.google.com/spreadsheets/d/11923uPwbBZFjjGgGUA6NLw09EwE0CqkOc4q9oUmW1yo/edit?usp=sharing"",""อุทัยธานี!J163"")"),0)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IFERROR(__xludf.DUMMYFUNCTION("IMPORTRANGE(""https://docs.google.com/spreadsheets/d/11923uPwbBZFjjGgGUA6NLw09EwE0CqkOc4q9oUmW1yo/edit?usp=sharing"",""อุทัยธานี!I164"")"),0)</f>
        <v>0</v>
      </c>
      <c r="J244" s="189">
        <f ca="1">IFERROR(__xludf.DUMMYFUNCTION("IMPORTRANGE(""https://docs.google.com/spreadsheets/d/11923uPwbBZFjjGgGUA6NLw09EwE0CqkOc4q9oUmW1yo/edit?usp=sharing"",""อุทัยธานี!J164"")"),0)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IFERROR(__xludf.DUMMYFUNCTION("IMPORTRANGE(""https://docs.google.com/spreadsheets/d/11923uPwbBZFjjGgGUA6NLw09EwE0CqkOc4q9oUmW1yo/edit?usp=sharing"",""อุทัยธานี!J165"")"),0)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IFERROR(__xludf.DUMMYFUNCTION("IMPORTRANGE(""https://docs.google.com/spreadsheets/d/11923uPwbBZFjjGgGUA6NLw09EwE0CqkOc4q9oUmW1yo/edit?usp=sharing"",""อุทัยธานี!J166"")"),0)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IFERROR(__xludf.DUMMYFUNCTION("IMPORTRANGE(""https://docs.google.com/spreadsheets/d/11923uPwbBZFjjGgGUA6NLw09EwE0CqkOc4q9oUmW1yo/edit?usp=sharing"",""อุทัยธานี!I169"")"),20)</f>
        <v>20</v>
      </c>
      <c r="J249" s="317">
        <f ca="1">IFERROR(__xludf.DUMMYFUNCTION("IMPORTRANGE(""https://docs.google.com/spreadsheets/d/11923uPwbBZFjjGgGUA6NLw09EwE0CqkOc4q9oUmW1yo/edit?usp=sharing"",""อุทัยธานี!J169"")"),20)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203400</v>
      </c>
      <c r="M250" s="154">
        <f t="shared" ca="1" si="77"/>
        <v>141000</v>
      </c>
      <c r="N250" s="154">
        <f t="shared" ca="1" si="77"/>
        <v>90366</v>
      </c>
      <c r="O250" s="153">
        <f t="shared" ref="O250:O252" ca="1" si="78">IF(L250&gt;0,N250*100/L250,0)</f>
        <v>44.427728613569322</v>
      </c>
      <c r="P250" s="153">
        <f t="shared" ref="P250:P252" ca="1" si="79">IF(M250&gt;0,N250*100/M250,0)</f>
        <v>64.089361702127661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203400</v>
      </c>
      <c r="M252" s="90">
        <f t="shared" ca="1" si="81"/>
        <v>141000</v>
      </c>
      <c r="N252" s="90">
        <f t="shared" ca="1" si="81"/>
        <v>90366</v>
      </c>
      <c r="O252" s="158">
        <f t="shared" ca="1" si="78"/>
        <v>44.427728613569322</v>
      </c>
      <c r="P252" s="158">
        <f t="shared" ca="1" si="79"/>
        <v>64.089361702127661</v>
      </c>
    </row>
    <row r="253" spans="1:16" ht="21.75" customHeight="1">
      <c r="A253" s="159"/>
      <c r="B253" s="160"/>
      <c r="C253" s="160" t="s">
        <v>16</v>
      </c>
      <c r="D253" s="570" t="s">
        <v>20</v>
      </c>
      <c r="E253" s="565"/>
      <c r="F253" s="565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203400</v>
      </c>
      <c r="M254" s="169">
        <f ca="1">IFERROR(__xludf.DUMMYFUNCTION("IMPORTRANGE(""https://docs.google.com/spreadsheets/d/1Yj_ptqi66GCucihVvJfMjLAmec39IyEx_6qawtMGysU/edit?usp=sharing"",""สบก!CB36"")"),141000)</f>
        <v>141000</v>
      </c>
      <c r="N254" s="170">
        <f ca="1">IFERROR(__xludf.DUMMYFUNCTION("IMPORTRANGE(""https://docs.google.com/spreadsheets/d/1Yj_ptqi66GCucihVvJfMjLAmec39IyEx_6qawtMGysU/edit?usp=sharing"",""สบก!CC36"")"),90366)</f>
        <v>90366</v>
      </c>
      <c r="O254" s="170">
        <f ca="1">IF(L254&gt;0,N254*100/L254,0)</f>
        <v>44.427728613569322</v>
      </c>
      <c r="P254" s="170">
        <f ca="1">IF(M254&gt;0,N254*100/M254,0)</f>
        <v>64.089361702127661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IFERROR(__xludf.DUMMYFUNCTION("IMPORTRANGE(""https://docs.google.com/spreadsheets/d/1Yj_ptqi66GCucihVvJfMjLAmec39IyEx_6qawtMGysU/edit?usp=sharing"",""สบก!BX36"")"),132000)</f>
        <v>132000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IFERROR(__xludf.DUMMYFUNCTION("IMPORTRANGE(""https://docs.google.com/spreadsheets/d/1Yj_ptqi66GCucihVvJfMjLAmec39IyEx_6qawtMGysU/edit?usp=sharing"",""สบก!BY36"")"),71400)</f>
        <v>71400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IFERROR(__xludf.DUMMYFUNCTION("IMPORTRANGE(""https://docs.google.com/spreadsheets/d/1Yj_ptqi66GCucihVvJfMjLAmec39IyEx_6qawtMGysU/edit?usp=sharing"",""สบก!BZ36"")"),0)</f>
        <v>0</v>
      </c>
      <c r="M258" s="52"/>
      <c r="N258" s="52">
        <f ca="1">IFERROR(__xludf.DUMMYFUNCTION("IMPORTRANGE(""https://docs.google.com/spreadsheets/d/1Yj_ptqi66GCucihVvJfMjLAmec39IyEx_6qawtMGysU/edit?usp=sharing"",""สบก!CD36"")"),0)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IFERROR(__xludf.DUMMYFUNCTION("IMPORTRANGE(""https://docs.google.com/spreadsheets/d/11923uPwbBZFjjGgGUA6NLw09EwE0CqkOc4q9oUmW1yo/edit?usp=sharing"",""อุทัยธานี!J175"")"),0)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IFERROR(__xludf.DUMMYFUNCTION("IMPORTRANGE(""https://docs.google.com/spreadsheets/d/11923uPwbBZFjjGgGUA6NLw09EwE0CqkOc4q9oUmW1yo/edit?usp=sharing"",""อุทัยธานี!J176"")"),1)</f>
        <v>1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IFERROR(__xludf.DUMMYFUNCTION("IMPORTRANGE(""https://docs.google.com/spreadsheets/d/11923uPwbBZFjjGgGUA6NLw09EwE0CqkOc4q9oUmW1yo/edit?usp=sharing"",""อุทัยธานี!J177"")"),1)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IFERROR(__xludf.DUMMYFUNCTION("IMPORTRANGE(""https://docs.google.com/spreadsheets/d/11923uPwbBZFjjGgGUA6NLw09EwE0CqkOc4q9oUmW1yo/edit?usp=sharing"",""อุทัยธานี!J178"")"),0)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IFERROR(__xludf.DUMMYFUNCTION("IMPORTRANGE(""https://docs.google.com/spreadsheets/d/11923uPwbBZFjjGgGUA6NLw09EwE0CqkOc4q9oUmW1yo/edit?usp=sharing"",""อุทัยธานี!I179"")"),1)</f>
        <v>1</v>
      </c>
      <c r="J264" s="190">
        <f ca="1">IFERROR(__xludf.DUMMYFUNCTION("IMPORTRANGE(""https://docs.google.com/spreadsheets/d/11923uPwbBZFjjGgGUA6NLw09EwE0CqkOc4q9oUmW1yo/edit?usp=sharing"",""อุทัยธานี!J179"")"),0)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IFERROR(__xludf.DUMMYFUNCTION("IMPORTRANGE(""https://docs.google.com/spreadsheets/d/11923uPwbBZFjjGgGUA6NLw09EwE0CqkOc4q9oUmW1yo/edit?usp=sharing"",""อุทัยธานี!I180"")"),20)</f>
        <v>20</v>
      </c>
      <c r="J265" s="190">
        <f ca="1">IFERROR(__xludf.DUMMYFUNCTION("IMPORTRANGE(""https://docs.google.com/spreadsheets/d/11923uPwbBZFjjGgGUA6NLw09EwE0CqkOc4q9oUmW1yo/edit?usp=sharing"",""อุทัยธานี!J180"")"),20)</f>
        <v>20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IFERROR(__xludf.DUMMYFUNCTION("IMPORTRANGE(""https://docs.google.com/spreadsheets/d/11923uPwbBZFjjGgGUA6NLw09EwE0CqkOc4q9oUmW1yo/edit?usp=sharing"",""อุทัยธานี!I181"")"),20)</f>
        <v>20</v>
      </c>
      <c r="J266" s="190">
        <f ca="1">IFERROR(__xludf.DUMMYFUNCTION("IMPORTRANGE(""https://docs.google.com/spreadsheets/d/11923uPwbBZFjjGgGUA6NLw09EwE0CqkOc4q9oUmW1yo/edit?usp=sharing"",""อุทัยธานี!J181"")"),0)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IFERROR(__xludf.DUMMYFUNCTION("IMPORTRANGE(""https://docs.google.com/spreadsheets/d/11923uPwbBZFjjGgGUA6NLw09EwE0CqkOc4q9oUmW1yo/edit?usp=sharing"",""อุทัยธานี!I182"")"),1)</f>
        <v>1</v>
      </c>
      <c r="J267" s="190">
        <f ca="1">IFERROR(__xludf.DUMMYFUNCTION("IMPORTRANGE(""https://docs.google.com/spreadsheets/d/11923uPwbBZFjjGgGUA6NLw09EwE0CqkOc4q9oUmW1yo/edit?usp=sharing"",""อุทัยธานี!J182"")"),0)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IFERROR(__xludf.DUMMYFUNCTION("IMPORTRANGE(""https://docs.google.com/spreadsheets/d/11923uPwbBZFjjGgGUA6NLw09EwE0CqkOc4q9oUmW1yo/edit?usp=sharing"",""อุทัยธานี!J183"")"),0)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IFERROR(__xludf.DUMMYFUNCTION("IMPORTRANGE(""https://docs.google.com/spreadsheets/d/11923uPwbBZFjjGgGUA6NLw09EwE0CqkOc4q9oUmW1yo/edit?usp=sharing"",""อุทัยธานี!J184"")"),0)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IFERROR(__xludf.DUMMYFUNCTION("IMPORTRANGE(""https://docs.google.com/spreadsheets/d/11923uPwbBZFjjGgGUA6NLw09EwE0CqkOc4q9oUmW1yo/edit?usp=sharing"",""อุทัยธานี!I185"")"),20)</f>
        <v>20</v>
      </c>
      <c r="J270" s="317">
        <f ca="1">IFERROR(__xludf.DUMMYFUNCTION("IMPORTRANGE(""https://docs.google.com/spreadsheets/d/11923uPwbBZFjjGgGUA6NLw09EwE0CqkOc4q9oUmW1yo/edit?usp=sharing"",""อุทัยธานี!J185"")"),20)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183600</v>
      </c>
      <c r="M271" s="154">
        <f t="shared" ca="1" si="83"/>
        <v>161600</v>
      </c>
      <c r="N271" s="154">
        <f t="shared" ca="1" si="83"/>
        <v>121579</v>
      </c>
      <c r="O271" s="153">
        <f t="shared" ref="O271:O273" ca="1" si="84">IF(L271&gt;0,N271*100/L271,0)</f>
        <v>66.219498910675384</v>
      </c>
      <c r="P271" s="153">
        <f t="shared" ref="P271:P273" ca="1" si="85">IF(M271&gt;0,N271*100/M271,0)</f>
        <v>75.234529702970292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183600</v>
      </c>
      <c r="M273" s="90">
        <f t="shared" ca="1" si="87"/>
        <v>161600</v>
      </c>
      <c r="N273" s="90">
        <f t="shared" ca="1" si="87"/>
        <v>121579</v>
      </c>
      <c r="O273" s="158">
        <f t="shared" ca="1" si="84"/>
        <v>66.219498910675384</v>
      </c>
      <c r="P273" s="158">
        <f t="shared" ca="1" si="85"/>
        <v>75.234529702970292</v>
      </c>
    </row>
    <row r="274" spans="1:16" ht="21.75" customHeight="1">
      <c r="A274" s="159"/>
      <c r="B274" s="160"/>
      <c r="C274" s="160" t="s">
        <v>16</v>
      </c>
      <c r="D274" s="570" t="s">
        <v>20</v>
      </c>
      <c r="E274" s="565"/>
      <c r="F274" s="565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183600</v>
      </c>
      <c r="M275" s="169">
        <f ca="1">IFERROR(__xludf.DUMMYFUNCTION("IMPORTRANGE(""https://docs.google.com/spreadsheets/d/1Yj_ptqi66GCucihVvJfMjLAmec39IyEx_6qawtMGysU/edit?usp=sharing"",""สบก!CK36"")"),161600)</f>
        <v>161600</v>
      </c>
      <c r="N275" s="170">
        <f ca="1">IFERROR(__xludf.DUMMYFUNCTION("IMPORTRANGE(""https://docs.google.com/spreadsheets/d/1Yj_ptqi66GCucihVvJfMjLAmec39IyEx_6qawtMGysU/edit?usp=sharing"",""สบก!CL36"")"),121579)</f>
        <v>121579</v>
      </c>
      <c r="O275" s="170">
        <f ca="1">IF(L275&gt;0,N275*100/L275,0)</f>
        <v>66.219498910675384</v>
      </c>
      <c r="P275" s="170">
        <f ca="1">IF(M275&gt;0,N275*100/M275,0)</f>
        <v>75.234529702970292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IFERROR(__xludf.DUMMYFUNCTION("IMPORTRANGE(""https://docs.google.com/spreadsheets/d/1Yj_ptqi66GCucihVvJfMjLAmec39IyEx_6qawtMGysU/edit?usp=sharing"",""สบก!CG36"")"),0)</f>
        <v>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IFERROR(__xludf.DUMMYFUNCTION("IMPORTRANGE(""https://docs.google.com/spreadsheets/d/1Yj_ptqi66GCucihVvJfMjLAmec39IyEx_6qawtMGysU/edit?usp=sharing"",""สบก!CH36"")"),183600)</f>
        <v>183600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IFERROR(__xludf.DUMMYFUNCTION("IMPORTRANGE(""https://docs.google.com/spreadsheets/d/1Yj_ptqi66GCucihVvJfMjLAmec39IyEx_6qawtMGysU/edit?usp=sharing"",""สบก!CI36"")"),0)</f>
        <v>0</v>
      </c>
      <c r="M279" s="52"/>
      <c r="N279" s="52">
        <f ca="1">IFERROR(__xludf.DUMMYFUNCTION("IMPORTRANGE(""https://docs.google.com/spreadsheets/d/1Yj_ptqi66GCucihVvJfMjLAmec39IyEx_6qawtMGysU/edit?usp=sharing"",""สบก!CM36"")"),0)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IFERROR(__xludf.DUMMYFUNCTION("IMPORTRANGE(""https://docs.google.com/spreadsheets/d/11923uPwbBZFjjGgGUA6NLw09EwE0CqkOc4q9oUmW1yo/edit?usp=sharing"",""อุทัยธานี!J191"")"),0)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IFERROR(__xludf.DUMMYFUNCTION("IMPORTRANGE(""https://docs.google.com/spreadsheets/d/11923uPwbBZFjjGgGUA6NLw09EwE0CqkOc4q9oUmW1yo/edit?usp=sharing"",""อุทัยธานี!J192"")"),1)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IFERROR(__xludf.DUMMYFUNCTION("IMPORTRANGE(""https://docs.google.com/spreadsheets/d/11923uPwbBZFjjGgGUA6NLw09EwE0CqkOc4q9oUmW1yo/edit?usp=sharing"",""อุทัยธานี!J193"")"),1)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IFERROR(__xludf.DUMMYFUNCTION("IMPORTRANGE(""https://docs.google.com/spreadsheets/d/11923uPwbBZFjjGgGUA6NLw09EwE0CqkOc4q9oUmW1yo/edit?usp=sharing"",""อุทัยธานี!J194"")"),1)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IFERROR(__xludf.DUMMYFUNCTION("IMPORTRANGE(""https://docs.google.com/spreadsheets/d/11923uPwbBZFjjGgGUA6NLw09EwE0CqkOc4q9oUmW1yo/edit?usp=sharing"",""อุทัยธานี!I195"")"),20)</f>
        <v>20</v>
      </c>
      <c r="J285" s="190">
        <f ca="1">IFERROR(__xludf.DUMMYFUNCTION("IMPORTRANGE(""https://docs.google.com/spreadsheets/d/11923uPwbBZFjjGgGUA6NLw09EwE0CqkOc4q9oUmW1yo/edit?usp=sharing"",""อุทัยธานี!J195"")"),20)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IFERROR(__xludf.DUMMYFUNCTION("IMPORTRANGE(""https://docs.google.com/spreadsheets/d/11923uPwbBZFjjGgGUA6NLw09EwE0CqkOc4q9oUmW1yo/edit?usp=sharing"",""อุทัยธานี!J196"")"),0)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IFERROR(__xludf.DUMMYFUNCTION("IMPORTRANGE(""https://docs.google.com/spreadsheets/d/11923uPwbBZFjjGgGUA6NLw09EwE0CqkOc4q9oUmW1yo/edit?usp=sharing"",""อุทัยธานี!J197"")"),0)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IFERROR(__xludf.DUMMYFUNCTION("IMPORTRANGE(""https://docs.google.com/spreadsheets/d/11923uPwbBZFjjGgGUA6NLw09EwE0CqkOc4q9oUmW1yo/edit?usp=sharing"",""อุทัยธานี!I199"")"),40)</f>
        <v>40</v>
      </c>
      <c r="J289" s="317">
        <f ca="1">IFERROR(__xludf.DUMMYFUNCTION("IMPORTRANGE(""https://docs.google.com/spreadsheets/d/11923uPwbBZFjjGgGUA6NLw09EwE0CqkOc4q9oUmW1yo/edit?usp=sharing"",""อุทัยธานี!J199"")"),40)</f>
        <v>40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120760</v>
      </c>
      <c r="M290" s="154">
        <f t="shared" ca="1" si="88"/>
        <v>120760</v>
      </c>
      <c r="N290" s="154">
        <f t="shared" ca="1" si="88"/>
        <v>50045</v>
      </c>
      <c r="O290" s="153">
        <f t="shared" ref="O290:O292" ca="1" si="89">IF(L290&gt;0,N290*100/L290,0)</f>
        <v>41.441702550513412</v>
      </c>
      <c r="P290" s="153">
        <f t="shared" ref="P290:P292" ca="1" si="90">IF(M290&gt;0,N290*100/M290,0)</f>
        <v>41.441702550513412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120760</v>
      </c>
      <c r="M292" s="90">
        <f t="shared" ca="1" si="92"/>
        <v>120760</v>
      </c>
      <c r="N292" s="90">
        <f t="shared" ca="1" si="92"/>
        <v>50045</v>
      </c>
      <c r="O292" s="158">
        <f t="shared" ca="1" si="89"/>
        <v>41.441702550513412</v>
      </c>
      <c r="P292" s="158">
        <f t="shared" ca="1" si="90"/>
        <v>41.441702550513412</v>
      </c>
    </row>
    <row r="293" spans="1:16" ht="21.75" customHeight="1">
      <c r="A293" s="159"/>
      <c r="B293" s="160"/>
      <c r="C293" s="160" t="s">
        <v>16</v>
      </c>
      <c r="D293" s="570" t="s">
        <v>20</v>
      </c>
      <c r="E293" s="565"/>
      <c r="F293" s="565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120760</v>
      </c>
      <c r="M294" s="169">
        <f ca="1">IFERROR(__xludf.DUMMYFUNCTION("IMPORTRANGE(""https://docs.google.com/spreadsheets/d/1Yj_ptqi66GCucihVvJfMjLAmec39IyEx_6qawtMGysU/edit?usp=sharing"",""สบก!CT36"")"),120760)</f>
        <v>120760</v>
      </c>
      <c r="N294" s="170">
        <f ca="1">IFERROR(__xludf.DUMMYFUNCTION("IMPORTRANGE(""https://docs.google.com/spreadsheets/d/1Yj_ptqi66GCucihVvJfMjLAmec39IyEx_6qawtMGysU/edit?usp=sharing"",""สบก!CU36"")"),50045)</f>
        <v>50045</v>
      </c>
      <c r="O294" s="170">
        <f ca="1">IF(L294&gt;0,N294*100/L294,0)</f>
        <v>41.441702550513412</v>
      </c>
      <c r="P294" s="170">
        <f ca="1">IF(M294&gt;0,N294*100/M294,0)</f>
        <v>41.441702550513412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IFERROR(__xludf.DUMMYFUNCTION("IMPORTRANGE(""https://docs.google.com/spreadsheets/d/1Yj_ptqi66GCucihVvJfMjLAmec39IyEx_6qawtMGysU/edit?usp=sharing"",""สบก!CP36"")"),0)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IFERROR(__xludf.DUMMYFUNCTION("IMPORTRANGE(""https://docs.google.com/spreadsheets/d/1Yj_ptqi66GCucihVvJfMjLAmec39IyEx_6qawtMGysU/edit?usp=sharing"",""สบก!CQ36"")"),120760)</f>
        <v>120760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IFERROR(__xludf.DUMMYFUNCTION("IMPORTRANGE(""https://docs.google.com/spreadsheets/d/1Yj_ptqi66GCucihVvJfMjLAmec39IyEx_6qawtMGysU/edit?usp=sharing"",""สบก!CR36"")"),0)</f>
        <v>0</v>
      </c>
      <c r="M298" s="52"/>
      <c r="N298" s="52">
        <f ca="1">IFERROR(__xludf.DUMMYFUNCTION("IMPORTRANGE(""https://docs.google.com/spreadsheets/d/1Yj_ptqi66GCucihVvJfMjLAmec39IyEx_6qawtMGysU/edit?usp=sharing"",""สบก!CV36"")"),0)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IFERROR(__xludf.DUMMYFUNCTION("IMPORTRANGE(""https://docs.google.com/spreadsheets/d/11923uPwbBZFjjGgGUA6NLw09EwE0CqkOc4q9oUmW1yo/edit?usp=sharing"",""อุทัยธานี!J205"")"),0)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IFERROR(__xludf.DUMMYFUNCTION("IMPORTRANGE(""https://docs.google.com/spreadsheets/d/11923uPwbBZFjjGgGUA6NLw09EwE0CqkOc4q9oUmW1yo/edit?usp=sharing"",""อุทัยธานี!J206"")"),1)</f>
        <v>1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IFERROR(__xludf.DUMMYFUNCTION("IMPORTRANGE(""https://docs.google.com/spreadsheets/d/11923uPwbBZFjjGgGUA6NLw09EwE0CqkOc4q9oUmW1yo/edit?usp=sharing"",""อุทัยธานี!J207"")"),1)</f>
        <v>1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IFERROR(__xludf.DUMMYFUNCTION("IMPORTRANGE(""https://docs.google.com/spreadsheets/d/11923uPwbBZFjjGgGUA6NLw09EwE0CqkOc4q9oUmW1yo/edit?usp=sharing"",""อุทัยธานี!J208"")"),1)</f>
        <v>1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IFERROR(__xludf.DUMMYFUNCTION("IMPORTRANGE(""https://docs.google.com/spreadsheets/d/11923uPwbBZFjjGgGUA6NLw09EwE0CqkOc4q9oUmW1yo/edit?usp=sharing"",""อุทัยธานี!I209"")"),40)</f>
        <v>40</v>
      </c>
      <c r="J304" s="205">
        <f ca="1">IFERROR(__xludf.DUMMYFUNCTION("IMPORTRANGE(""https://docs.google.com/spreadsheets/d/11923uPwbBZFjjGgGUA6NLw09EwE0CqkOc4q9oUmW1yo/edit?usp=sharing"",""อุทัยธานี!J209"")"),40)</f>
        <v>40</v>
      </c>
      <c r="K304" s="225">
        <f ca="1">IF(I304&gt;0,J304*100/I304,0)</f>
        <v>100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IFERROR(__xludf.DUMMYFUNCTION("IMPORTRANGE(""https://docs.google.com/spreadsheets/d/11923uPwbBZFjjGgGUA6NLw09EwE0CqkOc4q9oUmW1yo/edit?usp=sharing"",""อุทัยธานี!I211"")"),40)</f>
        <v>40</v>
      </c>
      <c r="J306" s="205">
        <f ca="1">IFERROR(__xludf.DUMMYFUNCTION("IMPORTRANGE(""https://docs.google.com/spreadsheets/d/11923uPwbBZFjjGgGUA6NLw09EwE0CqkOc4q9oUmW1yo/edit?usp=sharing"",""อุทัยธานี!J211"")"),0)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IFERROR(__xludf.DUMMYFUNCTION("IMPORTRANGE(""https://docs.google.com/spreadsheets/d/11923uPwbBZFjjGgGUA6NLw09EwE0CqkOc4q9oUmW1yo/edit?usp=sharing"",""อุทัยธานี!J212"")"),0)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IFERROR(__xludf.DUMMYFUNCTION("IMPORTRANGE(""https://docs.google.com/spreadsheets/d/11923uPwbBZFjjGgGUA6NLw09EwE0CqkOc4q9oUmW1yo/edit?usp=sharing"",""อุทัยธานี!J213"")"),0)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IFERROR(__xludf.DUMMYFUNCTION("IMPORTRANGE(""https://docs.google.com/spreadsheets/d/11923uPwbBZFjjGgGUA6NLw09EwE0CqkOc4q9oUmW1yo/edit?usp=sharing"",""อุทัยธานี!I214"")"),1)</f>
        <v>1</v>
      </c>
      <c r="J309" s="334">
        <f ca="1">IFERROR(__xludf.DUMMYFUNCTION("IMPORTRANGE(""https://docs.google.com/spreadsheets/d/11923uPwbBZFjjGgGUA6NLw09EwE0CqkOc4q9oUmW1yo/edit?usp=sharing"",""อุทัยธานี!J214"")"),1)</f>
        <v>1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262600</v>
      </c>
      <c r="M310" s="154">
        <f t="shared" ca="1" si="93"/>
        <v>384500</v>
      </c>
      <c r="N310" s="154">
        <f t="shared" ca="1" si="93"/>
        <v>274920</v>
      </c>
      <c r="O310" s="153">
        <f t="shared" ref="O310:O312" ca="1" si="94">IF(L310&gt;0,N310*100/L310,0)</f>
        <v>104.69154607768469</v>
      </c>
      <c r="P310" s="153">
        <f t="shared" ref="P310:P312" ca="1" si="95">IF(M310&gt;0,N310*100/M310,0)</f>
        <v>71.500650195058512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262600</v>
      </c>
      <c r="M312" s="90">
        <f t="shared" ca="1" si="97"/>
        <v>384500</v>
      </c>
      <c r="N312" s="90">
        <f t="shared" ca="1" si="97"/>
        <v>274920</v>
      </c>
      <c r="O312" s="158">
        <f t="shared" ca="1" si="94"/>
        <v>104.69154607768469</v>
      </c>
      <c r="P312" s="158">
        <f t="shared" ca="1" si="95"/>
        <v>71.500650195058512</v>
      </c>
    </row>
    <row r="313" spans="1:16" ht="21.75" customHeight="1">
      <c r="A313" s="159"/>
      <c r="B313" s="160"/>
      <c r="C313" s="160" t="s">
        <v>16</v>
      </c>
      <c r="D313" s="570" t="s">
        <v>20</v>
      </c>
      <c r="E313" s="565"/>
      <c r="F313" s="565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262600</v>
      </c>
      <c r="M314" s="169">
        <f ca="1">IFERROR(__xludf.DUMMYFUNCTION("IMPORTRANGE(""https://docs.google.com/spreadsheets/d/1Yj_ptqi66GCucihVvJfMjLAmec39IyEx_6qawtMGysU/edit?usp=sharing"",""สบก!DC36"")"),384500)</f>
        <v>384500</v>
      </c>
      <c r="N314" s="170">
        <f ca="1">IFERROR(__xludf.DUMMYFUNCTION("IMPORTRANGE(""https://docs.google.com/spreadsheets/d/1Yj_ptqi66GCucihVvJfMjLAmec39IyEx_6qawtMGysU/edit?usp=sharing"",""สบก!DD36"")"),274920)</f>
        <v>274920</v>
      </c>
      <c r="O314" s="170">
        <f ca="1">IF(L314&gt;0,N314*100/L314,0)</f>
        <v>104.69154607768469</v>
      </c>
      <c r="P314" s="170">
        <f ca="1">IF(M314&gt;0,N314*100/M314,0)</f>
        <v>71.500650195058512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IFERROR(__xludf.DUMMYFUNCTION("IMPORTRANGE(""https://docs.google.com/spreadsheets/d/1Yj_ptqi66GCucihVvJfMjLAmec39IyEx_6qawtMGysU/edit?usp=sharing"",""สบก!CY36"")"),0)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IFERROR(__xludf.DUMMYFUNCTION("IMPORTRANGE(""https://docs.google.com/spreadsheets/d/1Yj_ptqi66GCucihVvJfMjLAmec39IyEx_6qawtMGysU/edit?usp=sharing"",""สบก!CZ36"")"),262600)</f>
        <v>262600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IFERROR(__xludf.DUMMYFUNCTION("IMPORTRANGE(""https://docs.google.com/spreadsheets/d/1Yj_ptqi66GCucihVvJfMjLAmec39IyEx_6qawtMGysU/edit?usp=sharing"",""สบก!DA36"")"),0)</f>
        <v>0</v>
      </c>
      <c r="M318" s="52"/>
      <c r="N318" s="52">
        <f ca="1">IFERROR(__xludf.DUMMYFUNCTION("IMPORTRANGE(""https://docs.google.com/spreadsheets/d/1Yj_ptqi66GCucihVvJfMjLAmec39IyEx_6qawtMGysU/edit?usp=sharing"",""สบก!DE36"")"),0)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IFERROR(__xludf.DUMMYFUNCTION("IMPORTRANGE(""https://docs.google.com/spreadsheets/d/11923uPwbBZFjjGgGUA6NLw09EwE0CqkOc4q9oUmW1yo/edit?usp=sharing"",""อุทัยธานี!J220"")"),0)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IFERROR(__xludf.DUMMYFUNCTION("IMPORTRANGE(""https://docs.google.com/spreadsheets/d/11923uPwbBZFjjGgGUA6NLw09EwE0CqkOc4q9oUmW1yo/edit?usp=sharing"",""อุทัยธานี!J221"")"),1)</f>
        <v>1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IFERROR(__xludf.DUMMYFUNCTION("IMPORTRANGE(""https://docs.google.com/spreadsheets/d/11923uPwbBZFjjGgGUA6NLw09EwE0CqkOc4q9oUmW1yo/edit?usp=sharing"",""อุทัยธานี!J222"")"),1)</f>
        <v>1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IFERROR(__xludf.DUMMYFUNCTION("IMPORTRANGE(""https://docs.google.com/spreadsheets/d/11923uPwbBZFjjGgGUA6NLw09EwE0CqkOc4q9oUmW1yo/edit?usp=sharing"",""อุทัยธานี!J223"")"),1)</f>
        <v>1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IFERROR(__xludf.DUMMYFUNCTION("IMPORTRANGE(""https://docs.google.com/spreadsheets/d/11923uPwbBZFjjGgGUA6NLw09EwE0CqkOc4q9oUmW1yo/edit?usp=sharing"",""อุทัยธานี!I224"")"),1)</f>
        <v>1</v>
      </c>
      <c r="J324" s="205">
        <f ca="1">IFERROR(__xludf.DUMMYFUNCTION("IMPORTRANGE(""https://docs.google.com/spreadsheets/d/11923uPwbBZFjjGgGUA6NLw09EwE0CqkOc4q9oUmW1yo/edit?usp=sharing"",""อุทัยธานี!J224"")"),1)</f>
        <v>1</v>
      </c>
      <c r="K324" s="225">
        <f ca="1">IF(I324&gt;0,J324*100/I324,0)</f>
        <v>100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IFERROR(__xludf.DUMMYFUNCTION("IMPORTRANGE(""https://docs.google.com/spreadsheets/d/11923uPwbBZFjjGgGUA6NLw09EwE0CqkOc4q9oUmW1yo/edit?usp=sharing"",""อุทัยธานี!J225"")"),0)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IFERROR(__xludf.DUMMYFUNCTION("IMPORTRANGE(""https://docs.google.com/spreadsheets/d/11923uPwbBZFjjGgGUA6NLw09EwE0CqkOc4q9oUmW1yo/edit?usp=sharing"",""อุทัยธานี!J226"")"),0)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IFERROR(__xludf.DUMMYFUNCTION("IMPORTRANGE(""https://docs.google.com/spreadsheets/d/11923uPwbBZFjjGgGUA6NLw09EwE0CqkOc4q9oUmW1yo/edit?usp=sharing"",""อุทัยธานี!I228"")"),215)</f>
        <v>215</v>
      </c>
      <c r="J328" s="340">
        <f ca="1">IFERROR(__xludf.DUMMYFUNCTION("IMPORTRANGE(""https://docs.google.com/spreadsheets/d/11923uPwbBZFjjGgGUA6NLw09EwE0CqkOc4q9oUmW1yo/edit?usp=sharing"",""อุทัยธานี!J228"")"),99)</f>
        <v>99</v>
      </c>
      <c r="K328" s="318">
        <f ca="1">IF(I328&gt;0,J328*100/I328,0)</f>
        <v>46.046511627906973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1055670</v>
      </c>
      <c r="M329" s="154">
        <f t="shared" ca="1" si="98"/>
        <v>841710</v>
      </c>
      <c r="N329" s="154">
        <f t="shared" ca="1" si="98"/>
        <v>618421</v>
      </c>
      <c r="O329" s="153">
        <f t="shared" ref="O329:O331" ca="1" si="99">IF(L329&gt;0,N329*100/L329,0)</f>
        <v>58.580901228603636</v>
      </c>
      <c r="P329" s="153">
        <f t="shared" ref="P329:P331" ca="1" si="100">IF(M329&gt;0,N329*100/M329,0)</f>
        <v>73.47197966045313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1055670</v>
      </c>
      <c r="M331" s="90">
        <f t="shared" ca="1" si="102"/>
        <v>841710</v>
      </c>
      <c r="N331" s="90">
        <f t="shared" ca="1" si="102"/>
        <v>618421</v>
      </c>
      <c r="O331" s="158">
        <f t="shared" ca="1" si="99"/>
        <v>58.580901228603636</v>
      </c>
      <c r="P331" s="158">
        <f t="shared" ca="1" si="100"/>
        <v>73.47197966045313</v>
      </c>
    </row>
    <row r="332" spans="1:16" ht="21.75" customHeight="1">
      <c r="A332" s="159"/>
      <c r="B332" s="160"/>
      <c r="C332" s="160" t="s">
        <v>16</v>
      </c>
      <c r="D332" s="570" t="s">
        <v>20</v>
      </c>
      <c r="E332" s="565"/>
      <c r="F332" s="565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910670</v>
      </c>
      <c r="M333" s="169">
        <f ca="1">IFERROR(__xludf.DUMMYFUNCTION("IMPORTRANGE(""https://docs.google.com/spreadsheets/d/1Yj_ptqi66GCucihVvJfMjLAmec39IyEx_6qawtMGysU/edit?usp=sharing"",""สบก!DL36"")"),696710)</f>
        <v>696710</v>
      </c>
      <c r="N333" s="170">
        <f ca="1">IFERROR(__xludf.DUMMYFUNCTION("IMPORTRANGE(""https://docs.google.com/spreadsheets/d/1Yj_ptqi66GCucihVvJfMjLAmec39IyEx_6qawtMGysU/edit?usp=sharing"",""สบก!DM36"")"),473421)</f>
        <v>473421</v>
      </c>
      <c r="O333" s="170">
        <f ca="1">IF(L333&gt;0,N333*100/L333,0)</f>
        <v>51.98601030010871</v>
      </c>
      <c r="P333" s="170">
        <f ca="1">IF(M333&gt;0,N333*100/M333,0)</f>
        <v>67.950940850569097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IFERROR(__xludf.DUMMYFUNCTION("IMPORTRANGE(""https://docs.google.com/spreadsheets/d/1Yj_ptqi66GCucihVvJfMjLAmec39IyEx_6qawtMGysU/edit?usp=sharing"",""สบก!DH36"")"),500400)</f>
        <v>500400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IFERROR(__xludf.DUMMYFUNCTION("IMPORTRANGE(""https://docs.google.com/spreadsheets/d/1Yj_ptqi66GCucihVvJfMjLAmec39IyEx_6qawtMGysU/edit?usp=sharing"",""สบก!DI36"")"),410270)</f>
        <v>410270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IFERROR(__xludf.DUMMYFUNCTION("IMPORTRANGE(""https://docs.google.com/spreadsheets/d/1Yj_ptqi66GCucihVvJfMjLAmec39IyEx_6qawtMGysU/edit?usp=sharing"",""สบก!DJ36"")"),145000)</f>
        <v>145000</v>
      </c>
      <c r="M337" s="52">
        <f ca="1">L337</f>
        <v>145000</v>
      </c>
      <c r="N337" s="52">
        <f ca="1">IFERROR(__xludf.DUMMYFUNCTION("IMPORTRANGE(""https://docs.google.com/spreadsheets/d/1Yj_ptqi66GCucihVvJfMjLAmec39IyEx_6qawtMGysU/edit?usp=sharing"",""สบก!DN36"")"),145000)</f>
        <v>145000</v>
      </c>
      <c r="O337" s="52">
        <f ca="1">IF(L337&gt;0,N337*100/L337,0)</f>
        <v>100</v>
      </c>
      <c r="P337" s="52">
        <f ca="1">IF(M337&gt;0,N337*100/M337,0)</f>
        <v>100</v>
      </c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IFERROR(__xludf.DUMMYFUNCTION("IMPORTRANGE(""https://docs.google.com/spreadsheets/d/11923uPwbBZFjjGgGUA6NLw09EwE0CqkOc4q9oUmW1yo/edit?usp=sharing"",""อุทัยธานี!I234"")"),0)</f>
        <v>0</v>
      </c>
      <c r="J339" s="189">
        <f ca="1">IFERROR(__xludf.DUMMYFUNCTION("IMPORTRANGE(""https://docs.google.com/spreadsheets/d/11923uPwbBZFjjGgGUA6NLw09EwE0CqkOc4q9oUmW1yo/edit?usp=sharing"",""อุทัยธานี!J234"")"),134)</f>
        <v>134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IFERROR(__xludf.DUMMYFUNCTION("IMPORTRANGE(""https://docs.google.com/spreadsheets/d/11923uPwbBZFjjGgGUA6NLw09EwE0CqkOc4q9oUmW1yo/edit?usp=sharing"",""อุทัยธานี!I235"")"),2000)</f>
        <v>2000</v>
      </c>
      <c r="J340" s="189">
        <f ca="1">IFERROR(__xludf.DUMMYFUNCTION("IMPORTRANGE(""https://docs.google.com/spreadsheets/d/11923uPwbBZFjjGgGUA6NLw09EwE0CqkOc4q9oUmW1yo/edit?usp=sharing"",""อุทัยธานี!J235"")"),1380.53)</f>
        <v>1380.53</v>
      </c>
      <c r="K340" s="343">
        <f t="shared" ca="1" si="103"/>
        <v>69.026499999999999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IFERROR(__xludf.DUMMYFUNCTION("IMPORTRANGE(""https://docs.google.com/spreadsheets/d/11923uPwbBZFjjGgGUA6NLw09EwE0CqkOc4q9oUmW1yo/edit?usp=sharing"",""อุทัยธานี!I236"")"),215)</f>
        <v>215</v>
      </c>
      <c r="J341" s="189">
        <f ca="1">IFERROR(__xludf.DUMMYFUNCTION("IMPORTRANGE(""https://docs.google.com/spreadsheets/d/11923uPwbBZFjjGgGUA6NLw09EwE0CqkOc4q9oUmW1yo/edit?usp=sharing"",""อุทัยธานี!J236"")"),170)</f>
        <v>170</v>
      </c>
      <c r="K341" s="343">
        <f t="shared" ca="1" si="103"/>
        <v>79.069767441860463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IFERROR(__xludf.DUMMYFUNCTION("IMPORTRANGE(""https://docs.google.com/spreadsheets/d/11923uPwbBZFjjGgGUA6NLw09EwE0CqkOc4q9oUmW1yo/edit?usp=sharing"",""อุทัยธานี!I237"")"),0)</f>
        <v>0</v>
      </c>
      <c r="J342" s="189">
        <f ca="1">IFERROR(__xludf.DUMMYFUNCTION("IMPORTRANGE(""https://docs.google.com/spreadsheets/d/11923uPwbBZFjjGgGUA6NLw09EwE0CqkOc4q9oUmW1yo/edit?usp=sharing"",""อุทัยธานี!J237"")"),2324.31999999999)</f>
        <v>2324.3199999999902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IFERROR(__xludf.DUMMYFUNCTION("IMPORTRANGE(""https://docs.google.com/spreadsheets/d/11923uPwbBZFjjGgGUA6NLw09EwE0CqkOc4q9oUmW1yo/edit?usp=sharing"",""อุทัยธานี!I238"")"),215)</f>
        <v>215</v>
      </c>
      <c r="J343" s="189">
        <f ca="1">IFERROR(__xludf.DUMMYFUNCTION("IMPORTRANGE(""https://docs.google.com/spreadsheets/d/11923uPwbBZFjjGgGUA6NLw09EwE0CqkOc4q9oUmW1yo/edit?usp=sharing"",""อุทัยธานี!J238"")"),29)</f>
        <v>29</v>
      </c>
      <c r="K343" s="343">
        <f t="shared" ca="1" si="103"/>
        <v>13.488372093023257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IFERROR(__xludf.DUMMYFUNCTION("IMPORTRANGE(""https://docs.google.com/spreadsheets/d/11923uPwbBZFjjGgGUA6NLw09EwE0CqkOc4q9oUmW1yo/edit?usp=sharing"",""อุทัยธานี!I239"")"),0)</f>
        <v>0</v>
      </c>
      <c r="J344" s="189">
        <f ca="1">IFERROR(__xludf.DUMMYFUNCTION("IMPORTRANGE(""https://docs.google.com/spreadsheets/d/11923uPwbBZFjjGgGUA6NLw09EwE0CqkOc4q9oUmW1yo/edit?usp=sharing"",""อุทัยธานี!J239"")"),264.31)</f>
        <v>264.31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IFERROR(__xludf.DUMMYFUNCTION("IMPORTRANGE(""https://docs.google.com/spreadsheets/d/11923uPwbBZFjjGgGUA6NLw09EwE0CqkOc4q9oUmW1yo/edit?usp=sharing"",""อุทัยธานี!I240"")"),215)</f>
        <v>215</v>
      </c>
      <c r="J345" s="189">
        <f ca="1">IFERROR(__xludf.DUMMYFUNCTION("IMPORTRANGE(""https://docs.google.com/spreadsheets/d/11923uPwbBZFjjGgGUA6NLw09EwE0CqkOc4q9oUmW1yo/edit?usp=sharing"",""อุทัยธานี!J240"")"),99)</f>
        <v>99</v>
      </c>
      <c r="K345" s="343">
        <f t="shared" ca="1" si="103"/>
        <v>46.046511627906973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IFERROR(__xludf.DUMMYFUNCTION("IMPORTRANGE(""https://docs.google.com/spreadsheets/d/11923uPwbBZFjjGgGUA6NLw09EwE0CqkOc4q9oUmW1yo/edit?usp=sharing"",""อุทัยธานี!I241"")"),0)</f>
        <v>0</v>
      </c>
      <c r="J346" s="189">
        <f ca="1">IFERROR(__xludf.DUMMYFUNCTION("IMPORTRANGE(""https://docs.google.com/spreadsheets/d/11923uPwbBZFjjGgGUA6NLw09EwE0CqkOc4q9oUmW1yo/edit?usp=sharing"",""อุทัยธานี!J241"")"),1626.66999999999)</f>
        <v>1626.6699999999901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IFERROR(__xludf.DUMMYFUNCTION("IMPORTRANGE(""https://docs.google.com/spreadsheets/d/11923uPwbBZFjjGgGUA6NLw09EwE0CqkOc4q9oUmW1yo/edit?usp=sharing"",""อุทัยธานี!L242"")"),2211395)</f>
        <v>2211395</v>
      </c>
      <c r="M347" s="359"/>
      <c r="N347" s="359">
        <f ca="1">IFERROR(__xludf.DUMMYFUNCTION("IMPORTRANGE(""https://docs.google.com/spreadsheets/d/11923uPwbBZFjjGgGUA6NLw09EwE0CqkOc4q9oUmW1yo/edit?usp=sharing"",""อุทัยธานี!M242"")"),683346.23)</f>
        <v>683346.23</v>
      </c>
      <c r="O347" s="359">
        <f ca="1">+IF(L347&gt;0,N347*100/L347,0)</f>
        <v>30.901138421675007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IFERROR(__xludf.DUMMYFUNCTION("IMPORTRANGE(""https://docs.google.com/spreadsheets/d/11923uPwbBZFjjGgGUA6NLw09EwE0CqkOc4q9oUmW1yo/edit?usp=sharing"",""อุทัยธานี!I244"")"),70)</f>
        <v>70</v>
      </c>
      <c r="J349" s="372">
        <f ca="1">IFERROR(__xludf.DUMMYFUNCTION("IMPORTRANGE(""https://docs.google.com/spreadsheets/d/11923uPwbBZFjjGgGUA6NLw09EwE0CqkOc4q9oUmW1yo/edit?usp=sharing"",""อุทัยธานี!J244"")"),20)</f>
        <v>20</v>
      </c>
      <c r="K349" s="373">
        <f t="shared" ref="K349:K350" ca="1" si="104">IF(I349&gt;0,J349*100/I349,0)</f>
        <v>28.571428571428573</v>
      </c>
      <c r="L349" s="374">
        <f ca="1">IFERROR(__xludf.DUMMYFUNCTION("IMPORTRANGE(""https://docs.google.com/spreadsheets/d/11923uPwbBZFjjGgGUA6NLw09EwE0CqkOc4q9oUmW1yo/edit?usp=sharing"",""อุทัยธานี!L244"")"),303160)</f>
        <v>303160</v>
      </c>
      <c r="M349" s="374"/>
      <c r="N349" s="374">
        <f ca="1">IFERROR(__xludf.DUMMYFUNCTION("IMPORTRANGE(""https://docs.google.com/spreadsheets/d/11923uPwbBZFjjGgGUA6NLw09EwE0CqkOc4q9oUmW1yo/edit?usp=sharing"",""อุทัยธานี!M244"")"),155842.9)</f>
        <v>155842.9</v>
      </c>
      <c r="O349" s="374">
        <f ca="1">+IF(L349&gt;0,N349*100/L349,0)</f>
        <v>51.406155165589126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IFERROR(__xludf.DUMMYFUNCTION("IMPORTRANGE(""https://docs.google.com/spreadsheets/d/11923uPwbBZFjjGgGUA6NLw09EwE0CqkOc4q9oUmW1yo/edit?usp=sharing"",""อุทัยธานี!I245"")"),40)</f>
        <v>40</v>
      </c>
      <c r="J350" s="372">
        <f ca="1">IFERROR(__xludf.DUMMYFUNCTION("IMPORTRANGE(""https://docs.google.com/spreadsheets/d/11923uPwbBZFjjGgGUA6NLw09EwE0CqkOc4q9oUmW1yo/edit?usp=sharing"",""อุทัยธานี!J245"")"),40)</f>
        <v>40</v>
      </c>
      <c r="K350" s="373">
        <f t="shared" ca="1" si="104"/>
        <v>100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IFERROR(__xludf.DUMMYFUNCTION("IMPORTRANGE(""https://docs.google.com/spreadsheets/d/11923uPwbBZFjjGgGUA6NLw09EwE0CqkOc4q9oUmW1yo/edit?usp=sharing"",""อุทัยธานี!L246"")"),0)</f>
        <v>0</v>
      </c>
      <c r="M351" s="166"/>
      <c r="N351" s="166">
        <f ca="1">IFERROR(__xludf.DUMMYFUNCTION("IMPORTRANGE(""https://docs.google.com/spreadsheets/d/11923uPwbBZFjjGgGUA6NLw09EwE0CqkOc4q9oUmW1yo/edit?usp=sharing"",""อุทัยธานี!M246"")"),0)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IFERROR(__xludf.DUMMYFUNCTION("IMPORTRANGE(""https://docs.google.com/spreadsheets/d/11923uPwbBZFjjGgGUA6NLw09EwE0CqkOc4q9oUmW1yo/edit?usp=sharing"",""อุทัยธานี!L247"")"),303160)</f>
        <v>303160</v>
      </c>
      <c r="M352" s="167"/>
      <c r="N352" s="166">
        <f ca="1">IFERROR(__xludf.DUMMYFUNCTION("IMPORTRANGE(""https://docs.google.com/spreadsheets/d/11923uPwbBZFjjGgGUA6NLw09EwE0CqkOc4q9oUmW1yo/edit?usp=sharing"",""อุทัยธานี!M247"")"),155842.9)</f>
        <v>155842.9</v>
      </c>
      <c r="O352" s="167">
        <f t="shared" ca="1" si="105"/>
        <v>51.406155165589126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IFERROR(__xludf.DUMMYFUNCTION("IMPORTRANGE(""https://docs.google.com/spreadsheets/d/11923uPwbBZFjjGgGUA6NLw09EwE0CqkOc4q9oUmW1yo/edit?usp=sharing"",""อุทัยธานี!L248"")"),0)</f>
        <v>0</v>
      </c>
      <c r="M353" s="170"/>
      <c r="N353" s="170">
        <f ca="1">IFERROR(__xludf.DUMMYFUNCTION("IMPORTRANGE(""https://docs.google.com/spreadsheets/d/11923uPwbBZFjjGgGUA6NLw09EwE0CqkOc4q9oUmW1yo/edit?usp=sharing"",""อุทัยธานี!M248"")"),0)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IFERROR(__xludf.DUMMYFUNCTION("IMPORTRANGE(""https://docs.google.com/spreadsheets/d/11923uPwbBZFjjGgGUA6NLw09EwE0CqkOc4q9oUmW1yo/edit?usp=sharing"",""อุทัยธานี!L249"")"),303160)</f>
        <v>303160</v>
      </c>
      <c r="M354" s="170"/>
      <c r="N354" s="169">
        <f ca="1">IFERROR(__xludf.DUMMYFUNCTION("IMPORTRANGE(""https://docs.google.com/spreadsheets/d/11923uPwbBZFjjGgGUA6NLw09EwE0CqkOc4q9oUmW1yo/edit?usp=sharing"",""อุทัยธานี!M249"")"),155842.9)</f>
        <v>155842.9</v>
      </c>
      <c r="O354" s="170">
        <f t="shared" ca="1" si="105"/>
        <v>51.406155165589126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IFERROR(__xludf.DUMMYFUNCTION("IMPORTRANGE(""https://docs.google.com/spreadsheets/d/11923uPwbBZFjjGgGUA6NLw09EwE0CqkOc4q9oUmW1yo/edit?usp=sharing"",""อุทัยธานี!M250"")"),50400)</f>
        <v>50400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IFERROR(__xludf.DUMMYFUNCTION("IMPORTRANGE(""https://docs.google.com/spreadsheets/d/11923uPwbBZFjjGgGUA6NLw09EwE0CqkOc4q9oUmW1yo/edit?usp=sharing"",""อุทัยธานี!M251"")"),0)</f>
        <v>0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IFERROR(__xludf.DUMMYFUNCTION("IMPORTRANGE(""https://docs.google.com/spreadsheets/d/11923uPwbBZFjjGgGUA6NLw09EwE0CqkOc4q9oUmW1yo/edit?usp=sharing"",""อุทัยธานี!M252"")"),81013)</f>
        <v>81013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IFERROR(__xludf.DUMMYFUNCTION("IMPORTRANGE(""https://docs.google.com/spreadsheets/d/11923uPwbBZFjjGgGUA6NLw09EwE0CqkOc4q9oUmW1yo/edit?usp=sharing"",""อุทัยธานี!M253"")"),24429.9)</f>
        <v>24429.9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IFERROR(__xludf.DUMMYFUNCTION("IMPORTRANGE(""https://docs.google.com/spreadsheets/d/11923uPwbBZFjjGgGUA6NLw09EwE0CqkOc4q9oUmW1yo/edit?usp=sharing"",""อุทัยธานี!J255"")"),0)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IFERROR(__xludf.DUMMYFUNCTION("IMPORTRANGE(""https://docs.google.com/spreadsheets/d/11923uPwbBZFjjGgGUA6NLw09EwE0CqkOc4q9oUmW1yo/edit?usp=sharing"",""อุทัยธานี!J256"")"),1)</f>
        <v>1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IFERROR(__xludf.DUMMYFUNCTION("IMPORTRANGE(""https://docs.google.com/spreadsheets/d/11923uPwbBZFjjGgGUA6NLw09EwE0CqkOc4q9oUmW1yo/edit?usp=sharing"",""อุทัยธานี!J257"")"),1)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IFERROR(__xludf.DUMMYFUNCTION("IMPORTRANGE(""https://docs.google.com/spreadsheets/d/11923uPwbBZFjjGgGUA6NLw09EwE0CqkOc4q9oUmW1yo/edit?usp=sharing"",""อุทัยธานี!J258"")"),1)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IFERROR(__xludf.DUMMYFUNCTION("IMPORTRANGE(""https://docs.google.com/spreadsheets/d/11923uPwbBZFjjGgGUA6NLw09EwE0CqkOc4q9oUmW1yo/edit?usp=sharing"",""อุทัยธานี!J166"")"),0)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IFERROR(__xludf.DUMMYFUNCTION("IMPORTRANGE(""https://docs.google.com/spreadsheets/d/11923uPwbBZFjjGgGUA6NLw09EwE0CqkOc4q9oUmW1yo/edit?usp=sharing"",""อุทัยธานี!J166"")"),0)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IFERROR(__xludf.DUMMYFUNCTION("IMPORTRANGE(""https://docs.google.com/spreadsheets/d/11923uPwbBZFjjGgGUA6NLw09EwE0CqkOc4q9oUmW1yo/edit?usp=sharing"",""อุทัยธานี!J166"")"),0)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IFERROR(__xludf.DUMMYFUNCTION("IMPORTRANGE(""https://docs.google.com/spreadsheets/d/11923uPwbBZFjjGgGUA6NLw09EwE0CqkOc4q9oUmW1yo/edit?usp=sharing"",""อุทัยธานี!J166"")"),0)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IFERROR(__xludf.DUMMYFUNCTION("IMPORTRANGE(""https://docs.google.com/spreadsheets/d/11923uPwbBZFjjGgGUA6NLw09EwE0CqkOc4q9oUmW1yo/edit?usp=sharing"",""อุทัยธานี!I263"")"),40)</f>
        <v>40</v>
      </c>
      <c r="J368" s="189">
        <f ca="1">IFERROR(__xludf.DUMMYFUNCTION("IMPORTRANGE(""https://docs.google.com/spreadsheets/d/11923uPwbBZFjjGgGUA6NLw09EwE0CqkOc4q9oUmW1yo/edit?usp=sharing"",""อุทัยธานี!J263"")"),40)</f>
        <v>40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IFERROR(__xludf.DUMMYFUNCTION("IMPORTRANGE(""https://docs.google.com/spreadsheets/d/11923uPwbBZFjjGgGUA6NLw09EwE0CqkOc4q9oUmW1yo/edit?usp=sharing"",""อุทัยธานี!I164"")"),0)</f>
        <v>0</v>
      </c>
      <c r="J369" s="205">
        <f ca="1">IFERROR(__xludf.DUMMYFUNCTION("IMPORTRANGE(""https://docs.google.com/spreadsheets/d/11923uPwbBZFjjGgGUA6NLw09EwE0CqkOc4q9oUmW1yo/edit?usp=sharing"",""อุทัยธานี!J164"")"),0)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IFERROR(__xludf.DUMMYFUNCTION("IMPORTRANGE(""https://docs.google.com/spreadsheets/d/11923uPwbBZFjjGgGUA6NLw09EwE0CqkOc4q9oUmW1yo/edit?usp=sharing"",""อุทัยธานี!I265"")"),40)</f>
        <v>40</v>
      </c>
      <c r="J370" s="205">
        <f ca="1">IFERROR(__xludf.DUMMYFUNCTION("IMPORTRANGE(""https://docs.google.com/spreadsheets/d/11923uPwbBZFjjGgGUA6NLw09EwE0CqkOc4q9oUmW1yo/edit?usp=sharing"",""อุทัยธานี!J265"")"),40)</f>
        <v>40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IFERROR(__xludf.DUMMYFUNCTION("IMPORTRANGE(""https://docs.google.com/spreadsheets/d/11923uPwbBZFjjGgGUA6NLw09EwE0CqkOc4q9oUmW1yo/edit?usp=sharing"",""อุทัยธานี!I164"")"),0)</f>
        <v>0</v>
      </c>
      <c r="J371" s="190">
        <f ca="1">IFERROR(__xludf.DUMMYFUNCTION("IMPORTRANGE(""https://docs.google.com/spreadsheets/d/11923uPwbBZFjjGgGUA6NLw09EwE0CqkOc4q9oUmW1yo/edit?usp=sharing"",""อุทัยธานี!J164"")"),0)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IFERROR(__xludf.DUMMYFUNCTION("IMPORTRANGE(""https://docs.google.com/spreadsheets/d/11923uPwbBZFjjGgGUA6NLw09EwE0CqkOc4q9oUmW1yo/edit?usp=sharing"",""อุทัยธานี!I267"")"),40)</f>
        <v>40</v>
      </c>
      <c r="J372" s="190">
        <f ca="1">IFERROR(__xludf.DUMMYFUNCTION("IMPORTRANGE(""https://docs.google.com/spreadsheets/d/11923uPwbBZFjjGgGUA6NLw09EwE0CqkOc4q9oUmW1yo/edit?usp=sharing"",""อุทัยธานี!J267"")"),40)</f>
        <v>40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IFERROR(__xludf.DUMMYFUNCTION("IMPORTRANGE(""https://docs.google.com/spreadsheets/d/11923uPwbBZFjjGgGUA6NLw09EwE0CqkOc4q9oUmW1yo/edit?usp=sharing"",""อุทัยธานี!I164"")"),0)</f>
        <v>0</v>
      </c>
      <c r="J373" s="205">
        <f ca="1">IFERROR(__xludf.DUMMYFUNCTION("IMPORTRANGE(""https://docs.google.com/spreadsheets/d/11923uPwbBZFjjGgGUA6NLw09EwE0CqkOc4q9oUmW1yo/edit?usp=sharing"",""อุทัยธานี!J164"")"),0)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IFERROR(__xludf.DUMMYFUNCTION("IMPORTRANGE(""https://docs.google.com/spreadsheets/d/11923uPwbBZFjjGgGUA6NLw09EwE0CqkOc4q9oUmW1yo/edit?usp=sharing"",""อุทัยธานี!I164"")"),0)</f>
        <v>0</v>
      </c>
      <c r="J374" s="189">
        <f ca="1">IFERROR(__xludf.DUMMYFUNCTION("IMPORTRANGE(""https://docs.google.com/spreadsheets/d/11923uPwbBZFjjGgGUA6NLw09EwE0CqkOc4q9oUmW1yo/edit?usp=sharing"",""อุทัยธานี!J164"")"),0)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IFERROR(__xludf.DUMMYFUNCTION("IMPORTRANGE(""https://docs.google.com/spreadsheets/d/11923uPwbBZFjjGgGUA6NLw09EwE0CqkOc4q9oUmW1yo/edit?usp=sharing"",""อุทัยธานี!I270"")"),70)</f>
        <v>70</v>
      </c>
      <c r="J375" s="189">
        <f ca="1">IFERROR(__xludf.DUMMYFUNCTION("IMPORTRANGE(""https://docs.google.com/spreadsheets/d/11923uPwbBZFjjGgGUA6NLw09EwE0CqkOc4q9oUmW1yo/edit?usp=sharing"",""อุทัยธานี!J270"")"),20)</f>
        <v>20</v>
      </c>
      <c r="K375" s="165">
        <f t="shared" ref="K375:K377" ca="1" si="107">IF(I375&gt;0,J375*100/I375,0)</f>
        <v>28.571428571428573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IFERROR(__xludf.DUMMYFUNCTION("IMPORTRANGE(""https://docs.google.com/spreadsheets/d/11923uPwbBZFjjGgGUA6NLw09EwE0CqkOc4q9oUmW1yo/edit?usp=sharing"",""อุทัยธานี!I271"")"),20)</f>
        <v>20</v>
      </c>
      <c r="J376" s="190">
        <f ca="1">IFERROR(__xludf.DUMMYFUNCTION("IMPORTRANGE(""https://docs.google.com/spreadsheets/d/11923uPwbBZFjjGgGUA6NLw09EwE0CqkOc4q9oUmW1yo/edit?usp=sharing"",""อุทัยธานี!J271"")"),20)</f>
        <v>20</v>
      </c>
      <c r="K376" s="165">
        <f t="shared" ca="1" si="107"/>
        <v>100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IFERROR(__xludf.DUMMYFUNCTION("IMPORTRANGE(""https://docs.google.com/spreadsheets/d/11923uPwbBZFjjGgGUA6NLw09EwE0CqkOc4q9oUmW1yo/edit?usp=sharing"",""อุทัยธานี!I272"")"),50)</f>
        <v>50</v>
      </c>
      <c r="J377" s="205">
        <f ca="1">IFERROR(__xludf.DUMMYFUNCTION("IMPORTRANGE(""https://docs.google.com/spreadsheets/d/11923uPwbBZFjjGgGUA6NLw09EwE0CqkOc4q9oUmW1yo/edit?usp=sharing"",""อุทัยธานี!J272"")"),0)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IFERROR(__xludf.DUMMYFUNCTION("IMPORTRANGE(""https://docs.google.com/spreadsheets/d/11923uPwbBZFjjGgGUA6NLw09EwE0CqkOc4q9oUmW1yo/edit?usp=sharing"",""อุทัยธานี!J273"")"),0)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IFERROR(__xludf.DUMMYFUNCTION("IMPORTRANGE(""https://docs.google.com/spreadsheets/d/11923uPwbBZFjjGgGUA6NLw09EwE0CqkOc4q9oUmW1yo/edit?usp=sharing"",""อุทัยธานี!J274"")"),0)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IFERROR(__xludf.DUMMYFUNCTION("IMPORTRANGE(""https://docs.google.com/spreadsheets/d/11923uPwbBZFjjGgGUA6NLw09EwE0CqkOc4q9oUmW1yo/edit?usp=sharing"",""อุทัยธานี!I275"")"),1000)</f>
        <v>1000</v>
      </c>
      <c r="J380" s="372">
        <f ca="1">IFERROR(__xludf.DUMMYFUNCTION("IMPORTRANGE(""https://docs.google.com/spreadsheets/d/11923uPwbBZFjjGgGUA6NLw09EwE0CqkOc4q9oUmW1yo/edit?usp=sharing"",""อุทัยธานี!J275"")"),0)</f>
        <v>0</v>
      </c>
      <c r="K380" s="373">
        <f t="shared" ref="K380:K381" ca="1" si="108">IF(I380&gt;0,J380*100/I380,0)</f>
        <v>0</v>
      </c>
      <c r="L380" s="374">
        <f ca="1">IFERROR(__xludf.DUMMYFUNCTION("IMPORTRANGE(""https://docs.google.com/spreadsheets/d/11923uPwbBZFjjGgGUA6NLw09EwE0CqkOc4q9oUmW1yo/edit?usp=sharing"",""อุทัยธานี!L275"")"),1028520)</f>
        <v>1028520</v>
      </c>
      <c r="M380" s="374"/>
      <c r="N380" s="374">
        <f ca="1">IFERROR(__xludf.DUMMYFUNCTION("IMPORTRANGE(""https://docs.google.com/spreadsheets/d/11923uPwbBZFjjGgGUA6NLw09EwE0CqkOc4q9oUmW1yo/edit?usp=sharing"",""อุทัยธานี!M275"")"),203952)</f>
        <v>203952</v>
      </c>
      <c r="O380" s="374">
        <f ca="1">+IF(L380&gt;0,N380*100/L380,0)</f>
        <v>19.829658149574147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IFERROR(__xludf.DUMMYFUNCTION("IMPORTRANGE(""https://docs.google.com/spreadsheets/d/11923uPwbBZFjjGgGUA6NLw09EwE0CqkOc4q9oUmW1yo/edit?usp=sharing"",""อุทัยธานี!I276"")"),100)</f>
        <v>100</v>
      </c>
      <c r="J381" s="372">
        <f ca="1">IFERROR(__xludf.DUMMYFUNCTION("IMPORTRANGE(""https://docs.google.com/spreadsheets/d/11923uPwbBZFjjGgGUA6NLw09EwE0CqkOc4q9oUmW1yo/edit?usp=sharing"",""อุทัยธานี!J276"")"),100)</f>
        <v>100</v>
      </c>
      <c r="K381" s="373">
        <f t="shared" ca="1" si="108"/>
        <v>100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IFERROR(__xludf.DUMMYFUNCTION("IMPORTRANGE(""https://docs.google.com/spreadsheets/d/11923uPwbBZFjjGgGUA6NLw09EwE0CqkOc4q9oUmW1yo/edit?usp=sharing"",""อุทัยธานี!L277"")"),0)</f>
        <v>0</v>
      </c>
      <c r="M382" s="166"/>
      <c r="N382" s="166">
        <f ca="1">IFERROR(__xludf.DUMMYFUNCTION("IMPORTRANGE(""https://docs.google.com/spreadsheets/d/11923uPwbBZFjjGgGUA6NLw09EwE0CqkOc4q9oUmW1yo/edit?usp=sharing"",""อุทัยธานี!M277"")"),0)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IFERROR(__xludf.DUMMYFUNCTION("IMPORTRANGE(""https://docs.google.com/spreadsheets/d/11923uPwbBZFjjGgGUA6NLw09EwE0CqkOc4q9oUmW1yo/edit?usp=sharing"",""อุทัยธานี!L278"")"),1028520)</f>
        <v>1028520</v>
      </c>
      <c r="M383" s="167"/>
      <c r="N383" s="167">
        <f ca="1">IFERROR(__xludf.DUMMYFUNCTION("IMPORTRANGE(""https://docs.google.com/spreadsheets/d/11923uPwbBZFjjGgGUA6NLw09EwE0CqkOc4q9oUmW1yo/edit?usp=sharing"",""อุทัยธานี!M278"")"),203952)</f>
        <v>203952</v>
      </c>
      <c r="O383" s="167">
        <f t="shared" ca="1" si="109"/>
        <v>19.829658149574147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IFERROR(__xludf.DUMMYFUNCTION("IMPORTRANGE(""https://docs.google.com/spreadsheets/d/11923uPwbBZFjjGgGUA6NLw09EwE0CqkOc4q9oUmW1yo/edit?usp=sharing"",""อุทัยธานี!L279"")"),0)</f>
        <v>0</v>
      </c>
      <c r="M384" s="170"/>
      <c r="N384" s="170">
        <f ca="1">IFERROR(__xludf.DUMMYFUNCTION("IMPORTRANGE(""https://docs.google.com/spreadsheets/d/11923uPwbBZFjjGgGUA6NLw09EwE0CqkOc4q9oUmW1yo/edit?usp=sharing"",""อุทัยธานี!M279"")"),0)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IFERROR(__xludf.DUMMYFUNCTION("IMPORTRANGE(""https://docs.google.com/spreadsheets/d/11923uPwbBZFjjGgGUA6NLw09EwE0CqkOc4q9oUmW1yo/edit?usp=sharing"",""อุทัยธานี!L280"")"),1028520)</f>
        <v>1028520</v>
      </c>
      <c r="M385" s="170"/>
      <c r="N385" s="169">
        <f ca="1">IFERROR(__xludf.DUMMYFUNCTION("IMPORTRANGE(""https://docs.google.com/spreadsheets/d/11923uPwbBZFjjGgGUA6NLw09EwE0CqkOc4q9oUmW1yo/edit?usp=sharing"",""อุทัยธานี!M280"")"),203952)</f>
        <v>203952</v>
      </c>
      <c r="O385" s="170">
        <f t="shared" ca="1" si="109"/>
        <v>19.829658149574147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IFERROR(__xludf.DUMMYFUNCTION("IMPORTRANGE(""https://docs.google.com/spreadsheets/d/11923uPwbBZFjjGgGUA6NLw09EwE0CqkOc4q9oUmW1yo/edit?usp=sharing"",""อุทัยธานี!M281"")"),125940)</f>
        <v>125940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IFERROR(__xludf.DUMMYFUNCTION("IMPORTRANGE(""https://docs.google.com/spreadsheets/d/11923uPwbBZFjjGgGUA6NLw09EwE0CqkOc4q9oUmW1yo/edit?usp=sharing"",""อุทัยธานี!M282"")"),0)</f>
        <v>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IFERROR(__xludf.DUMMYFUNCTION("IMPORTRANGE(""https://docs.google.com/spreadsheets/d/11923uPwbBZFjjGgGUA6NLw09EwE0CqkOc4q9oUmW1yo/edit?usp=sharing"",""อุทัยธานี!M283"")"),60652)</f>
        <v>60652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IFERROR(__xludf.DUMMYFUNCTION("IMPORTRANGE(""https://docs.google.com/spreadsheets/d/11923uPwbBZFjjGgGUA6NLw09EwE0CqkOc4q9oUmW1yo/edit?usp=sharing"",""อุทัยธานี!M284"")"),17360)</f>
        <v>17360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IFERROR(__xludf.DUMMYFUNCTION("IMPORTRANGE(""https://docs.google.com/spreadsheets/d/11923uPwbBZFjjGgGUA6NLw09EwE0CqkOc4q9oUmW1yo/edit?usp=sharing"",""อุทัยธานี!J286"")"),0)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IFERROR(__xludf.DUMMYFUNCTION("IMPORTRANGE(""https://docs.google.com/spreadsheets/d/11923uPwbBZFjjGgGUA6NLw09EwE0CqkOc4q9oUmW1yo/edit?usp=sharing"",""อุทัยธานี!J287"")"),1)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IFERROR(__xludf.DUMMYFUNCTION("IMPORTRANGE(""https://docs.google.com/spreadsheets/d/11923uPwbBZFjjGgGUA6NLw09EwE0CqkOc4q9oUmW1yo/edit?usp=sharing"",""อุทัยธานี!J288"")"),0)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IFERROR(__xludf.DUMMYFUNCTION("IMPORTRANGE(""https://docs.google.com/spreadsheets/d/11923uPwbBZFjjGgGUA6NLw09EwE0CqkOc4q9oUmW1yo/edit?usp=sharing"",""อุทัยธานี!J289"")"),0)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IFERROR(__xludf.DUMMYFUNCTION("IMPORTRANGE(""https://docs.google.com/spreadsheets/d/11923uPwbBZFjjGgGUA6NLw09EwE0CqkOc4q9oUmW1yo/edit?usp=sharing"",""อุทัยธานี!I291"")"),100)</f>
        <v>100</v>
      </c>
      <c r="J396" s="199">
        <f ca="1">IFERROR(__xludf.DUMMYFUNCTION("IMPORTRANGE(""https://docs.google.com/spreadsheets/d/11923uPwbBZFjjGgGUA6NLw09EwE0CqkOc4q9oUmW1yo/edit?usp=sharing"",""อุทัยธานี!J291"")"),100)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IFERROR(__xludf.DUMMYFUNCTION("IMPORTRANGE(""https://docs.google.com/spreadsheets/d/11923uPwbBZFjjGgGUA6NLw09EwE0CqkOc4q9oUmW1yo/edit?usp=sharing"",""อุทัยธานี!I292"")"),1000)</f>
        <v>1000</v>
      </c>
      <c r="J397" s="199">
        <f ca="1">IFERROR(__xludf.DUMMYFUNCTION("IMPORTRANGE(""https://docs.google.com/spreadsheets/d/11923uPwbBZFjjGgGUA6NLw09EwE0CqkOc4q9oUmW1yo/edit?usp=sharing"",""อุทัยธานี!J292"")"),0)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IFERROR(__xludf.DUMMYFUNCTION("IMPORTRANGE(""https://docs.google.com/spreadsheets/d/11923uPwbBZFjjGgGUA6NLw09EwE0CqkOc4q9oUmW1yo/edit?usp=sharing"",""อุทัยธานี!I293"")"),100)</f>
        <v>100</v>
      </c>
      <c r="J398" s="199">
        <f ca="1">IFERROR(__xludf.DUMMYFUNCTION("IMPORTRANGE(""https://docs.google.com/spreadsheets/d/11923uPwbBZFjjGgGUA6NLw09EwE0CqkOc4q9oUmW1yo/edit?usp=sharing"",""อุทัยธานี!J293"")"),0)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IFERROR(__xludf.DUMMYFUNCTION("IMPORTRANGE(""https://docs.google.com/spreadsheets/d/11923uPwbBZFjjGgGUA6NLw09EwE0CqkOc4q9oUmW1yo/edit?usp=sharing"",""อุทัยธานี!J294"")"),0)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IFERROR(__xludf.DUMMYFUNCTION("IMPORTRANGE(""https://docs.google.com/spreadsheets/d/11923uPwbBZFjjGgGUA6NLw09EwE0CqkOc4q9oUmW1yo/edit?usp=sharing"",""อุทัยธานี!J295"")"),0)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IFERROR(__xludf.DUMMYFUNCTION("IMPORTRANGE(""https://docs.google.com/spreadsheets/d/11923uPwbBZFjjGgGUA6NLw09EwE0CqkOc4q9oUmW1yo/edit?usp=sharing"",""อุทัยธานี!I296"")"),150)</f>
        <v>150</v>
      </c>
      <c r="J401" s="372">
        <f ca="1">IFERROR(__xludf.DUMMYFUNCTION("IMPORTRANGE(""https://docs.google.com/spreadsheets/d/11923uPwbBZFjjGgGUA6NLw09EwE0CqkOc4q9oUmW1yo/edit?usp=sharing"",""อุทัยธานี!J296"")"),0)</f>
        <v>0</v>
      </c>
      <c r="K401" s="373">
        <f t="shared" ref="K401:K402" ca="1" si="111">IF(I401&gt;0,J401*100/I401,0)</f>
        <v>0</v>
      </c>
      <c r="L401" s="374">
        <f ca="1">IFERROR(__xludf.DUMMYFUNCTION("IMPORTRANGE(""https://docs.google.com/spreadsheets/d/11923uPwbBZFjjGgGUA6NLw09EwE0CqkOc4q9oUmW1yo/edit?usp=sharing"",""อุทัยธานี!L296"")"),177900)</f>
        <v>177900</v>
      </c>
      <c r="M401" s="374"/>
      <c r="N401" s="374">
        <f ca="1">IFERROR(__xludf.DUMMYFUNCTION("IMPORTRANGE(""https://docs.google.com/spreadsheets/d/11923uPwbBZFjjGgGUA6NLw09EwE0CqkOc4q9oUmW1yo/edit?usp=sharing"",""อุทัยธานี!M296"")"),107530)</f>
        <v>107530</v>
      </c>
      <c r="O401" s="374">
        <f ca="1">+IF(L401&gt;0,N401*100/L401,0)</f>
        <v>60.444069702079823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IFERROR(__xludf.DUMMYFUNCTION("IMPORTRANGE(""https://docs.google.com/spreadsheets/d/11923uPwbBZFjjGgGUA6NLw09EwE0CqkOc4q9oUmW1yo/edit?usp=sharing"",""อุทัยธานี!I297"")"),50)</f>
        <v>50</v>
      </c>
      <c r="J402" s="372">
        <f ca="1">IFERROR(__xludf.DUMMYFUNCTION("IMPORTRANGE(""https://docs.google.com/spreadsheets/d/11923uPwbBZFjjGgGUA6NLw09EwE0CqkOc4q9oUmW1yo/edit?usp=sharing"",""อุทัยธานี!J297"")"),10)</f>
        <v>10</v>
      </c>
      <c r="K402" s="373">
        <f t="shared" ca="1" si="111"/>
        <v>20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IFERROR(__xludf.DUMMYFUNCTION("IMPORTRANGE(""https://docs.google.com/spreadsheets/d/11923uPwbBZFjjGgGUA6NLw09EwE0CqkOc4q9oUmW1yo/edit?usp=sharing"",""อุทัยธานี!L298"")"),0)</f>
        <v>0</v>
      </c>
      <c r="M403" s="166"/>
      <c r="N403" s="170">
        <f ca="1">IFERROR(__xludf.DUMMYFUNCTION("IMPORTRANGE(""https://docs.google.com/spreadsheets/d/11923uPwbBZFjjGgGUA6NLw09EwE0CqkOc4q9oUmW1yo/edit?usp=sharing"",""อุทัยธานี!M298"")"),0)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IFERROR(__xludf.DUMMYFUNCTION("IMPORTRANGE(""https://docs.google.com/spreadsheets/d/11923uPwbBZFjjGgGUA6NLw09EwE0CqkOc4q9oUmW1yo/edit?usp=sharing"",""อุทัยธานี!L299"")"),177900)</f>
        <v>177900</v>
      </c>
      <c r="M404" s="167"/>
      <c r="N404" s="170">
        <f ca="1">IFERROR(__xludf.DUMMYFUNCTION("IMPORTRANGE(""https://docs.google.com/spreadsheets/d/11923uPwbBZFjjGgGUA6NLw09EwE0CqkOc4q9oUmW1yo/edit?usp=sharing"",""อุทัยธานี!M299"")"),107530)</f>
        <v>107530</v>
      </c>
      <c r="O404" s="170">
        <f t="shared" ca="1" si="112"/>
        <v>60.444069702079823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IFERROR(__xludf.DUMMYFUNCTION("IMPORTRANGE(""https://docs.google.com/spreadsheets/d/11923uPwbBZFjjGgGUA6NLw09EwE0CqkOc4q9oUmW1yo/edit?usp=sharing"",""อุทัยธานี!L300"")"),0)</f>
        <v>0</v>
      </c>
      <c r="M405" s="170"/>
      <c r="N405" s="170">
        <f ca="1">IFERROR(__xludf.DUMMYFUNCTION("IMPORTRANGE(""https://docs.google.com/spreadsheets/d/11923uPwbBZFjjGgGUA6NLw09EwE0CqkOc4q9oUmW1yo/edit?usp=sharing"",""อุทัยธานี!M300"")"),0)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IFERROR(__xludf.DUMMYFUNCTION("IMPORTRANGE(""https://docs.google.com/spreadsheets/d/11923uPwbBZFjjGgGUA6NLw09EwE0CqkOc4q9oUmW1yo/edit?usp=sharing"",""อุทัยธานี!L301"")"),177900)</f>
        <v>177900</v>
      </c>
      <c r="M406" s="170"/>
      <c r="N406" s="170">
        <f ca="1">IFERROR(__xludf.DUMMYFUNCTION("IMPORTRANGE(""https://docs.google.com/spreadsheets/d/11923uPwbBZFjjGgGUA6NLw09EwE0CqkOc4q9oUmW1yo/edit?usp=sharing"",""อุทัยธานี!M301"")"),107530)</f>
        <v>107530</v>
      </c>
      <c r="O406" s="170">
        <f t="shared" ca="1" si="112"/>
        <v>60.444069702079823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IFERROR(__xludf.DUMMYFUNCTION("IMPORTRANGE(""https://docs.google.com/spreadsheets/d/11923uPwbBZFjjGgGUA6NLw09EwE0CqkOc4q9oUmW1yo/edit?usp=sharing"",""อุทัยธานี!M302"")"),94470)</f>
        <v>94470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IFERROR(__xludf.DUMMYFUNCTION("IMPORTRANGE(""https://docs.google.com/spreadsheets/d/11923uPwbBZFjjGgGUA6NLw09EwE0CqkOc4q9oUmW1yo/edit?usp=sharing"",""อุทัยธานี!M303"")"),0)</f>
        <v>0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IFERROR(__xludf.DUMMYFUNCTION("IMPORTRANGE(""https://docs.google.com/spreadsheets/d/11923uPwbBZFjjGgGUA6NLw09EwE0CqkOc4q9oUmW1yo/edit?usp=sharing"",""อุทัยธานี!M304"")"),0)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IFERROR(__xludf.DUMMYFUNCTION("IMPORTRANGE(""https://docs.google.com/spreadsheets/d/11923uPwbBZFjjGgGUA6NLw09EwE0CqkOc4q9oUmW1yo/edit?usp=sharing"",""อุทัยธานี!M305"")"),13060)</f>
        <v>13060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IFERROR(__xludf.DUMMYFUNCTION("IMPORTRANGE(""https://docs.google.com/spreadsheets/d/11923uPwbBZFjjGgGUA6NLw09EwE0CqkOc4q9oUmW1yo/edit?usp=sharing"",""อุทัยธานี!J307"")"),0)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IFERROR(__xludf.DUMMYFUNCTION("IMPORTRANGE(""https://docs.google.com/spreadsheets/d/11923uPwbBZFjjGgGUA6NLw09EwE0CqkOc4q9oUmW1yo/edit?usp=sharing"",""อุทัยธานี!J308"")"),1)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IFERROR(__xludf.DUMMYFUNCTION("IMPORTRANGE(""https://docs.google.com/spreadsheets/d/11923uPwbBZFjjGgGUA6NLw09EwE0CqkOc4q9oUmW1yo/edit?usp=sharing"",""อุทัยธานี!J309"")"),0)</f>
        <v>0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IFERROR(__xludf.DUMMYFUNCTION("IMPORTRANGE(""https://docs.google.com/spreadsheets/d/11923uPwbBZFjjGgGUA6NLw09EwE0CqkOc4q9oUmW1yo/edit?usp=sharing"",""อุทัยธานี!J310"")"),0)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IFERROR(__xludf.DUMMYFUNCTION("IMPORTRANGE(""https://docs.google.com/spreadsheets/d/11923uPwbBZFjjGgGUA6NLw09EwE0CqkOc4q9oUmW1yo/edit?usp=sharing"",""อุทัยธานี!I311"")"),50)</f>
        <v>50</v>
      </c>
      <c r="J416" s="202">
        <f ca="1">IFERROR(__xludf.DUMMYFUNCTION("IMPORTRANGE(""https://docs.google.com/spreadsheets/d/11923uPwbBZFjjGgGUA6NLw09EwE0CqkOc4q9oUmW1yo/edit?usp=sharing"",""อุทัยธานี!J311"")"),10)</f>
        <v>10</v>
      </c>
      <c r="K416" s="203">
        <f t="shared" ref="K416:K432" ca="1" si="113">IF(I416&gt;0,J416*100/I416,0)</f>
        <v>20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IFERROR(__xludf.DUMMYFUNCTION("IMPORTRANGE(""https://docs.google.com/spreadsheets/d/11923uPwbBZFjjGgGUA6NLw09EwE0CqkOc4q9oUmW1yo/edit?usp=sharing"",""อุทัยธานี!I312"")"),20)</f>
        <v>20</v>
      </c>
      <c r="J417" s="393">
        <f ca="1">IFERROR(__xludf.DUMMYFUNCTION("IMPORTRANGE(""https://docs.google.com/spreadsheets/d/11923uPwbBZFjjGgGUA6NLw09EwE0CqkOc4q9oUmW1yo/edit?usp=sharing"",""อุทัยธานี!J312"")"),0)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IFERROR(__xludf.DUMMYFUNCTION("IMPORTRANGE(""https://docs.google.com/spreadsheets/d/11923uPwbBZFjjGgGUA6NLw09EwE0CqkOc4q9oUmW1yo/edit?usp=sharing"",""อุทัยธานี!I313"")"),60)</f>
        <v>60</v>
      </c>
      <c r="J418" s="394">
        <f ca="1">IFERROR(__xludf.DUMMYFUNCTION("IMPORTRANGE(""https://docs.google.com/spreadsheets/d/11923uPwbBZFjjGgGUA6NLw09EwE0CqkOc4q9oUmW1yo/edit?usp=sharing"",""อุทัยธานี!J313"")"),0)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IFERROR(__xludf.DUMMYFUNCTION("IMPORTRANGE(""https://docs.google.com/spreadsheets/d/11923uPwbBZFjjGgGUA6NLw09EwE0CqkOc4q9oUmW1yo/edit?usp=sharing"",""อุทัยธานี!I314"")"),20)</f>
        <v>20</v>
      </c>
      <c r="J419" s="395">
        <f ca="1">IFERROR(__xludf.DUMMYFUNCTION("IMPORTRANGE(""https://docs.google.com/spreadsheets/d/11923uPwbBZFjjGgGUA6NLw09EwE0CqkOc4q9oUmW1yo/edit?usp=sharing"",""อุทัยธานี!J314"")"),0)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IFERROR(__xludf.DUMMYFUNCTION("IMPORTRANGE(""https://docs.google.com/spreadsheets/d/11923uPwbBZFjjGgGUA6NLw09EwE0CqkOc4q9oUmW1yo/edit?usp=sharing"",""อุทัยธานี!I315"")"),20)</f>
        <v>20</v>
      </c>
      <c r="J420" s="395">
        <f ca="1">IFERROR(__xludf.DUMMYFUNCTION("IMPORTRANGE(""https://docs.google.com/spreadsheets/d/11923uPwbBZFjjGgGUA6NLw09EwE0CqkOc4q9oUmW1yo/edit?usp=sharing"",""อุทัยธานี!J315"")"),20)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IFERROR(__xludf.DUMMYFUNCTION("IMPORTRANGE(""https://docs.google.com/spreadsheets/d/11923uPwbBZFjjGgGUA6NLw09EwE0CqkOc4q9oUmW1yo/edit?usp=sharing"",""อุทัยธานี!I316"")"),20)</f>
        <v>20</v>
      </c>
      <c r="J421" s="393">
        <f ca="1">IFERROR(__xludf.DUMMYFUNCTION("IMPORTRANGE(""https://docs.google.com/spreadsheets/d/11923uPwbBZFjjGgGUA6NLw09EwE0CqkOc4q9oUmW1yo/edit?usp=sharing"",""อุทัยธานี!J316"")"),0)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IFERROR(__xludf.DUMMYFUNCTION("IMPORTRANGE(""https://docs.google.com/spreadsheets/d/11923uPwbBZFjjGgGUA6NLw09EwE0CqkOc4q9oUmW1yo/edit?usp=sharing"",""อุทัยธานี!I317"")"),60)</f>
        <v>60</v>
      </c>
      <c r="J422" s="394">
        <f ca="1">IFERROR(__xludf.DUMMYFUNCTION("IMPORTRANGE(""https://docs.google.com/spreadsheets/d/11923uPwbBZFjjGgGUA6NLw09EwE0CqkOc4q9oUmW1yo/edit?usp=sharing"",""อุทัยธานี!J317"")"),0)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IFERROR(__xludf.DUMMYFUNCTION("IMPORTRANGE(""https://docs.google.com/spreadsheets/d/11923uPwbBZFjjGgGUA6NLw09EwE0CqkOc4q9oUmW1yo/edit?usp=sharing"",""อุทัยธานี!I318"")"),20)</f>
        <v>20</v>
      </c>
      <c r="J423" s="395">
        <f ca="1">IFERROR(__xludf.DUMMYFUNCTION("IMPORTRANGE(""https://docs.google.com/spreadsheets/d/11923uPwbBZFjjGgGUA6NLw09EwE0CqkOc4q9oUmW1yo/edit?usp=sharing"",""อุทัยธานี!J318"")"),20)</f>
        <v>20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IFERROR(__xludf.DUMMYFUNCTION("IMPORTRANGE(""https://docs.google.com/spreadsheets/d/11923uPwbBZFjjGgGUA6NLw09EwE0CqkOc4q9oUmW1yo/edit?usp=sharing"",""อุทัยธานี!I319"")"),20)</f>
        <v>20</v>
      </c>
      <c r="J424" s="395">
        <f ca="1">IFERROR(__xludf.DUMMYFUNCTION("IMPORTRANGE(""https://docs.google.com/spreadsheets/d/11923uPwbBZFjjGgGUA6NLw09EwE0CqkOc4q9oUmW1yo/edit?usp=sharing"",""อุทัยธานี!J319"")"),20)</f>
        <v>20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IFERROR(__xludf.DUMMYFUNCTION("IMPORTRANGE(""https://docs.google.com/spreadsheets/d/11923uPwbBZFjjGgGUA6NLw09EwE0CqkOc4q9oUmW1yo/edit?usp=sharing"",""อุทัยธานี!I320"")"),20)</f>
        <v>20</v>
      </c>
      <c r="J425" s="395">
        <f ca="1">IFERROR(__xludf.DUMMYFUNCTION("IMPORTRANGE(""https://docs.google.com/spreadsheets/d/11923uPwbBZFjjGgGUA6NLw09EwE0CqkOc4q9oUmW1yo/edit?usp=sharing"",""อุทัยธานี!J320"")"),0)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IFERROR(__xludf.DUMMYFUNCTION("IMPORTRANGE(""https://docs.google.com/spreadsheets/d/11923uPwbBZFjjGgGUA6NLw09EwE0CqkOc4q9oUmW1yo/edit?usp=sharing"",""อุทัยธานี!I321"")"),10)</f>
        <v>10</v>
      </c>
      <c r="J426" s="393">
        <f ca="1">IFERROR(__xludf.DUMMYFUNCTION("IMPORTRANGE(""https://docs.google.com/spreadsheets/d/11923uPwbBZFjjGgGUA6NLw09EwE0CqkOc4q9oUmW1yo/edit?usp=sharing"",""อุทัยธานี!J321"")"),10)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IFERROR(__xludf.DUMMYFUNCTION("IMPORTRANGE(""https://docs.google.com/spreadsheets/d/11923uPwbBZFjjGgGUA6NLw09EwE0CqkOc4q9oUmW1yo/edit?usp=sharing"",""อุทัยธานี!I322"")"),30)</f>
        <v>30</v>
      </c>
      <c r="J427" s="394">
        <f ca="1">IFERROR(__xludf.DUMMYFUNCTION("IMPORTRANGE(""https://docs.google.com/spreadsheets/d/11923uPwbBZFjjGgGUA6NLw09EwE0CqkOc4q9oUmW1yo/edit?usp=sharing"",""อุทัยธานี!J322"")"),0)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IFERROR(__xludf.DUMMYFUNCTION("IMPORTRANGE(""https://docs.google.com/spreadsheets/d/11923uPwbBZFjjGgGUA6NLw09EwE0CqkOc4q9oUmW1yo/edit?usp=sharing"",""อุทัยธานี!I323"")"),10)</f>
        <v>10</v>
      </c>
      <c r="J428" s="395">
        <f ca="1">IFERROR(__xludf.DUMMYFUNCTION("IMPORTRANGE(""https://docs.google.com/spreadsheets/d/11923uPwbBZFjjGgGUA6NLw09EwE0CqkOc4q9oUmW1yo/edit?usp=sharing"",""อุทัยธานี!J323"")"),10)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IFERROR(__xludf.DUMMYFUNCTION("IMPORTRANGE(""https://docs.google.com/spreadsheets/d/11923uPwbBZFjjGgGUA6NLw09EwE0CqkOc4q9oUmW1yo/edit?usp=sharing"",""อุทัยธานี!I324"")"),10)</f>
        <v>10</v>
      </c>
      <c r="J429" s="395">
        <f ca="1">IFERROR(__xludf.DUMMYFUNCTION("IMPORTRANGE(""https://docs.google.com/spreadsheets/d/11923uPwbBZFjjGgGUA6NLw09EwE0CqkOc4q9oUmW1yo/edit?usp=sharing"",""อุทัยธานี!J324"")"),10)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IFERROR(__xludf.DUMMYFUNCTION("IMPORTRANGE(""https://docs.google.com/spreadsheets/d/11923uPwbBZFjjGgGUA6NLw09EwE0CqkOc4q9oUmW1yo/edit?usp=sharing"",""อุทัยธานี!I325"")"),40)</f>
        <v>40</v>
      </c>
      <c r="J430" s="393">
        <f ca="1">IFERROR(__xludf.DUMMYFUNCTION("IMPORTRANGE(""https://docs.google.com/spreadsheets/d/11923uPwbBZFjjGgGUA6NLw09EwE0CqkOc4q9oUmW1yo/edit?usp=sharing"",""อุทัยธานี!J325"")"),40)</f>
        <v>40</v>
      </c>
      <c r="K430" s="203">
        <f t="shared" ca="1" si="113"/>
        <v>100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IFERROR(__xludf.DUMMYFUNCTION("IMPORTRANGE(""https://docs.google.com/spreadsheets/d/11923uPwbBZFjjGgGUA6NLw09EwE0CqkOc4q9oUmW1yo/edit?usp=sharing"",""อุทัยธานี!I326"")"),20)</f>
        <v>20</v>
      </c>
      <c r="J431" s="395">
        <f ca="1">IFERROR(__xludf.DUMMYFUNCTION("IMPORTRANGE(""https://docs.google.com/spreadsheets/d/11923uPwbBZFjjGgGUA6NLw09EwE0CqkOc4q9oUmW1yo/edit?usp=sharing"",""อุทัยธานี!J326"")"),20)</f>
        <v>20</v>
      </c>
      <c r="K431" s="165">
        <f t="shared" ca="1" si="113"/>
        <v>100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IFERROR(__xludf.DUMMYFUNCTION("IMPORTRANGE(""https://docs.google.com/spreadsheets/d/11923uPwbBZFjjGgGUA6NLw09EwE0CqkOc4q9oUmW1yo/edit?usp=sharing"",""อุทัยธานี!I327"")"),20)</f>
        <v>20</v>
      </c>
      <c r="J432" s="395">
        <f ca="1">IFERROR(__xludf.DUMMYFUNCTION("IMPORTRANGE(""https://docs.google.com/spreadsheets/d/11923uPwbBZFjjGgGUA6NLw09EwE0CqkOc4q9oUmW1yo/edit?usp=sharing"",""อุทัยธานี!J327"")"),20)</f>
        <v>20</v>
      </c>
      <c r="K432" s="165">
        <f t="shared" ca="1" si="113"/>
        <v>100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IFERROR(__xludf.DUMMYFUNCTION("IMPORTRANGE(""https://docs.google.com/spreadsheets/d/11923uPwbBZFjjGgGUA6NLw09EwE0CqkOc4q9oUmW1yo/edit?usp=sharing"",""อุทัยธานี!J328"")"),0)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IFERROR(__xludf.DUMMYFUNCTION("IMPORTRANGE(""https://docs.google.com/spreadsheets/d/11923uPwbBZFjjGgGUA6NLw09EwE0CqkOc4q9oUmW1yo/edit?usp=sharing"",""อุทัยธานี!J329"")"),0)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IFERROR(__xludf.DUMMYFUNCTION("IMPORTRANGE(""https://docs.google.com/spreadsheets/d/11923uPwbBZFjjGgGUA6NLw09EwE0CqkOc4q9oUmW1yo/edit?usp=sharing"",""อุทัยธานี!I330"")"),15)</f>
        <v>15</v>
      </c>
      <c r="J435" s="411">
        <f ca="1">IFERROR(__xludf.DUMMYFUNCTION("IMPORTRANGE(""https://docs.google.com/spreadsheets/d/11923uPwbBZFjjGgGUA6NLw09EwE0CqkOc4q9oUmW1yo/edit?usp=sharing"",""อุทัยธานี!J330"")"),15)</f>
        <v>15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IFERROR(__xludf.DUMMYFUNCTION("IMPORTRANGE(""https://docs.google.com/spreadsheets/d/11923uPwbBZFjjGgGUA6NLw09EwE0CqkOc4q9oUmW1yo/edit?usp=sharing"",""อุทัยธานี!L330"")"),88000)</f>
        <v>88000</v>
      </c>
      <c r="M435" s="413"/>
      <c r="N435" s="413">
        <f ca="1">IFERROR(__xludf.DUMMYFUNCTION("IMPORTRANGE(""https://docs.google.com/spreadsheets/d/11923uPwbBZFjjGgGUA6NLw09EwE0CqkOc4q9oUmW1yo/edit?usp=sharing"",""อุทัยธานี!M330"")"),52190)</f>
        <v>52190</v>
      </c>
      <c r="O435" s="413">
        <f t="shared" ref="O435:O439" ca="1" si="114">+IF(L435&gt;0,N435*100/L435,0)</f>
        <v>59.30681818181818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IFERROR(__xludf.DUMMYFUNCTION("IMPORTRANGE(""https://docs.google.com/spreadsheets/d/11923uPwbBZFjjGgGUA6NLw09EwE0CqkOc4q9oUmW1yo/edit?usp=sharing"",""อุทัยธานี!L331"")"),0)</f>
        <v>0</v>
      </c>
      <c r="M436" s="166"/>
      <c r="N436" s="170">
        <f ca="1">IFERROR(__xludf.DUMMYFUNCTION("IMPORTRANGE(""https://docs.google.com/spreadsheets/d/11923uPwbBZFjjGgGUA6NLw09EwE0CqkOc4q9oUmW1yo/edit?usp=sharing"",""อุทัยธานี!M331"")"),0)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IFERROR(__xludf.DUMMYFUNCTION("IMPORTRANGE(""https://docs.google.com/spreadsheets/d/11923uPwbBZFjjGgGUA6NLw09EwE0CqkOc4q9oUmW1yo/edit?usp=sharing"",""อุทัยธานี!L332"")"),88000)</f>
        <v>88000</v>
      </c>
      <c r="M437" s="167"/>
      <c r="N437" s="170">
        <f ca="1">IFERROR(__xludf.DUMMYFUNCTION("IMPORTRANGE(""https://docs.google.com/spreadsheets/d/11923uPwbBZFjjGgGUA6NLw09EwE0CqkOc4q9oUmW1yo/edit?usp=sharing"",""อุทัยธานี!M332"")"),52190)</f>
        <v>52190</v>
      </c>
      <c r="O437" s="170">
        <f t="shared" ca="1" si="114"/>
        <v>59.30681818181818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IFERROR(__xludf.DUMMYFUNCTION("IMPORTRANGE(""https://docs.google.com/spreadsheets/d/11923uPwbBZFjjGgGUA6NLw09EwE0CqkOc4q9oUmW1yo/edit?usp=sharing"",""อุทัยธานี!L333"")"),0)</f>
        <v>0</v>
      </c>
      <c r="M438" s="170"/>
      <c r="N438" s="170">
        <f ca="1">IFERROR(__xludf.DUMMYFUNCTION("IMPORTRANGE(""https://docs.google.com/spreadsheets/d/11923uPwbBZFjjGgGUA6NLw09EwE0CqkOc4q9oUmW1yo/edit?usp=sharing"",""อุทัยธานี!M333"")"),0)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IFERROR(__xludf.DUMMYFUNCTION("IMPORTRANGE(""https://docs.google.com/spreadsheets/d/11923uPwbBZFjjGgGUA6NLw09EwE0CqkOc4q9oUmW1yo/edit?usp=sharing"",""อุทัยธานี!L334"")"),88000)</f>
        <v>88000</v>
      </c>
      <c r="M439" s="170"/>
      <c r="N439" s="170">
        <f ca="1">IFERROR(__xludf.DUMMYFUNCTION("IMPORTRANGE(""https://docs.google.com/spreadsheets/d/11923uPwbBZFjjGgGUA6NLw09EwE0CqkOc4q9oUmW1yo/edit?usp=sharing"",""อุทัยธานี!M334"")"),52190)</f>
        <v>52190</v>
      </c>
      <c r="O439" s="170">
        <f t="shared" ca="1" si="114"/>
        <v>59.30681818181818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IFERROR(__xludf.DUMMYFUNCTION("IMPORTRANGE(""https://docs.google.com/spreadsheets/d/11923uPwbBZFjjGgGUA6NLw09EwE0CqkOc4q9oUmW1yo/edit?usp=sharing"",""อุทัยธานี!M335"")"),35300)</f>
        <v>35300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IFERROR(__xludf.DUMMYFUNCTION("IMPORTRANGE(""https://docs.google.com/spreadsheets/d/11923uPwbBZFjjGgGUA6NLw09EwE0CqkOc4q9oUmW1yo/edit?usp=sharing"",""อุทัยธานี!M336"")"),0)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IFERROR(__xludf.DUMMYFUNCTION("IMPORTRANGE(""https://docs.google.com/spreadsheets/d/11923uPwbBZFjjGgGUA6NLw09EwE0CqkOc4q9oUmW1yo/edit?usp=sharing"",""อุทัยธานี!M337"")"),0)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IFERROR(__xludf.DUMMYFUNCTION("IMPORTRANGE(""https://docs.google.com/spreadsheets/d/11923uPwbBZFjjGgGUA6NLw09EwE0CqkOc4q9oUmW1yo/edit?usp=sharing"",""อุทัยธานี!M338"")"),16890)</f>
        <v>16890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IFERROR(__xludf.DUMMYFUNCTION("IMPORTRANGE(""https://docs.google.com/spreadsheets/d/11923uPwbBZFjjGgGUA6NLw09EwE0CqkOc4q9oUmW1yo/edit?usp=sharing"",""อุทัยธานี!J340"")"),0)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IFERROR(__xludf.DUMMYFUNCTION("IMPORTRANGE(""https://docs.google.com/spreadsheets/d/11923uPwbBZFjjGgGUA6NLw09EwE0CqkOc4q9oUmW1yo/edit?usp=sharing"",""อุทัยธานี!J341"")"),1)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IFERROR(__xludf.DUMMYFUNCTION("IMPORTRANGE(""https://docs.google.com/spreadsheets/d/11923uPwbBZFjjGgGUA6NLw09EwE0CqkOc4q9oUmW1yo/edit?usp=sharing"",""อุทัยธานี!J342"")"),1)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IFERROR(__xludf.DUMMYFUNCTION("IMPORTRANGE(""https://docs.google.com/spreadsheets/d/11923uPwbBZFjjGgGUA6NLw09EwE0CqkOc4q9oUmW1yo/edit?usp=sharing"",""อุทัยธานี!J343"")"),1)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IFERROR(__xludf.DUMMYFUNCTION("IMPORTRANGE(""https://docs.google.com/spreadsheets/d/11923uPwbBZFjjGgGUA6NLw09EwE0CqkOc4q9oUmW1yo/edit?usp=sharing"",""อุทัยธานี!I344"")"),15)</f>
        <v>15</v>
      </c>
      <c r="J449" s="202">
        <f ca="1">IFERROR(__xludf.DUMMYFUNCTION("IMPORTRANGE(""https://docs.google.com/spreadsheets/d/11923uPwbBZFjjGgGUA6NLw09EwE0CqkOc4q9oUmW1yo/edit?usp=sharing"",""อุทัยธานี!J344"")"),15)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IFERROR(__xludf.DUMMYFUNCTION("IMPORTRANGE(""https://docs.google.com/spreadsheets/d/11923uPwbBZFjjGgGUA6NLw09EwE0CqkOc4q9oUmW1yo/edit?usp=sharing"",""อุทัยธานี!I345"")"),15)</f>
        <v>15</v>
      </c>
      <c r="J450" s="190">
        <f ca="1">IFERROR(__xludf.DUMMYFUNCTION("IMPORTRANGE(""https://docs.google.com/spreadsheets/d/11923uPwbBZFjjGgGUA6NLw09EwE0CqkOc4q9oUmW1yo/edit?usp=sharing"",""อุทัยธานี!J345"")"),15)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IFERROR(__xludf.DUMMYFUNCTION("IMPORTRANGE(""https://docs.google.com/spreadsheets/d/11923uPwbBZFjjGgGUA6NLw09EwE0CqkOc4q9oUmW1yo/edit?usp=sharing"",""อุทัยธานี!I346"")"),0)</f>
        <v>0</v>
      </c>
      <c r="J451" s="189">
        <f ca="1">IFERROR(__xludf.DUMMYFUNCTION("IMPORTRANGE(""https://docs.google.com/spreadsheets/d/11923uPwbBZFjjGgGUA6NLw09EwE0CqkOc4q9oUmW1yo/edit?usp=sharing"",""อุทัยธานี!J346"")"),0)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hidden="1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IFERROR(__xludf.DUMMYFUNCTION("IMPORTRANGE(""https://docs.google.com/spreadsheets/d/11923uPwbBZFjjGgGUA6NLw09EwE0CqkOc4q9oUmW1yo/edit?usp=sharing"",""อุทัยธานี!I347"")"),0)</f>
        <v>0</v>
      </c>
      <c r="J452" s="189">
        <f ca="1">IFERROR(__xludf.DUMMYFUNCTION("IMPORTRANGE(""https://docs.google.com/spreadsheets/d/11923uPwbBZFjjGgGUA6NLw09EwE0CqkOc4q9oUmW1yo/edit?usp=sharing"",""อุทัยธานี!J347"")"),0)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IFERROR(__xludf.DUMMYFUNCTION("IMPORTRANGE(""https://docs.google.com/spreadsheets/d/11923uPwbBZFjjGgGUA6NLw09EwE0CqkOc4q9oUmW1yo/edit?usp=sharing"",""อุทัยธานี!J348"")"),0)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IFERROR(__xludf.DUMMYFUNCTION("IMPORTRANGE(""https://docs.google.com/spreadsheets/d/11923uPwbBZFjjGgGUA6NLw09EwE0CqkOc4q9oUmW1yo/edit?usp=sharing"",""อุทัยธานี!J349"")"),0)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IFERROR(__xludf.DUMMYFUNCTION("IMPORTRANGE(""https://docs.google.com/spreadsheets/d/11923uPwbBZFjjGgGUA6NLw09EwE0CqkOc4q9oUmW1yo/edit?usp=sharing"",""อุทัยธานี!I350"")"),24034)</f>
        <v>24034</v>
      </c>
      <c r="J455" s="372">
        <f ca="1">IFERROR(__xludf.DUMMYFUNCTION("IMPORTRANGE(""https://docs.google.com/spreadsheets/d/11923uPwbBZFjjGgGUA6NLw09EwE0CqkOc4q9oUmW1yo/edit?usp=sharing"",""อุทัยธานี!J350"")"),24034)</f>
        <v>24034</v>
      </c>
      <c r="K455" s="373">
        <f ca="1">IF(I455&gt;0,J455*100/I455,0)</f>
        <v>100</v>
      </c>
      <c r="L455" s="374">
        <f ca="1">IFERROR(__xludf.DUMMYFUNCTION("IMPORTRANGE(""https://docs.google.com/spreadsheets/d/11923uPwbBZFjjGgGUA6NLw09EwE0CqkOc4q9oUmW1yo/edit?usp=sharing"",""อุทัยธานี!L350"")"),320488)</f>
        <v>320488</v>
      </c>
      <c r="M455" s="374"/>
      <c r="N455" s="374">
        <f ca="1">IFERROR(__xludf.DUMMYFUNCTION("IMPORTRANGE(""https://docs.google.com/spreadsheets/d/11923uPwbBZFjjGgGUA6NLw09EwE0CqkOc4q9oUmW1yo/edit?usp=sharing"",""อุทัยธานี!M350"")"),47570)</f>
        <v>47570</v>
      </c>
      <c r="O455" s="374">
        <f t="shared" ref="O455:O459" ca="1" si="116">+IF(L455&gt;0,N455*100/L455,0)</f>
        <v>14.842989441102318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IFERROR(__xludf.DUMMYFUNCTION("IMPORTRANGE(""https://docs.google.com/spreadsheets/d/11923uPwbBZFjjGgGUA6NLw09EwE0CqkOc4q9oUmW1yo/edit?usp=sharing"",""อุทัยธานี!L351"")"),0)</f>
        <v>0</v>
      </c>
      <c r="M456" s="166"/>
      <c r="N456" s="170">
        <f ca="1">IFERROR(__xludf.DUMMYFUNCTION("IMPORTRANGE(""https://docs.google.com/spreadsheets/d/11923uPwbBZFjjGgGUA6NLw09EwE0CqkOc4q9oUmW1yo/edit?usp=sharing"",""อุทัยธานี!M351"")"),0)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IFERROR(__xludf.DUMMYFUNCTION("IMPORTRANGE(""https://docs.google.com/spreadsheets/d/11923uPwbBZFjjGgGUA6NLw09EwE0CqkOc4q9oUmW1yo/edit?usp=sharing"",""อุทัยธานี!L352"")"),320488)</f>
        <v>320488</v>
      </c>
      <c r="M457" s="167"/>
      <c r="N457" s="170">
        <f ca="1">IFERROR(__xludf.DUMMYFUNCTION("IMPORTRANGE(""https://docs.google.com/spreadsheets/d/11923uPwbBZFjjGgGUA6NLw09EwE0CqkOc4q9oUmW1yo/edit?usp=sharing"",""อุทัยธานี!M352"")"),47570)</f>
        <v>47570</v>
      </c>
      <c r="O457" s="170">
        <f t="shared" ca="1" si="116"/>
        <v>14.842989441102318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IFERROR(__xludf.DUMMYFUNCTION("IMPORTRANGE(""https://docs.google.com/spreadsheets/d/11923uPwbBZFjjGgGUA6NLw09EwE0CqkOc4q9oUmW1yo/edit?usp=sharing"",""อุทัยธานี!L353"")"),0)</f>
        <v>0</v>
      </c>
      <c r="M458" s="170"/>
      <c r="N458" s="170">
        <f ca="1">IFERROR(__xludf.DUMMYFUNCTION("IMPORTRANGE(""https://docs.google.com/spreadsheets/d/11923uPwbBZFjjGgGUA6NLw09EwE0CqkOc4q9oUmW1yo/edit?usp=sharing"",""อุทัยธานี!M353"")"),0)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IFERROR(__xludf.DUMMYFUNCTION("IMPORTRANGE(""https://docs.google.com/spreadsheets/d/11923uPwbBZFjjGgGUA6NLw09EwE0CqkOc4q9oUmW1yo/edit?usp=sharing"",""อุทัยธานี!L354"")"),320488)</f>
        <v>320488</v>
      </c>
      <c r="M459" s="170"/>
      <c r="N459" s="170">
        <f ca="1">IFERROR(__xludf.DUMMYFUNCTION("IMPORTRANGE(""https://docs.google.com/spreadsheets/d/11923uPwbBZFjjGgGUA6NLw09EwE0CqkOc4q9oUmW1yo/edit?usp=sharing"",""อุทัยธานี!M354"")"),47570)</f>
        <v>47570</v>
      </c>
      <c r="O459" s="170">
        <f t="shared" ca="1" si="116"/>
        <v>14.842989441102318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IFERROR(__xludf.DUMMYFUNCTION("IMPORTRANGE(""https://docs.google.com/spreadsheets/d/11923uPwbBZFjjGgGUA6NLw09EwE0CqkOc4q9oUmW1yo/edit?usp=sharing"",""อุทัยธานี!M355"")"),0)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IFERROR(__xludf.DUMMYFUNCTION("IMPORTRANGE(""https://docs.google.com/spreadsheets/d/11923uPwbBZFjjGgGUA6NLw09EwE0CqkOc4q9oUmW1yo/edit?usp=sharing"",""อุทัยธานี!M356"")"),0)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IFERROR(__xludf.DUMMYFUNCTION("IMPORTRANGE(""https://docs.google.com/spreadsheets/d/11923uPwbBZFjjGgGUA6NLw09EwE0CqkOc4q9oUmW1yo/edit?usp=sharing"",""อุทัยธานี!M357"")"),0)</f>
        <v>0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IFERROR(__xludf.DUMMYFUNCTION("IMPORTRANGE(""https://docs.google.com/spreadsheets/d/11923uPwbBZFjjGgGUA6NLw09EwE0CqkOc4q9oUmW1yo/edit?usp=sharing"",""อุทัยธานี!M358"")"),47570)</f>
        <v>47570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IFERROR(__xludf.DUMMYFUNCTION("IMPORTRANGE(""https://docs.google.com/spreadsheets/d/11923uPwbBZFjjGgGUA6NLw09EwE0CqkOc4q9oUmW1yo/edit?usp=sharing"",""อุทัยธานี!I359"")"),24034)</f>
        <v>24034</v>
      </c>
      <c r="J464" s="268">
        <f ca="1">IFERROR(__xludf.DUMMYFUNCTION("IMPORTRANGE(""https://docs.google.com/spreadsheets/d/11923uPwbBZFjjGgGUA6NLw09EwE0CqkOc4q9oUmW1yo/edit?usp=sharing"",""อุทัยธานี!J359"")"),24034)</f>
        <v>24034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IFERROR(__xludf.DUMMYFUNCTION("IMPORTRANGE(""https://docs.google.com/spreadsheets/d/11923uPwbBZFjjGgGUA6NLw09EwE0CqkOc4q9oUmW1yo/edit?usp=sharing"",""อุทัยธานี!I360"")"),24034)</f>
        <v>24034</v>
      </c>
      <c r="J465" s="422">
        <f ca="1">IFERROR(__xludf.DUMMYFUNCTION("IMPORTRANGE(""https://docs.google.com/spreadsheets/d/11923uPwbBZFjjGgGUA6NLw09EwE0CqkOc4q9oUmW1yo/edit?usp=sharing"",""อุทัยธานี!J360"")"),24034.4)</f>
        <v>24034.400000000001</v>
      </c>
      <c r="K465" s="203">
        <f t="shared" ca="1" si="117"/>
        <v>100.00166430889573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IFERROR(__xludf.DUMMYFUNCTION("IMPORTRANGE(""https://docs.google.com/spreadsheets/d/11923uPwbBZFjjGgGUA6NLw09EwE0CqkOc4q9oUmW1yo/edit?usp=sharing"",""อุทัยธานี!I361"")"),2600)</f>
        <v>2600</v>
      </c>
      <c r="J466" s="422">
        <f ca="1">IFERROR(__xludf.DUMMYFUNCTION("IMPORTRANGE(""https://docs.google.com/spreadsheets/d/11923uPwbBZFjjGgGUA6NLw09EwE0CqkOc4q9oUmW1yo/edit?usp=sharing"",""อุทัยธานี!J361"")"),2600)</f>
        <v>2600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IFERROR(__xludf.DUMMYFUNCTION("IMPORTRANGE(""https://docs.google.com/spreadsheets/d/11923uPwbBZFjjGgGUA6NLw09EwE0CqkOc4q9oUmW1yo/edit?usp=sharing"",""อุทัยธานี!I362"")"),0)</f>
        <v>0</v>
      </c>
      <c r="J467" s="190">
        <f ca="1">IFERROR(__xludf.DUMMYFUNCTION("IMPORTRANGE(""https://docs.google.com/spreadsheets/d/11923uPwbBZFjjGgGUA6NLw09EwE0CqkOc4q9oUmW1yo/edit?usp=sharing"",""อุทัยธานี!J362"")"),17524)</f>
        <v>17524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IFERROR(__xludf.DUMMYFUNCTION("IMPORTRANGE(""https://docs.google.com/spreadsheets/d/11923uPwbBZFjjGgGUA6NLw09EwE0CqkOc4q9oUmW1yo/edit?usp=sharing"",""อุทัยธานี!I363"")"),0)</f>
        <v>0</v>
      </c>
      <c r="J468" s="190">
        <f ca="1">IFERROR(__xludf.DUMMYFUNCTION("IMPORTRANGE(""https://docs.google.com/spreadsheets/d/11923uPwbBZFjjGgGUA6NLw09EwE0CqkOc4q9oUmW1yo/edit?usp=sharing"",""อุทัยธานี!J363"")"),2103)</f>
        <v>2103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IFERROR(__xludf.DUMMYFUNCTION("IMPORTRANGE(""https://docs.google.com/spreadsheets/d/11923uPwbBZFjjGgGUA6NLw09EwE0CqkOc4q9oUmW1yo/edit?usp=sharing"",""อุทัยธานี!I364"")"),0)</f>
        <v>0</v>
      </c>
      <c r="J469" s="190">
        <f ca="1">IFERROR(__xludf.DUMMYFUNCTION("IMPORTRANGE(""https://docs.google.com/spreadsheets/d/11923uPwbBZFjjGgGUA6NLw09EwE0CqkOc4q9oUmW1yo/edit?usp=sharing"",""อุทัยธานี!J364"")"),5310.4)</f>
        <v>5310.4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IFERROR(__xludf.DUMMYFUNCTION("IMPORTRANGE(""https://docs.google.com/spreadsheets/d/11923uPwbBZFjjGgGUA6NLw09EwE0CqkOc4q9oUmW1yo/edit?usp=sharing"",""อุทัยธานี!I365"")"),0)</f>
        <v>0</v>
      </c>
      <c r="J470" s="190">
        <f ca="1">IFERROR(__xludf.DUMMYFUNCTION("IMPORTRANGE(""https://docs.google.com/spreadsheets/d/11923uPwbBZFjjGgGUA6NLw09EwE0CqkOc4q9oUmW1yo/edit?usp=sharing"",""อุทัยธานี!J365"")"),368)</f>
        <v>368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IFERROR(__xludf.DUMMYFUNCTION("IMPORTRANGE(""https://docs.google.com/spreadsheets/d/11923uPwbBZFjjGgGUA6NLw09EwE0CqkOc4q9oUmW1yo/edit?usp=sharing"",""อุทัยธานี!I366"")"),0)</f>
        <v>0</v>
      </c>
      <c r="J471" s="190">
        <f ca="1">IFERROR(__xludf.DUMMYFUNCTION("IMPORTRANGE(""https://docs.google.com/spreadsheets/d/11923uPwbBZFjjGgGUA6NLw09EwE0CqkOc4q9oUmW1yo/edit?usp=sharing"",""อุทัยธานี!J366"")"),1200)</f>
        <v>1200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IFERROR(__xludf.DUMMYFUNCTION("IMPORTRANGE(""https://docs.google.com/spreadsheets/d/11923uPwbBZFjjGgGUA6NLw09EwE0CqkOc4q9oUmW1yo/edit?usp=sharing"",""อุทัยธานี!I367"")"),0)</f>
        <v>0</v>
      </c>
      <c r="J472" s="190">
        <f ca="1">IFERROR(__xludf.DUMMYFUNCTION("IMPORTRANGE(""https://docs.google.com/spreadsheets/d/11923uPwbBZFjjGgGUA6NLw09EwE0CqkOc4q9oUmW1yo/edit?usp=sharing"",""อุทัยธานี!J367"")"),129)</f>
        <v>129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IFERROR(__xludf.DUMMYFUNCTION("IMPORTRANGE(""https://docs.google.com/spreadsheets/d/11923uPwbBZFjjGgGUA6NLw09EwE0CqkOc4q9oUmW1yo/edit?usp=sharing"",""อุทัยธานี!I368"")"),24034)</f>
        <v>24034</v>
      </c>
      <c r="J473" s="422">
        <f ca="1">IFERROR(__xludf.DUMMYFUNCTION("IMPORTRANGE(""https://docs.google.com/spreadsheets/d/11923uPwbBZFjjGgGUA6NLw09EwE0CqkOc4q9oUmW1yo/edit?usp=sharing"",""อุทัยธานี!J368"")"),24037)</f>
        <v>24037</v>
      </c>
      <c r="K473" s="203">
        <f t="shared" ca="1" si="117"/>
        <v>100.01248231671798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IFERROR(__xludf.DUMMYFUNCTION("IMPORTRANGE(""https://docs.google.com/spreadsheets/d/11923uPwbBZFjjGgGUA6NLw09EwE0CqkOc4q9oUmW1yo/edit?usp=sharing"",""อุทัยธานี!I369"")"),2600)</f>
        <v>2600</v>
      </c>
      <c r="J474" s="422">
        <f ca="1">IFERROR(__xludf.DUMMYFUNCTION("IMPORTRANGE(""https://docs.google.com/spreadsheets/d/11923uPwbBZFjjGgGUA6NLw09EwE0CqkOc4q9oUmW1yo/edit?usp=sharing"",""อุทัยธานี!J369"")"),2600)</f>
        <v>2600</v>
      </c>
      <c r="K474" s="165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IFERROR(__xludf.DUMMYFUNCTION("IMPORTRANGE(""https://docs.google.com/spreadsheets/d/11923uPwbBZFjjGgGUA6NLw09EwE0CqkOc4q9oUmW1yo/edit?usp=sharing"",""อุทัยธานี!I370"")"),0)</f>
        <v>0</v>
      </c>
      <c r="J475" s="190">
        <f ca="1">IFERROR(__xludf.DUMMYFUNCTION("IMPORTRANGE(""https://docs.google.com/spreadsheets/d/11923uPwbBZFjjGgGUA6NLw09EwE0CqkOc4q9oUmW1yo/edit?usp=sharing"",""อุทัยธานี!J370"")"),17808)</f>
        <v>17808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IFERROR(__xludf.DUMMYFUNCTION("IMPORTRANGE(""https://docs.google.com/spreadsheets/d/11923uPwbBZFjjGgGUA6NLw09EwE0CqkOc4q9oUmW1yo/edit?usp=sharing"",""อุทัยธานี!I371"")"),0)</f>
        <v>0</v>
      </c>
      <c r="J476" s="190">
        <f ca="1">IFERROR(__xludf.DUMMYFUNCTION("IMPORTRANGE(""https://docs.google.com/spreadsheets/d/11923uPwbBZFjjGgGUA6NLw09EwE0CqkOc4q9oUmW1yo/edit?usp=sharing"",""อุทัยธานี!J371"")"),2124)</f>
        <v>2124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IFERROR(__xludf.DUMMYFUNCTION("IMPORTRANGE(""https://docs.google.com/spreadsheets/d/11923uPwbBZFjjGgGUA6NLw09EwE0CqkOc4q9oUmW1yo/edit?usp=sharing"",""อุทัยธานี!I372"")"),0)</f>
        <v>0</v>
      </c>
      <c r="J477" s="190">
        <f ca="1">IFERROR(__xludf.DUMMYFUNCTION("IMPORTRANGE(""https://docs.google.com/spreadsheets/d/11923uPwbBZFjjGgGUA6NLw09EwE0CqkOc4q9oUmW1yo/edit?usp=sharing"",""อุทัยธานี!J372"")"),5029)</f>
        <v>5029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IFERROR(__xludf.DUMMYFUNCTION("IMPORTRANGE(""https://docs.google.com/spreadsheets/d/11923uPwbBZFjjGgGUA6NLw09EwE0CqkOc4q9oUmW1yo/edit?usp=sharing"",""อุทัยธานี!I373"")"),0)</f>
        <v>0</v>
      </c>
      <c r="J478" s="190">
        <f ca="1">IFERROR(__xludf.DUMMYFUNCTION("IMPORTRANGE(""https://docs.google.com/spreadsheets/d/11923uPwbBZFjjGgGUA6NLw09EwE0CqkOc4q9oUmW1yo/edit?usp=sharing"",""อุทัยธานี!J373"")"),347)</f>
        <v>347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IFERROR(__xludf.DUMMYFUNCTION("IMPORTRANGE(""https://docs.google.com/spreadsheets/d/11923uPwbBZFjjGgGUA6NLw09EwE0CqkOc4q9oUmW1yo/edit?usp=sharing"",""อุทัยธานี!I374"")"),0)</f>
        <v>0</v>
      </c>
      <c r="J479" s="190">
        <f ca="1">IFERROR(__xludf.DUMMYFUNCTION("IMPORTRANGE(""https://docs.google.com/spreadsheets/d/11923uPwbBZFjjGgGUA6NLw09EwE0CqkOc4q9oUmW1yo/edit?usp=sharing"",""อุทัยธานี!J374"")"),1200)</f>
        <v>1200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IFERROR(__xludf.DUMMYFUNCTION("IMPORTRANGE(""https://docs.google.com/spreadsheets/d/11923uPwbBZFjjGgGUA6NLw09EwE0CqkOc4q9oUmW1yo/edit?usp=sharing"",""อุทัยธานี!I375"")"),0)</f>
        <v>0</v>
      </c>
      <c r="J480" s="190">
        <f ca="1">IFERROR(__xludf.DUMMYFUNCTION("IMPORTRANGE(""https://docs.google.com/spreadsheets/d/11923uPwbBZFjjGgGUA6NLw09EwE0CqkOc4q9oUmW1yo/edit?usp=sharing"",""อุทัยธานี!J375"")"),129)</f>
        <v>129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IFERROR(__xludf.DUMMYFUNCTION("IMPORTRANGE(""https://docs.google.com/spreadsheets/d/11923uPwbBZFjjGgGUA6NLw09EwE0CqkOc4q9oUmW1yo/edit?usp=sharing"",""อุทัยธานี!I376"")"),24034)</f>
        <v>24034</v>
      </c>
      <c r="J481" s="422">
        <f ca="1">IFERROR(__xludf.DUMMYFUNCTION("IMPORTRANGE(""https://docs.google.com/spreadsheets/d/11923uPwbBZFjjGgGUA6NLw09EwE0CqkOc4q9oUmW1yo/edit?usp=sharing"",""อุทัยธานี!J376"")"),24034)</f>
        <v>24034</v>
      </c>
      <c r="K481" s="203">
        <f t="shared" ca="1" si="117"/>
        <v>100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IFERROR(__xludf.DUMMYFUNCTION("IMPORTRANGE(""https://docs.google.com/spreadsheets/d/11923uPwbBZFjjGgGUA6NLw09EwE0CqkOc4q9oUmW1yo/edit?usp=sharing"",""อุทัยธานี!I377"")"),2600)</f>
        <v>2600</v>
      </c>
      <c r="J482" s="422">
        <f ca="1">IFERROR(__xludf.DUMMYFUNCTION("IMPORTRANGE(""https://docs.google.com/spreadsheets/d/11923uPwbBZFjjGgGUA6NLw09EwE0CqkOc4q9oUmW1yo/edit?usp=sharing"",""อุทัยธานี!J377"")"),2600)</f>
        <v>2600</v>
      </c>
      <c r="K482" s="165">
        <f t="shared" ca="1" si="117"/>
        <v>100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IFERROR(__xludf.DUMMYFUNCTION("IMPORTRANGE(""https://docs.google.com/spreadsheets/d/11923uPwbBZFjjGgGUA6NLw09EwE0CqkOc4q9oUmW1yo/edit?usp=sharing"",""อุทัยธานี!I378"")"),0)</f>
        <v>0</v>
      </c>
      <c r="J483" s="190">
        <f ca="1">IFERROR(__xludf.DUMMYFUNCTION("IMPORTRANGE(""https://docs.google.com/spreadsheets/d/11923uPwbBZFjjGgGUA6NLw09EwE0CqkOc4q9oUmW1yo/edit?usp=sharing"",""อุทัยธานี!J378"")"),17805)</f>
        <v>17805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IFERROR(__xludf.DUMMYFUNCTION("IMPORTRANGE(""https://docs.google.com/spreadsheets/d/11923uPwbBZFjjGgGUA6NLw09EwE0CqkOc4q9oUmW1yo/edit?usp=sharing"",""อุทัยธานี!I379"")"),0)</f>
        <v>0</v>
      </c>
      <c r="J484" s="190">
        <f ca="1">IFERROR(__xludf.DUMMYFUNCTION("IMPORTRANGE(""https://docs.google.com/spreadsheets/d/11923uPwbBZFjjGgGUA6NLw09EwE0CqkOc4q9oUmW1yo/edit?usp=sharing"",""อุทัยธานี!J379"")"),2124)</f>
        <v>2124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IFERROR(__xludf.DUMMYFUNCTION("IMPORTRANGE(""https://docs.google.com/spreadsheets/d/11923uPwbBZFjjGgGUA6NLw09EwE0CqkOc4q9oUmW1yo/edit?usp=sharing"",""อุทัยธานี!I380"")"),0)</f>
        <v>0</v>
      </c>
      <c r="J485" s="190">
        <f ca="1">IFERROR(__xludf.DUMMYFUNCTION("IMPORTRANGE(""https://docs.google.com/spreadsheets/d/11923uPwbBZFjjGgGUA6NLw09EwE0CqkOc4q9oUmW1yo/edit?usp=sharing"",""อุทัยธานี!J380"")"),5029)</f>
        <v>5029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IFERROR(__xludf.DUMMYFUNCTION("IMPORTRANGE(""https://docs.google.com/spreadsheets/d/11923uPwbBZFjjGgGUA6NLw09EwE0CqkOc4q9oUmW1yo/edit?usp=sharing"",""อุทัยธานี!I381"")"),0)</f>
        <v>0</v>
      </c>
      <c r="J486" s="190">
        <f ca="1">IFERROR(__xludf.DUMMYFUNCTION("IMPORTRANGE(""https://docs.google.com/spreadsheets/d/11923uPwbBZFjjGgGUA6NLw09EwE0CqkOc4q9oUmW1yo/edit?usp=sharing"",""อุทัยธานี!J381"")"),347)</f>
        <v>347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IFERROR(__xludf.DUMMYFUNCTION("IMPORTRANGE(""https://docs.google.com/spreadsheets/d/11923uPwbBZFjjGgGUA6NLw09EwE0CqkOc4q9oUmW1yo/edit?usp=sharing"",""อุทัยธานี!I382"")"),0)</f>
        <v>0</v>
      </c>
      <c r="J487" s="422">
        <f ca="1">IFERROR(__xludf.DUMMYFUNCTION("IMPORTRANGE(""https://docs.google.com/spreadsheets/d/11923uPwbBZFjjGgGUA6NLw09EwE0CqkOc4q9oUmW1yo/edit?usp=sharing"",""อุทัยธานี!J382"")"),1200)</f>
        <v>1200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IFERROR(__xludf.DUMMYFUNCTION("IMPORTRANGE(""https://docs.google.com/spreadsheets/d/11923uPwbBZFjjGgGUA6NLw09EwE0CqkOc4q9oUmW1yo/edit?usp=sharing"",""อุทัยธานี!I383"")"),0)</f>
        <v>0</v>
      </c>
      <c r="J488" s="422">
        <f ca="1">IFERROR(__xludf.DUMMYFUNCTION("IMPORTRANGE(""https://docs.google.com/spreadsheets/d/11923uPwbBZFjjGgGUA6NLw09EwE0CqkOc4q9oUmW1yo/edit?usp=sharing"",""อุทัยธานี!J383"")"),129)</f>
        <v>129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IFERROR(__xludf.DUMMYFUNCTION("IMPORTRANGE(""https://docs.google.com/spreadsheets/d/11923uPwbBZFjjGgGUA6NLw09EwE0CqkOc4q9oUmW1yo/edit?usp=sharing"",""อุทัยธานี!I384"")"),0)</f>
        <v>0</v>
      </c>
      <c r="J489" s="190">
        <f ca="1">IFERROR(__xludf.DUMMYFUNCTION("IMPORTRANGE(""https://docs.google.com/spreadsheets/d/11923uPwbBZFjjGgGUA6NLw09EwE0CqkOc4q9oUmW1yo/edit?usp=sharing"",""อุทัยธานี!J384"")"),1102)</f>
        <v>1102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IFERROR(__xludf.DUMMYFUNCTION("IMPORTRANGE(""https://docs.google.com/spreadsheets/d/11923uPwbBZFjjGgGUA6NLw09EwE0CqkOc4q9oUmW1yo/edit?usp=sharing"",""อุทัยธานี!I385"")"),0)</f>
        <v>0</v>
      </c>
      <c r="J490" s="190">
        <f ca="1">IFERROR(__xludf.DUMMYFUNCTION("IMPORTRANGE(""https://docs.google.com/spreadsheets/d/11923uPwbBZFjjGgGUA6NLw09EwE0CqkOc4q9oUmW1yo/edit?usp=sharing"",""อุทัยธานี!J385"")"),118)</f>
        <v>118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IFERROR(__xludf.DUMMYFUNCTION("IMPORTRANGE(""https://docs.google.com/spreadsheets/d/11923uPwbBZFjjGgGUA6NLw09EwE0CqkOc4q9oUmW1yo/edit?usp=sharing"",""อุทัยธานี!I386"")"),0)</f>
        <v>0</v>
      </c>
      <c r="J491" s="190">
        <f ca="1">IFERROR(__xludf.DUMMYFUNCTION("IMPORTRANGE(""https://docs.google.com/spreadsheets/d/11923uPwbBZFjjGgGUA6NLw09EwE0CqkOc4q9oUmW1yo/edit?usp=sharing"",""อุทัยธานี!J386"")"),98)</f>
        <v>98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IFERROR(__xludf.DUMMYFUNCTION("IMPORTRANGE(""https://docs.google.com/spreadsheets/d/11923uPwbBZFjjGgGUA6NLw09EwE0CqkOc4q9oUmW1yo/edit?usp=sharing"",""อุทัยธานี!I387"")"),0)</f>
        <v>0</v>
      </c>
      <c r="J492" s="190">
        <f ca="1">IFERROR(__xludf.DUMMYFUNCTION("IMPORTRANGE(""https://docs.google.com/spreadsheets/d/11923uPwbBZFjjGgGUA6NLw09EwE0CqkOc4q9oUmW1yo/edit?usp=sharing"",""อุทัยธานี!J387"")"),11)</f>
        <v>11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IFERROR(__xludf.DUMMYFUNCTION("IMPORTRANGE(""https://docs.google.com/spreadsheets/d/11923uPwbBZFjjGgGUA6NLw09EwE0CqkOc4q9oUmW1yo/edit?usp=sharing"",""อุทัยธานี!I388"")"),0)</f>
        <v>0</v>
      </c>
      <c r="J493" s="190">
        <f ca="1">IFERROR(__xludf.DUMMYFUNCTION("IMPORTRANGE(""https://docs.google.com/spreadsheets/d/11923uPwbBZFjjGgGUA6NLw09EwE0CqkOc4q9oUmW1yo/edit?usp=sharing"",""อุทัยธานี!J388"")"),0)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IFERROR(__xludf.DUMMYFUNCTION("IMPORTRANGE(""https://docs.google.com/spreadsheets/d/11923uPwbBZFjjGgGUA6NLw09EwE0CqkOc4q9oUmW1yo/edit?usp=sharing"",""อุทัยธานี!I389"")"),0)</f>
        <v>0</v>
      </c>
      <c r="J494" s="438">
        <f ca="1">IFERROR(__xludf.DUMMYFUNCTION("IMPORTRANGE(""https://docs.google.com/spreadsheets/d/11923uPwbBZFjjGgGUA6NLw09EwE0CqkOc4q9oUmW1yo/edit?usp=sharing"",""อุทัยธานี!J389"")"),0)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IFERROR(__xludf.DUMMYFUNCTION("IMPORTRANGE(""https://docs.google.com/spreadsheets/d/11923uPwbBZFjjGgGUA6NLw09EwE0CqkOc4q9oUmW1yo/edit?usp=sharing"",""อุทัยธานี!I390"")"),0)</f>
        <v>0</v>
      </c>
      <c r="J495" s="438">
        <f ca="1">IFERROR(__xludf.DUMMYFUNCTION("IMPORTRANGE(""https://docs.google.com/spreadsheets/d/11923uPwbBZFjjGgGUA6NLw09EwE0CqkOc4q9oUmW1yo/edit?usp=sharing"",""อุทัยธานี!J390"")"),0)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IFERROR(__xludf.DUMMYFUNCTION("IMPORTRANGE(""https://docs.google.com/spreadsheets/d/11923uPwbBZFjjGgGUA6NLw09EwE0CqkOc4q9oUmW1yo/edit?usp=sharing"",""อุทัยธานี!I391"")"),0)</f>
        <v>0</v>
      </c>
      <c r="J496" s="438">
        <f ca="1">IFERROR(__xludf.DUMMYFUNCTION("IMPORTRANGE(""https://docs.google.com/spreadsheets/d/11923uPwbBZFjjGgGUA6NLw09EwE0CqkOc4q9oUmW1yo/edit?usp=sharing"",""อุทัยธานี!J391"")"),0)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IFERROR(__xludf.DUMMYFUNCTION("IMPORTRANGE(""https://docs.google.com/spreadsheets/d/11923uPwbBZFjjGgGUA6NLw09EwE0CqkOc4q9oUmW1yo/edit?usp=sharing"",""อุทัยธานี!I392"")"),7373)</f>
        <v>7373</v>
      </c>
      <c r="J497" s="445">
        <f ca="1">IFERROR(__xludf.DUMMYFUNCTION("IMPORTRANGE(""https://docs.google.com/spreadsheets/d/11923uPwbBZFjjGgGUA6NLw09EwE0CqkOc4q9oUmW1yo/edit?usp=sharing"",""อุทัยธานี!J392"")"),339.8)</f>
        <v>339.8</v>
      </c>
      <c r="K497" s="446">
        <f t="shared" ca="1" si="117"/>
        <v>4.6087074460870747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IFERROR(__xludf.DUMMYFUNCTION("IMPORTRANGE(""https://docs.google.com/spreadsheets/d/11923uPwbBZFjjGgGUA6NLw09EwE0CqkOc4q9oUmW1yo/edit?usp=sharing"",""อุทัยธานี!I393"")"),7373)</f>
        <v>7373</v>
      </c>
      <c r="J498" s="422">
        <f ca="1">IFERROR(__xludf.DUMMYFUNCTION("IMPORTRANGE(""https://docs.google.com/spreadsheets/d/11923uPwbBZFjjGgGUA6NLw09EwE0CqkOc4q9oUmW1yo/edit?usp=sharing"",""อุทัยธานี!J393"")"),339.8)</f>
        <v>339.8</v>
      </c>
      <c r="K498" s="165">
        <f t="shared" ca="1" si="117"/>
        <v>4.6087074460870747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IFERROR(__xludf.DUMMYFUNCTION("IMPORTRANGE(""https://docs.google.com/spreadsheets/d/11923uPwbBZFjjGgGUA6NLw09EwE0CqkOc4q9oUmW1yo/edit?usp=sharing"",""อุทัยธานี!I394"")"),412)</f>
        <v>412</v>
      </c>
      <c r="J499" s="422">
        <f ca="1">IFERROR(__xludf.DUMMYFUNCTION("IMPORTRANGE(""https://docs.google.com/spreadsheets/d/11923uPwbBZFjjGgGUA6NLw09EwE0CqkOc4q9oUmW1yo/edit?usp=sharing"",""อุทัยธานี!J394"")"),22)</f>
        <v>22</v>
      </c>
      <c r="K499" s="203">
        <f t="shared" ca="1" si="117"/>
        <v>5.3398058252427187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IFERROR(__xludf.DUMMYFUNCTION("IMPORTRANGE(""https://docs.google.com/spreadsheets/d/11923uPwbBZFjjGgGUA6NLw09EwE0CqkOc4q9oUmW1yo/edit?usp=sharing"",""อุทัยธานี!I395"")"),0)</f>
        <v>0</v>
      </c>
      <c r="J500" s="164">
        <f ca="1">IFERROR(__xludf.DUMMYFUNCTION("IMPORTRANGE(""https://docs.google.com/spreadsheets/d/11923uPwbBZFjjGgGUA6NLw09EwE0CqkOc4q9oUmW1yo/edit?usp=sharing"",""อุทัยธานี!J395"")"),339.8)</f>
        <v>339.8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IFERROR(__xludf.DUMMYFUNCTION("IMPORTRANGE(""https://docs.google.com/spreadsheets/d/11923uPwbBZFjjGgGUA6NLw09EwE0CqkOc4q9oUmW1yo/edit?usp=sharing"",""อุทัยธานี!I396"")"),0)</f>
        <v>0</v>
      </c>
      <c r="J501" s="164">
        <f ca="1">IFERROR(__xludf.DUMMYFUNCTION("IMPORTRANGE(""https://docs.google.com/spreadsheets/d/11923uPwbBZFjjGgGUA6NLw09EwE0CqkOc4q9oUmW1yo/edit?usp=sharing"",""อุทัยธานี!J396"")"),22)</f>
        <v>22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IFERROR(__xludf.DUMMYFUNCTION("IMPORTRANGE(""https://docs.google.com/spreadsheets/d/11923uPwbBZFjjGgGUA6NLw09EwE0CqkOc4q9oUmW1yo/edit?usp=sharing"",""อุทัยธานี!I397"")"),0)</f>
        <v>0</v>
      </c>
      <c r="J502" s="190">
        <f ca="1">IFERROR(__xludf.DUMMYFUNCTION("IMPORTRANGE(""https://docs.google.com/spreadsheets/d/11923uPwbBZFjjGgGUA6NLw09EwE0CqkOc4q9oUmW1yo/edit?usp=sharing"",""อุทัยธานี!J397"")"),313.8)</f>
        <v>313.8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IFERROR(__xludf.DUMMYFUNCTION("IMPORTRANGE(""https://docs.google.com/spreadsheets/d/11923uPwbBZFjjGgGUA6NLw09EwE0CqkOc4q9oUmW1yo/edit?usp=sharing"",""อุทัยธานี!I398"")"),0)</f>
        <v>0</v>
      </c>
      <c r="J503" s="199">
        <f ca="1">IFERROR(__xludf.DUMMYFUNCTION("IMPORTRANGE(""https://docs.google.com/spreadsheets/d/11923uPwbBZFjjGgGUA6NLw09EwE0CqkOc4q9oUmW1yo/edit?usp=sharing"",""อุทัยธานี!J398"")"),21)</f>
        <v>21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IFERROR(__xludf.DUMMYFUNCTION("IMPORTRANGE(""https://docs.google.com/spreadsheets/d/11923uPwbBZFjjGgGUA6NLw09EwE0CqkOc4q9oUmW1yo/edit?usp=sharing"",""อุทัยธานี!I399"")"),0)</f>
        <v>0</v>
      </c>
      <c r="J504" s="190">
        <f ca="1">IFERROR(__xludf.DUMMYFUNCTION("IMPORTRANGE(""https://docs.google.com/spreadsheets/d/11923uPwbBZFjjGgGUA6NLw09EwE0CqkOc4q9oUmW1yo/edit?usp=sharing"",""อุทัยธานี!J399"")"),0)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IFERROR(__xludf.DUMMYFUNCTION("IMPORTRANGE(""https://docs.google.com/spreadsheets/d/11923uPwbBZFjjGgGUA6NLw09EwE0CqkOc4q9oUmW1yo/edit?usp=sharing"",""อุทัยธานี!I400"")"),0)</f>
        <v>0</v>
      </c>
      <c r="J505" s="199">
        <f ca="1">IFERROR(__xludf.DUMMYFUNCTION("IMPORTRANGE(""https://docs.google.com/spreadsheets/d/11923uPwbBZFjjGgGUA6NLw09EwE0CqkOc4q9oUmW1yo/edit?usp=sharing"",""อุทัยธานี!J400"")"),0)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IFERROR(__xludf.DUMMYFUNCTION("IMPORTRANGE(""https://docs.google.com/spreadsheets/d/11923uPwbBZFjjGgGUA6NLw09EwE0CqkOc4q9oUmW1yo/edit?usp=sharing"",""อุทัยธานี!I401"")"),0)</f>
        <v>0</v>
      </c>
      <c r="J506" s="190">
        <f ca="1">IFERROR(__xludf.DUMMYFUNCTION("IMPORTRANGE(""https://docs.google.com/spreadsheets/d/11923uPwbBZFjjGgGUA6NLw09EwE0CqkOc4q9oUmW1yo/edit?usp=sharing"",""อุทัยธานี!J401"")"),26)</f>
        <v>26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IFERROR(__xludf.DUMMYFUNCTION("IMPORTRANGE(""https://docs.google.com/spreadsheets/d/11923uPwbBZFjjGgGUA6NLw09EwE0CqkOc4q9oUmW1yo/edit?usp=sharing"",""อุทัยธานี!I402"")"),0)</f>
        <v>0</v>
      </c>
      <c r="J507" s="199">
        <f ca="1">IFERROR(__xludf.DUMMYFUNCTION("IMPORTRANGE(""https://docs.google.com/spreadsheets/d/11923uPwbBZFjjGgGUA6NLw09EwE0CqkOc4q9oUmW1yo/edit?usp=sharing"",""อุทัยธานี!J402"")"),1)</f>
        <v>1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IFERROR(__xludf.DUMMYFUNCTION("IMPORTRANGE(""https://docs.google.com/spreadsheets/d/11923uPwbBZFjjGgGUA6NLw09EwE0CqkOc4q9oUmW1yo/edit?usp=sharing"",""อุทัยธานี!I403"")"),0)</f>
        <v>0</v>
      </c>
      <c r="J508" s="164">
        <f ca="1">IFERROR(__xludf.DUMMYFUNCTION("IMPORTRANGE(""https://docs.google.com/spreadsheets/d/11923uPwbBZFjjGgGUA6NLw09EwE0CqkOc4q9oUmW1yo/edit?usp=sharing"",""อุทัยธานี!J403"")"),0)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IFERROR(__xludf.DUMMYFUNCTION("IMPORTRANGE(""https://docs.google.com/spreadsheets/d/11923uPwbBZFjjGgGUA6NLw09EwE0CqkOc4q9oUmW1yo/edit?usp=sharing"",""อุทัยธานี!I404"")"),0)</f>
        <v>0</v>
      </c>
      <c r="J509" s="164">
        <f ca="1">IFERROR(__xludf.DUMMYFUNCTION("IMPORTRANGE(""https://docs.google.com/spreadsheets/d/11923uPwbBZFjjGgGUA6NLw09EwE0CqkOc4q9oUmW1yo/edit?usp=sharing"",""อุทัยธานี!J404"")"),0)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IFERROR(__xludf.DUMMYFUNCTION("IMPORTRANGE(""https://docs.google.com/spreadsheets/d/11923uPwbBZFjjGgGUA6NLw09EwE0CqkOc4q9oUmW1yo/edit?usp=sharing"",""อุทัยธานี!I405"")"),0)</f>
        <v>0</v>
      </c>
      <c r="J510" s="199">
        <f ca="1">IFERROR(__xludf.DUMMYFUNCTION("IMPORTRANGE(""https://docs.google.com/spreadsheets/d/11923uPwbBZFjjGgGUA6NLw09EwE0CqkOc4q9oUmW1yo/edit?usp=sharing"",""อุทัยธานี!J405"")"),0)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IFERROR(__xludf.DUMMYFUNCTION("IMPORTRANGE(""https://docs.google.com/spreadsheets/d/11923uPwbBZFjjGgGUA6NLw09EwE0CqkOc4q9oUmW1yo/edit?usp=sharing"",""อุทัยธานี!I406"")"),0)</f>
        <v>0</v>
      </c>
      <c r="J511" s="199">
        <f ca="1">IFERROR(__xludf.DUMMYFUNCTION("IMPORTRANGE(""https://docs.google.com/spreadsheets/d/11923uPwbBZFjjGgGUA6NLw09EwE0CqkOc4q9oUmW1yo/edit?usp=sharing"",""อุทัยธานี!J406"")"),0)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IFERROR(__xludf.DUMMYFUNCTION("IMPORTRANGE(""https://docs.google.com/spreadsheets/d/11923uPwbBZFjjGgGUA6NLw09EwE0CqkOc4q9oUmW1yo/edit?usp=sharing"",""อุทัยธานี!I407"")"),0)</f>
        <v>0</v>
      </c>
      <c r="J512" s="199">
        <f ca="1">IFERROR(__xludf.DUMMYFUNCTION("IMPORTRANGE(""https://docs.google.com/spreadsheets/d/11923uPwbBZFjjGgGUA6NLw09EwE0CqkOc4q9oUmW1yo/edit?usp=sharing"",""อุทัยธานี!J407"")"),0)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IFERROR(__xludf.DUMMYFUNCTION("IMPORTRANGE(""https://docs.google.com/spreadsheets/d/11923uPwbBZFjjGgGUA6NLw09EwE0CqkOc4q9oUmW1yo/edit?usp=sharing"",""อุทัยธานี!I408"")"),0)</f>
        <v>0</v>
      </c>
      <c r="J513" s="199">
        <f ca="1">IFERROR(__xludf.DUMMYFUNCTION("IMPORTRANGE(""https://docs.google.com/spreadsheets/d/11923uPwbBZFjjGgGUA6NLw09EwE0CqkOc4q9oUmW1yo/edit?usp=sharing"",""อุทัยธานี!J408"")"),0)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IFERROR(__xludf.DUMMYFUNCTION("IMPORTRANGE(""https://docs.google.com/spreadsheets/d/11923uPwbBZFjjGgGUA6NLw09EwE0CqkOc4q9oUmW1yo/edit?usp=sharing"",""อุทัยธานี!I409"")"),0)</f>
        <v>0</v>
      </c>
      <c r="J514" s="199">
        <f ca="1">IFERROR(__xludf.DUMMYFUNCTION("IMPORTRANGE(""https://docs.google.com/spreadsheets/d/11923uPwbBZFjjGgGUA6NLw09EwE0CqkOc4q9oUmW1yo/edit?usp=sharing"",""อุทัยธานี!J409"")"),0)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IFERROR(__xludf.DUMMYFUNCTION("IMPORTRANGE(""https://docs.google.com/spreadsheets/d/11923uPwbBZFjjGgGUA6NLw09EwE0CqkOc4q9oUmW1yo/edit?usp=sharing"",""อุทัยธานี!I410"")"),0)</f>
        <v>0</v>
      </c>
      <c r="J515" s="199">
        <f ca="1">IFERROR(__xludf.DUMMYFUNCTION("IMPORTRANGE(""https://docs.google.com/spreadsheets/d/11923uPwbBZFjjGgGUA6NLw09EwE0CqkOc4q9oUmW1yo/edit?usp=sharing"",""อุทัยธานี!J410"")"),0)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IFERROR(__xludf.DUMMYFUNCTION("IMPORTRANGE(""https://docs.google.com/spreadsheets/d/11923uPwbBZFjjGgGUA6NLw09EwE0CqkOc4q9oUmW1yo/edit?usp=sharing"",""อุทัยธานี!I411"")"),0)</f>
        <v>0</v>
      </c>
      <c r="J516" s="268">
        <f ca="1">IFERROR(__xludf.DUMMYFUNCTION("IMPORTRANGE(""https://docs.google.com/spreadsheets/d/11923uPwbBZFjjGgGUA6NLw09EwE0CqkOc4q9oUmW1yo/edit?usp=sharing"",""อุทัยธานี!J411"")"),0)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IFERROR(__xludf.DUMMYFUNCTION("IMPORTRANGE(""https://docs.google.com/spreadsheets/d/11923uPwbBZFjjGgGUA6NLw09EwE0CqkOc4q9oUmW1yo/edit?usp=sharing"",""อุทัยธานี!I412"")"),0)</f>
        <v>0</v>
      </c>
      <c r="J517" s="285">
        <f ca="1">IFERROR(__xludf.DUMMYFUNCTION("IMPORTRANGE(""https://docs.google.com/spreadsheets/d/11923uPwbBZFjjGgGUA6NLw09EwE0CqkOc4q9oUmW1yo/edit?usp=sharing"",""อุทัยธานี!J412"")"),0)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IFERROR(__xludf.DUMMYFUNCTION("IMPORTRANGE(""https://docs.google.com/spreadsheets/d/11923uPwbBZFjjGgGUA6NLw09EwE0CqkOc4q9oUmW1yo/edit?usp=sharing"",""อุทัยธานี!I413"")"),0)</f>
        <v>0</v>
      </c>
      <c r="J518" s="285">
        <f ca="1">IFERROR(__xludf.DUMMYFUNCTION("IMPORTRANGE(""https://docs.google.com/spreadsheets/d/11923uPwbBZFjjGgGUA6NLw09EwE0CqkOc4q9oUmW1yo/edit?usp=sharing"",""อุทัยธานี!J413"")"),0)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IFERROR(__xludf.DUMMYFUNCTION("IMPORTRANGE(""https://docs.google.com/spreadsheets/d/11923uPwbBZFjjGgGUA6NLw09EwE0CqkOc4q9oUmW1yo/edit?usp=sharing"",""อุทัยธานี!I414"")"),0)</f>
        <v>0</v>
      </c>
      <c r="J519" s="189">
        <f ca="1">IFERROR(__xludf.DUMMYFUNCTION("IMPORTRANGE(""https://docs.google.com/spreadsheets/d/11923uPwbBZFjjGgGUA6NLw09EwE0CqkOc4q9oUmW1yo/edit?usp=sharing"",""อุทัยธานี!J414"")"),0)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IFERROR(__xludf.DUMMYFUNCTION("IMPORTRANGE(""https://docs.google.com/spreadsheets/d/11923uPwbBZFjjGgGUA6NLw09EwE0CqkOc4q9oUmW1yo/edit?usp=sharing"",""อุทัยธานี!I415"")"),0)</f>
        <v>0</v>
      </c>
      <c r="J520" s="189">
        <f ca="1">IFERROR(__xludf.DUMMYFUNCTION("IMPORTRANGE(""https://docs.google.com/spreadsheets/d/11923uPwbBZFjjGgGUA6NLw09EwE0CqkOc4q9oUmW1yo/edit?usp=sharing"",""อุทัยธานี!J415"")"),0)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IFERROR(__xludf.DUMMYFUNCTION("IMPORTRANGE(""https://docs.google.com/spreadsheets/d/11923uPwbBZFjjGgGUA6NLw09EwE0CqkOc4q9oUmW1yo/edit?usp=sharing"",""อุทัยธานี!I416"")"),0)</f>
        <v>0</v>
      </c>
      <c r="J521" s="189">
        <f ca="1">IFERROR(__xludf.DUMMYFUNCTION("IMPORTRANGE(""https://docs.google.com/spreadsheets/d/11923uPwbBZFjjGgGUA6NLw09EwE0CqkOc4q9oUmW1yo/edit?usp=sharing"",""อุทัยธานี!J416"")"),0)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IFERROR(__xludf.DUMMYFUNCTION("IMPORTRANGE(""https://docs.google.com/spreadsheets/d/11923uPwbBZFjjGgGUA6NLw09EwE0CqkOc4q9oUmW1yo/edit?usp=sharing"",""อุทัยธานี!I417"")"),0)</f>
        <v>0</v>
      </c>
      <c r="J522" s="189">
        <f ca="1">IFERROR(__xludf.DUMMYFUNCTION("IMPORTRANGE(""https://docs.google.com/spreadsheets/d/11923uPwbBZFjjGgGUA6NLw09EwE0CqkOc4q9oUmW1yo/edit?usp=sharing"",""อุทัยธานี!J417"")"),0)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IFERROR(__xludf.DUMMYFUNCTION("IMPORTRANGE(""https://docs.google.com/spreadsheets/d/11923uPwbBZFjjGgGUA6NLw09EwE0CqkOc4q9oUmW1yo/edit?usp=sharing"",""อุทัยธานี!I418"")"),0)</f>
        <v>0</v>
      </c>
      <c r="J523" s="189">
        <f ca="1">IFERROR(__xludf.DUMMYFUNCTION("IMPORTRANGE(""https://docs.google.com/spreadsheets/d/11923uPwbBZFjjGgGUA6NLw09EwE0CqkOc4q9oUmW1yo/edit?usp=sharing"",""อุทัยธานี!J418"")"),843)</f>
        <v>843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IFERROR(__xludf.DUMMYFUNCTION("IMPORTRANGE(""https://docs.google.com/spreadsheets/d/11923uPwbBZFjjGgGUA6NLw09EwE0CqkOc4q9oUmW1yo/edit?usp=sharing"",""อุทัยธานี!I419"")"),0)</f>
        <v>0</v>
      </c>
      <c r="J524" s="189">
        <f ca="1">IFERROR(__xludf.DUMMYFUNCTION("IMPORTRANGE(""https://docs.google.com/spreadsheets/d/11923uPwbBZFjjGgGUA6NLw09EwE0CqkOc4q9oUmW1yo/edit?usp=sharing"",""อุทัยธานี!J419"")"),80)</f>
        <v>80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IFERROR(__xludf.DUMMYFUNCTION("IMPORTRANGE(""https://docs.google.com/spreadsheets/d/11923uPwbBZFjjGgGUA6NLw09EwE0CqkOc4q9oUmW1yo/edit?usp=sharing"",""อุทัยธานี!I420"")"),843)</f>
        <v>843</v>
      </c>
      <c r="J525" s="285">
        <f ca="1">IFERROR(__xludf.DUMMYFUNCTION("IMPORTRANGE(""https://docs.google.com/spreadsheets/d/11923uPwbBZFjjGgGUA6NLw09EwE0CqkOc4q9oUmW1yo/edit?usp=sharing"",""อุทัยธานี!J420"")"),828)</f>
        <v>828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IFERROR(__xludf.DUMMYFUNCTION("IMPORTRANGE(""https://docs.google.com/spreadsheets/d/11923uPwbBZFjjGgGUA6NLw09EwE0CqkOc4q9oUmW1yo/edit?usp=sharing"",""อุทัยธานี!I421"")"),80)</f>
        <v>80</v>
      </c>
      <c r="J526" s="285">
        <f ca="1">IFERROR(__xludf.DUMMYFUNCTION("IMPORTRANGE(""https://docs.google.com/spreadsheets/d/11923uPwbBZFjjGgGUA6NLw09EwE0CqkOc4q9oUmW1yo/edit?usp=sharing"",""อุทัยธานี!J421"")"),56)</f>
        <v>56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IFERROR(__xludf.DUMMYFUNCTION("IMPORTRANGE(""https://docs.google.com/spreadsheets/d/11923uPwbBZFjjGgGUA6NLw09EwE0CqkOc4q9oUmW1yo/edit?usp=sharing"",""อุทัยธานี!I422"")"),0)</f>
        <v>0</v>
      </c>
      <c r="J527" s="199">
        <f ca="1">IFERROR(__xludf.DUMMYFUNCTION("IMPORTRANGE(""https://docs.google.com/spreadsheets/d/11923uPwbBZFjjGgGUA6NLw09EwE0CqkOc4q9oUmW1yo/edit?usp=sharing"",""อุทัยธานี!J422"")"),137)</f>
        <v>137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IFERROR(__xludf.DUMMYFUNCTION("IMPORTRANGE(""https://docs.google.com/spreadsheets/d/11923uPwbBZFjjGgGUA6NLw09EwE0CqkOc4q9oUmW1yo/edit?usp=sharing"",""อุทัยธานี!I423"")"),0)</f>
        <v>0</v>
      </c>
      <c r="J528" s="199">
        <f ca="1">IFERROR(__xludf.DUMMYFUNCTION("IMPORTRANGE(""https://docs.google.com/spreadsheets/d/11923uPwbBZFjjGgGUA6NLw09EwE0CqkOc4q9oUmW1yo/edit?usp=sharing"",""อุทัยธานี!J423"")"),12)</f>
        <v>12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IFERROR(__xludf.DUMMYFUNCTION("IMPORTRANGE(""https://docs.google.com/spreadsheets/d/11923uPwbBZFjjGgGUA6NLw09EwE0CqkOc4q9oUmW1yo/edit?usp=sharing"",""อุทัยธานี!I424"")"),0)</f>
        <v>0</v>
      </c>
      <c r="J529" s="199">
        <f ca="1">IFERROR(__xludf.DUMMYFUNCTION("IMPORTRANGE(""https://docs.google.com/spreadsheets/d/11923uPwbBZFjjGgGUA6NLw09EwE0CqkOc4q9oUmW1yo/edit?usp=sharing"",""อุทัยธานี!J424"")"),691)</f>
        <v>691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IFERROR(__xludf.DUMMYFUNCTION("IMPORTRANGE(""https://docs.google.com/spreadsheets/d/11923uPwbBZFjjGgGUA6NLw09EwE0CqkOc4q9oUmW1yo/edit?usp=sharing"",""อุทัยธานี!I425"")"),0)</f>
        <v>0</v>
      </c>
      <c r="J530" s="199">
        <f ca="1">IFERROR(__xludf.DUMMYFUNCTION("IMPORTRANGE(""https://docs.google.com/spreadsheets/d/11923uPwbBZFjjGgGUA6NLw09EwE0CqkOc4q9oUmW1yo/edit?usp=sharing"",""อุทัยธานี!J425"")"),44)</f>
        <v>44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IFERROR(__xludf.DUMMYFUNCTION("IMPORTRANGE(""https://docs.google.com/spreadsheets/d/11923uPwbBZFjjGgGUA6NLw09EwE0CqkOc4q9oUmW1yo/edit?usp=sharing"",""อุทัยธานี!I426"")"),0)</f>
        <v>0</v>
      </c>
      <c r="J531" s="199">
        <f ca="1">IFERROR(__xludf.DUMMYFUNCTION("IMPORTRANGE(""https://docs.google.com/spreadsheets/d/11923uPwbBZFjjGgGUA6NLw09EwE0CqkOc4q9oUmW1yo/edit?usp=sharing"",""อุทัยธานี!J426"")"),0)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IFERROR(__xludf.DUMMYFUNCTION("IMPORTRANGE(""https://docs.google.com/spreadsheets/d/11923uPwbBZFjjGgGUA6NLw09EwE0CqkOc4q9oUmW1yo/edit?usp=sharing"",""อุทัยธานี!I427"")"),0)</f>
        <v>0</v>
      </c>
      <c r="J532" s="468">
        <f ca="1">IFERROR(__xludf.DUMMYFUNCTION("IMPORTRANGE(""https://docs.google.com/spreadsheets/d/11923uPwbBZFjjGgGUA6NLw09EwE0CqkOc4q9oUmW1yo/edit?usp=sharing"",""อุทัยธานี!J427"")"),0)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IFERROR(__xludf.DUMMYFUNCTION("IMPORTRANGE(""https://docs.google.com/spreadsheets/d/11923uPwbBZFjjGgGUA6NLw09EwE0CqkOc4q9oUmW1yo/edit?usp=sharing"",""อุทัยธานี!I428"")"),24)</f>
        <v>24</v>
      </c>
      <c r="J533" s="411">
        <f ca="1">IFERROR(__xludf.DUMMYFUNCTION("IMPORTRANGE(""https://docs.google.com/spreadsheets/d/11923uPwbBZFjjGgGUA6NLw09EwE0CqkOc4q9oUmW1yo/edit?usp=sharing"",""อุทัยธานี!J428"")"),24)</f>
        <v>24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IFERROR(__xludf.DUMMYFUNCTION("IMPORTRANGE(""https://docs.google.com/spreadsheets/d/11923uPwbBZFjjGgGUA6NLw09EwE0CqkOc4q9oUmW1yo/edit?usp=sharing"",""อุทัยธานี!L428"")"),36040)</f>
        <v>36040</v>
      </c>
      <c r="M533" s="413"/>
      <c r="N533" s="413">
        <f ca="1">IFERROR(__xludf.DUMMYFUNCTION("IMPORTRANGE(""https://docs.google.com/spreadsheets/d/11923uPwbBZFjjGgGUA6NLw09EwE0CqkOc4q9oUmW1yo/edit?usp=sharing"",""อุทัยธานี!M428"")"),30290)</f>
        <v>30290</v>
      </c>
      <c r="O533" s="413">
        <f t="shared" ref="O533:O537" ca="1" si="118">+IF(L533&gt;0,N533*100/L533,0)</f>
        <v>84.04550499445061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IFERROR(__xludf.DUMMYFUNCTION("IMPORTRANGE(""https://docs.google.com/spreadsheets/d/11923uPwbBZFjjGgGUA6NLw09EwE0CqkOc4q9oUmW1yo/edit?usp=sharing"",""อุทัยธานี!L429"")"),0)</f>
        <v>0</v>
      </c>
      <c r="M534" s="166"/>
      <c r="N534" s="170">
        <f ca="1">IFERROR(__xludf.DUMMYFUNCTION("IMPORTRANGE(""https://docs.google.com/spreadsheets/d/11923uPwbBZFjjGgGUA6NLw09EwE0CqkOc4q9oUmW1yo/edit?usp=sharing"",""อุทัยธานี!M429"")"),0)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IFERROR(__xludf.DUMMYFUNCTION("IMPORTRANGE(""https://docs.google.com/spreadsheets/d/11923uPwbBZFjjGgGUA6NLw09EwE0CqkOc4q9oUmW1yo/edit?usp=sharing"",""อุทัยธานี!L430"")"),36040)</f>
        <v>36040</v>
      </c>
      <c r="M535" s="167"/>
      <c r="N535" s="170">
        <f ca="1">IFERROR(__xludf.DUMMYFUNCTION("IMPORTRANGE(""https://docs.google.com/spreadsheets/d/11923uPwbBZFjjGgGUA6NLw09EwE0CqkOc4q9oUmW1yo/edit?usp=sharing"",""อุทัยธานี!M430"")"),30290)</f>
        <v>30290</v>
      </c>
      <c r="O535" s="170">
        <f t="shared" ca="1" si="118"/>
        <v>84.04550499445061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IFERROR(__xludf.DUMMYFUNCTION("IMPORTRANGE(""https://docs.google.com/spreadsheets/d/11923uPwbBZFjjGgGUA6NLw09EwE0CqkOc4q9oUmW1yo/edit?usp=sharing"",""อุทัยธานี!L431"")"),0)</f>
        <v>0</v>
      </c>
      <c r="M536" s="170"/>
      <c r="N536" s="170">
        <f ca="1">IFERROR(__xludf.DUMMYFUNCTION("IMPORTRANGE(""https://docs.google.com/spreadsheets/d/11923uPwbBZFjjGgGUA6NLw09EwE0CqkOc4q9oUmW1yo/edit?usp=sharing"",""อุทัยธานี!M431"")"),0)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IFERROR(__xludf.DUMMYFUNCTION("IMPORTRANGE(""https://docs.google.com/spreadsheets/d/11923uPwbBZFjjGgGUA6NLw09EwE0CqkOc4q9oUmW1yo/edit?usp=sharing"",""อุทัยธานี!L432"")"),36040)</f>
        <v>36040</v>
      </c>
      <c r="M537" s="170"/>
      <c r="N537" s="170">
        <f ca="1">IFERROR(__xludf.DUMMYFUNCTION("IMPORTRANGE(""https://docs.google.com/spreadsheets/d/11923uPwbBZFjjGgGUA6NLw09EwE0CqkOc4q9oUmW1yo/edit?usp=sharing"",""อุทัยธานี!M432"")"),30290)</f>
        <v>30290</v>
      </c>
      <c r="O537" s="170">
        <f t="shared" ca="1" si="118"/>
        <v>84.04550499445061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IFERROR(__xludf.DUMMYFUNCTION("IMPORTRANGE(""https://docs.google.com/spreadsheets/d/11923uPwbBZFjjGgGUA6NLw09EwE0CqkOc4q9oUmW1yo/edit?usp=sharing"",""อุทัยธานี!M433"")"),20440)</f>
        <v>20440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IFERROR(__xludf.DUMMYFUNCTION("IMPORTRANGE(""https://docs.google.com/spreadsheets/d/11923uPwbBZFjjGgGUA6NLw09EwE0CqkOc4q9oUmW1yo/edit?usp=sharing"",""อุทัยธานี!M434"")"),0)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IFERROR(__xludf.DUMMYFUNCTION("IMPORTRANGE(""https://docs.google.com/spreadsheets/d/11923uPwbBZFjjGgGUA6NLw09EwE0CqkOc4q9oUmW1yo/edit?usp=sharing"",""อุทัยธานี!M435"")"),0)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IFERROR(__xludf.DUMMYFUNCTION("IMPORTRANGE(""https://docs.google.com/spreadsheets/d/11923uPwbBZFjjGgGUA6NLw09EwE0CqkOc4q9oUmW1yo/edit?usp=sharing"",""อุทัยธานี!M436"")"),9850)</f>
        <v>9850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IFERROR(__xludf.DUMMYFUNCTION("IMPORTRANGE(""https://docs.google.com/spreadsheets/d/11923uPwbBZFjjGgGUA6NLw09EwE0CqkOc4q9oUmW1yo/edit?usp=sharing"",""อุทัยธานี!J438"")"),0)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IFERROR(__xludf.DUMMYFUNCTION("IMPORTRANGE(""https://docs.google.com/spreadsheets/d/11923uPwbBZFjjGgGUA6NLw09EwE0CqkOc4q9oUmW1yo/edit?usp=sharing"",""อุทัยธานี!J439"")"),1)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IFERROR(__xludf.DUMMYFUNCTION("IMPORTRANGE(""https://docs.google.com/spreadsheets/d/11923uPwbBZFjjGgGUA6NLw09EwE0CqkOc4q9oUmW1yo/edit?usp=sharing"",""อุทัยธานี!J440"")"),1)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IFERROR(__xludf.DUMMYFUNCTION("IMPORTRANGE(""https://docs.google.com/spreadsheets/d/11923uPwbBZFjjGgGUA6NLw09EwE0CqkOc4q9oUmW1yo/edit?usp=sharing"",""อุทัยธานี!J441"")"),1)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IFERROR(__xludf.DUMMYFUNCTION("IMPORTRANGE(""https://docs.google.com/spreadsheets/d/11923uPwbBZFjjGgGUA6NLw09EwE0CqkOc4q9oUmW1yo/edit?usp=sharing"",""อุทัยธานี!I442"")"),24)</f>
        <v>24</v>
      </c>
      <c r="J547" s="190">
        <f ca="1">IFERROR(__xludf.DUMMYFUNCTION("IMPORTRANGE(""https://docs.google.com/spreadsheets/d/11923uPwbBZFjjGgGUA6NLw09EwE0CqkOc4q9oUmW1yo/edit?usp=sharing"",""อุทัยธานี!J442"")"),24)</f>
        <v>24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IFERROR(__xludf.DUMMYFUNCTION("IMPORTRANGE(""https://docs.google.com/spreadsheets/d/11923uPwbBZFjjGgGUA6NLw09EwE0CqkOc4q9oUmW1yo/edit?usp=sharing"",""อุทัยธานี!J166"")"),0)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IFERROR(__xludf.DUMMYFUNCTION("IMPORTRANGE(""https://docs.google.com/spreadsheets/d/11923uPwbBZFjjGgGUA6NLw09EwE0CqkOc4q9oUmW1yo/edit?usp=sharing"",""อุทัยธานี!J444"")"),0)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IFERROR(__xludf.DUMMYFUNCTION("IMPORTRANGE(""https://docs.google.com/spreadsheets/d/11923uPwbBZFjjGgGUA6NLw09EwE0CqkOc4q9oUmW1yo/edit?usp=sharing"",""อุทัยธานี!J445"")"),0)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IFERROR(__xludf.DUMMYFUNCTION("IMPORTRANGE(""https://docs.google.com/spreadsheets/d/11923uPwbBZFjjGgGUA6NLw09EwE0CqkOc4q9oUmW1yo/edit?usp=sharing"",""อุทัยธานี!I446"")"),0)</f>
        <v>0</v>
      </c>
      <c r="J551" s="411">
        <f ca="1">IFERROR(__xludf.DUMMYFUNCTION("IMPORTRANGE(""https://docs.google.com/spreadsheets/d/11923uPwbBZFjjGgGUA6NLw09EwE0CqkOc4q9oUmW1yo/edit?usp=sharing"",""อุทัยธานี!J446"")"),0)</f>
        <v>0</v>
      </c>
      <c r="K551" s="412">
        <f ca="1">IF(I551&gt;0,J551*100/I551,0)</f>
        <v>0</v>
      </c>
      <c r="L551" s="413">
        <f ca="1">IFERROR(__xludf.DUMMYFUNCTION("IMPORTRANGE(""https://docs.google.com/spreadsheets/d/11923uPwbBZFjjGgGUA6NLw09EwE0CqkOc4q9oUmW1yo/edit?usp=sharing"",""อุทัยธานี!L446"")"),0)</f>
        <v>0</v>
      </c>
      <c r="M551" s="413"/>
      <c r="N551" s="413">
        <f ca="1">IFERROR(__xludf.DUMMYFUNCTION("IMPORTRANGE(""https://docs.google.com/spreadsheets/d/11923uPwbBZFjjGgGUA6NLw09EwE0CqkOc4q9oUmW1yo/edit?usp=sharing"",""อุทัยธานี!M446"")"),0)</f>
        <v>0</v>
      </c>
      <c r="O551" s="413">
        <f t="shared" ref="O551:O555" ca="1" si="120">+IF(L551&gt;0,N551*100/L551,0)</f>
        <v>0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IFERROR(__xludf.DUMMYFUNCTION("IMPORTRANGE(""https://docs.google.com/spreadsheets/d/11923uPwbBZFjjGgGUA6NLw09EwE0CqkOc4q9oUmW1yo/edit?usp=sharing"",""อุทัยธานี!L447"")"),0)</f>
        <v>0</v>
      </c>
      <c r="M552" s="166"/>
      <c r="N552" s="170">
        <f ca="1">IFERROR(__xludf.DUMMYFUNCTION("IMPORTRANGE(""https://docs.google.com/spreadsheets/d/11923uPwbBZFjjGgGUA6NLw09EwE0CqkOc4q9oUmW1yo/edit?usp=sharing"",""อุทัยธานี!M447"")"),0)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IFERROR(__xludf.DUMMYFUNCTION("IMPORTRANGE(""https://docs.google.com/spreadsheets/d/11923uPwbBZFjjGgGUA6NLw09EwE0CqkOc4q9oUmW1yo/edit?usp=sharing"",""อุทัยธานี!L448"")"),0)</f>
        <v>0</v>
      </c>
      <c r="M553" s="167"/>
      <c r="N553" s="170">
        <f ca="1">IFERROR(__xludf.DUMMYFUNCTION("IMPORTRANGE(""https://docs.google.com/spreadsheets/d/11923uPwbBZFjjGgGUA6NLw09EwE0CqkOc4q9oUmW1yo/edit?usp=sharing"",""อุทัยธานี!M448"")"),0)</f>
        <v>0</v>
      </c>
      <c r="O553" s="170">
        <f t="shared" ca="1" si="120"/>
        <v>0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IFERROR(__xludf.DUMMYFUNCTION("IMPORTRANGE(""https://docs.google.com/spreadsheets/d/11923uPwbBZFjjGgGUA6NLw09EwE0CqkOc4q9oUmW1yo/edit?usp=sharing"",""อุทัยธานี!L449"")"),0)</f>
        <v>0</v>
      </c>
      <c r="M554" s="170"/>
      <c r="N554" s="170">
        <f ca="1">IFERROR(__xludf.DUMMYFUNCTION("IMPORTRANGE(""https://docs.google.com/spreadsheets/d/11923uPwbBZFjjGgGUA6NLw09EwE0CqkOc4q9oUmW1yo/edit?usp=sharing"",""อุทัยธานี!M449"")"),0)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IFERROR(__xludf.DUMMYFUNCTION("IMPORTRANGE(""https://docs.google.com/spreadsheets/d/11923uPwbBZFjjGgGUA6NLw09EwE0CqkOc4q9oUmW1yo/edit?usp=sharing"",""อุทัยธานี!L450"")"),0)</f>
        <v>0</v>
      </c>
      <c r="M555" s="170"/>
      <c r="N555" s="170">
        <f ca="1">IFERROR(__xludf.DUMMYFUNCTION("IMPORTRANGE(""https://docs.google.com/spreadsheets/d/11923uPwbBZFjjGgGUA6NLw09EwE0CqkOc4q9oUmW1yo/edit?usp=sharing"",""อุทัยธานี!M450"")"),0)</f>
        <v>0</v>
      </c>
      <c r="O555" s="170">
        <f t="shared" ca="1" si="120"/>
        <v>0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IFERROR(__xludf.DUMMYFUNCTION("IMPORTRANGE(""https://docs.google.com/spreadsheets/d/11923uPwbBZFjjGgGUA6NLw09EwE0CqkOc4q9oUmW1yo/edit?usp=sharing"",""อุทัยธานี!M451"")"),0)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IFERROR(__xludf.DUMMYFUNCTION("IMPORTRANGE(""https://docs.google.com/spreadsheets/d/11923uPwbBZFjjGgGUA6NLw09EwE0CqkOc4q9oUmW1yo/edit?usp=sharing"",""อุทัยธานี!M452"")"),0)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IFERROR(__xludf.DUMMYFUNCTION("IMPORTRANGE(""https://docs.google.com/spreadsheets/d/11923uPwbBZFjjGgGUA6NLw09EwE0CqkOc4q9oUmW1yo/edit?usp=sharing"",""อุทัยธานี!M453"")"),0)</f>
        <v>0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IFERROR(__xludf.DUMMYFUNCTION("IMPORTRANGE(""https://docs.google.com/spreadsheets/d/11923uPwbBZFjjGgGUA6NLw09EwE0CqkOc4q9oUmW1yo/edit?usp=sharing"",""อุทัยธานี!M454"")"),0)</f>
        <v>0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IFERROR(__xludf.DUMMYFUNCTION("IMPORTRANGE(""https://docs.google.com/spreadsheets/d/11923uPwbBZFjjGgGUA6NLw09EwE0CqkOc4q9oUmW1yo/edit?usp=sharing"",""อุทัยธานี!I455"")"),0)</f>
        <v>0</v>
      </c>
      <c r="J560" s="164">
        <f ca="1">IFERROR(__xludf.DUMMYFUNCTION("IMPORTRANGE(""https://docs.google.com/spreadsheets/d/11923uPwbBZFjjGgGUA6NLw09EwE0CqkOc4q9oUmW1yo/edit?usp=sharing"",""อุทัยธานี!J455"")"),0)</f>
        <v>0</v>
      </c>
      <c r="K560" s="225">
        <f t="shared" ref="K560:K561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IFERROR(__xludf.DUMMYFUNCTION("IMPORTRANGE(""https://docs.google.com/spreadsheets/d/11923uPwbBZFjjGgGUA6NLw09EwE0CqkOc4q9oUmW1yo/edit?usp=sharing"",""อุทัยธานี!I456"")"),0)</f>
        <v>0</v>
      </c>
      <c r="J561" s="205">
        <f ca="1">IFERROR(__xludf.DUMMYFUNCTION("IMPORTRANGE(""https://docs.google.com/spreadsheets/d/11923uPwbBZFjjGgGUA6NLw09EwE0CqkOc4q9oUmW1yo/edit?usp=sharing"",""อุทัยธานี!J456"")"),0)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IFERROR(__xludf.DUMMYFUNCTION("IMPORTRANGE(""https://docs.google.com/spreadsheets/d/11923uPwbBZFjjGgGUA6NLw09EwE0CqkOc4q9oUmW1yo/edit?usp=sharing"",""อุทัยธานี!I459"")"),1550)</f>
        <v>1550</v>
      </c>
      <c r="J564" s="372">
        <f ca="1">IFERROR(__xludf.DUMMYFUNCTION("IMPORTRANGE(""https://docs.google.com/spreadsheets/d/11923uPwbBZFjjGgGUA6NLw09EwE0CqkOc4q9oUmW1yo/edit?usp=sharing"",""อุทัยธานี!J459"")"),2249)</f>
        <v>2249</v>
      </c>
      <c r="K564" s="373">
        <f ca="1">IF(I564&gt;0,J564*100/I564,0)</f>
        <v>145.09677419354838</v>
      </c>
      <c r="L564" s="374">
        <f ca="1">IFERROR(__xludf.DUMMYFUNCTION("IMPORTRANGE(""https://docs.google.com/spreadsheets/d/11923uPwbBZFjjGgGUA6NLw09EwE0CqkOc4q9oUmW1yo/edit?usp=sharing"",""อุทัยธานี!L459"")"),136880)</f>
        <v>136880</v>
      </c>
      <c r="M564" s="374"/>
      <c r="N564" s="374">
        <f ca="1">IFERROR(__xludf.DUMMYFUNCTION("IMPORTRANGE(""https://docs.google.com/spreadsheets/d/11923uPwbBZFjjGgGUA6NLw09EwE0CqkOc4q9oUmW1yo/edit?usp=sharing"",""อุทัยธานี!M459"")"),74251.33)</f>
        <v>74251.33</v>
      </c>
      <c r="O564" s="374">
        <f t="shared" ref="O564:O568" ca="1" si="122">+IF(L564&gt;0,N564*100/L564,0)</f>
        <v>54.245565458796023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IFERROR(__xludf.DUMMYFUNCTION("IMPORTRANGE(""https://docs.google.com/spreadsheets/d/11923uPwbBZFjjGgGUA6NLw09EwE0CqkOc4q9oUmW1yo/edit?usp=sharing"",""อุทัยธานี!L460"")"),0)</f>
        <v>0</v>
      </c>
      <c r="M565" s="166"/>
      <c r="N565" s="170">
        <f ca="1">IFERROR(__xludf.DUMMYFUNCTION("IMPORTRANGE(""https://docs.google.com/spreadsheets/d/11923uPwbBZFjjGgGUA6NLw09EwE0CqkOc4q9oUmW1yo/edit?usp=sharing"",""อุทัยธานี!M460"")"),0)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IFERROR(__xludf.DUMMYFUNCTION("IMPORTRANGE(""https://docs.google.com/spreadsheets/d/11923uPwbBZFjjGgGUA6NLw09EwE0CqkOc4q9oUmW1yo/edit?usp=sharing"",""อุทัยธานี!L461"")"),136880)</f>
        <v>136880</v>
      </c>
      <c r="M566" s="167"/>
      <c r="N566" s="170">
        <f ca="1">IFERROR(__xludf.DUMMYFUNCTION("IMPORTRANGE(""https://docs.google.com/spreadsheets/d/11923uPwbBZFjjGgGUA6NLw09EwE0CqkOc4q9oUmW1yo/edit?usp=sharing"",""อุทัยธานี!M461"")"),74251.33)</f>
        <v>74251.33</v>
      </c>
      <c r="O566" s="170">
        <f t="shared" ca="1" si="122"/>
        <v>54.245565458796023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IFERROR(__xludf.DUMMYFUNCTION("IMPORTRANGE(""https://docs.google.com/spreadsheets/d/11923uPwbBZFjjGgGUA6NLw09EwE0CqkOc4q9oUmW1yo/edit?usp=sharing"",""อุทัยธานี!L462"")"),0)</f>
        <v>0</v>
      </c>
      <c r="M567" s="170"/>
      <c r="N567" s="170">
        <f ca="1">IFERROR(__xludf.DUMMYFUNCTION("IMPORTRANGE(""https://docs.google.com/spreadsheets/d/11923uPwbBZFjjGgGUA6NLw09EwE0CqkOc4q9oUmW1yo/edit?usp=sharing"",""อุทัยธานี!M462"")"),0)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IFERROR(__xludf.DUMMYFUNCTION("IMPORTRANGE(""https://docs.google.com/spreadsheets/d/11923uPwbBZFjjGgGUA6NLw09EwE0CqkOc4q9oUmW1yo/edit?usp=sharing"",""อุทัยธานี!L463"")"),136880)</f>
        <v>136880</v>
      </c>
      <c r="M568" s="170"/>
      <c r="N568" s="170">
        <f ca="1">IFERROR(__xludf.DUMMYFUNCTION("IMPORTRANGE(""https://docs.google.com/spreadsheets/d/11923uPwbBZFjjGgGUA6NLw09EwE0CqkOc4q9oUmW1yo/edit?usp=sharing"",""อุทัยธานี!M463"")"),74251.33)</f>
        <v>74251.33</v>
      </c>
      <c r="O568" s="170">
        <f t="shared" ca="1" si="122"/>
        <v>54.245565458796023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IFERROR(__xludf.DUMMYFUNCTION("IMPORTRANGE(""https://docs.google.com/spreadsheets/d/11923uPwbBZFjjGgGUA6NLw09EwE0CqkOc4q9oUmW1yo/edit?usp=sharing"",""อุทัยธานี!M464"")"),0)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IFERROR(__xludf.DUMMYFUNCTION("IMPORTRANGE(""https://docs.google.com/spreadsheets/d/11923uPwbBZFjjGgGUA6NLw09EwE0CqkOc4q9oUmW1yo/edit?usp=sharing"",""อุทัยธานี!M465"")"),0)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IFERROR(__xludf.DUMMYFUNCTION("IMPORTRANGE(""https://docs.google.com/spreadsheets/d/11923uPwbBZFjjGgGUA6NLw09EwE0CqkOc4q9oUmW1yo/edit?usp=sharing"",""อุทัยธานี!M466"")"),51729.33)</f>
        <v>51729.33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IFERROR(__xludf.DUMMYFUNCTION("IMPORTRANGE(""https://docs.google.com/spreadsheets/d/11923uPwbBZFjjGgGUA6NLw09EwE0CqkOc4q9oUmW1yo/edit?usp=sharing"",""อุทัยธานี!M467"")"),22522)</f>
        <v>22522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IFERROR(__xludf.DUMMYFUNCTION("IMPORTRANGE(""https://docs.google.com/spreadsheets/d/11923uPwbBZFjjGgGUA6NLw09EwE0CqkOc4q9oUmW1yo/edit?usp=sharing"",""อุทัยธานี!I468"")"),1550)</f>
        <v>1550</v>
      </c>
      <c r="J573" s="422">
        <f ca="1">IFERROR(__xludf.DUMMYFUNCTION("IMPORTRANGE(""https://docs.google.com/spreadsheets/d/11923uPwbBZFjjGgGUA6NLw09EwE0CqkOc4q9oUmW1yo/edit?usp=sharing"",""อุทัยธานี!J468"")"),2249)</f>
        <v>2249</v>
      </c>
      <c r="K573" s="203">
        <f ca="1">IF(I573&gt;0,J573*100/I573,0)</f>
        <v>145.09677419354838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IFERROR(__xludf.DUMMYFUNCTION("IMPORTRANGE(""https://docs.google.com/spreadsheets/d/11923uPwbBZFjjGgGUA6NLw09EwE0CqkOc4q9oUmW1yo/edit?usp=sharing"",""อุทัยธานี!I470"")"),0)</f>
        <v>0</v>
      </c>
      <c r="J575" s="199">
        <f ca="1">IFERROR(__xludf.DUMMYFUNCTION("IMPORTRANGE(""https://docs.google.com/spreadsheets/d/11923uPwbBZFjjGgGUA6NLw09EwE0CqkOc4q9oUmW1yo/edit?usp=sharing"",""อุทัยธานี!J470"")"),6)</f>
        <v>6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IFERROR(__xludf.DUMMYFUNCTION("IMPORTRANGE(""https://docs.google.com/spreadsheets/d/11923uPwbBZFjjGgGUA6NLw09EwE0CqkOc4q9oUmW1yo/edit?usp=sharing"",""อุทัยธานี!I471"")"),0)</f>
        <v>0</v>
      </c>
      <c r="J576" s="199">
        <f ca="1">IFERROR(__xludf.DUMMYFUNCTION("IMPORTRANGE(""https://docs.google.com/spreadsheets/d/11923uPwbBZFjjGgGUA6NLw09EwE0CqkOc4q9oUmW1yo/edit?usp=sharing"",""อุทัยธานี!J471"")"),251)</f>
        <v>251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IFERROR(__xludf.DUMMYFUNCTION("IMPORTRANGE(""https://docs.google.com/spreadsheets/d/11923uPwbBZFjjGgGUA6NLw09EwE0CqkOc4q9oUmW1yo/edit?usp=sharing"",""อุทัยธานี!I472"")"),0)</f>
        <v>0</v>
      </c>
      <c r="J577" s="190">
        <f ca="1">IFERROR(__xludf.DUMMYFUNCTION("IMPORTRANGE(""https://docs.google.com/spreadsheets/d/11923uPwbBZFjjGgGUA6NLw09EwE0CqkOc4q9oUmW1yo/edit?usp=sharing"",""อุทัยธานี!J472"")"),1998)</f>
        <v>1998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IFERROR(__xludf.DUMMYFUNCTION("IMPORTRANGE(""https://docs.google.com/spreadsheets/d/11923uPwbBZFjjGgGUA6NLw09EwE0CqkOc4q9oUmW1yo/edit?usp=sharing"",""อุทัยธานี!I473"")"),0)</f>
        <v>0</v>
      </c>
      <c r="J578" s="199">
        <f ca="1">IFERROR(__xludf.DUMMYFUNCTION("IMPORTRANGE(""https://docs.google.com/spreadsheets/d/11923uPwbBZFjjGgGUA6NLw09EwE0CqkOc4q9oUmW1yo/edit?usp=sharing"",""อุทัยธานี!J473"")"),0)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IFERROR(__xludf.DUMMYFUNCTION("IMPORTRANGE(""https://docs.google.com/spreadsheets/d/11923uPwbBZFjjGgGUA6NLw09EwE0CqkOc4q9oUmW1yo/edit?usp=sharing"",""อุทัยธานี!I474"")"),0)</f>
        <v>0</v>
      </c>
      <c r="J579" s="199">
        <f ca="1">IFERROR(__xludf.DUMMYFUNCTION("IMPORTRANGE(""https://docs.google.com/spreadsheets/d/11923uPwbBZFjjGgGUA6NLw09EwE0CqkOc4q9oUmW1yo/edit?usp=sharing"",""อุทัยธานี!J474"")"),0)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IFERROR(__xludf.DUMMYFUNCTION("IMPORTRANGE(""https://docs.google.com/spreadsheets/d/11923uPwbBZFjjGgGUA6NLw09EwE0CqkOc4q9oUmW1yo/edit?usp=sharing"",""อุทัยธานี!I475"")"),7)</f>
        <v>7</v>
      </c>
      <c r="J580" s="372">
        <f ca="1">IFERROR(__xludf.DUMMYFUNCTION("IMPORTRANGE(""https://docs.google.com/spreadsheets/d/11923uPwbBZFjjGgGUA6NLw09EwE0CqkOc4q9oUmW1yo/edit?usp=sharing"",""อุทัยธานี!J475"")"),7)</f>
        <v>7</v>
      </c>
      <c r="K580" s="373">
        <f ca="1">IF(I580&gt;0,J580*100/I580,0)</f>
        <v>100</v>
      </c>
      <c r="L580" s="374">
        <f ca="1">IFERROR(__xludf.DUMMYFUNCTION("IMPORTRANGE(""https://docs.google.com/spreadsheets/d/11923uPwbBZFjjGgGUA6NLw09EwE0CqkOc4q9oUmW1yo/edit?usp=sharing"",""อุทัยธานี!L475"")"),111857)</f>
        <v>111857</v>
      </c>
      <c r="M580" s="374"/>
      <c r="N580" s="374">
        <f ca="1">IFERROR(__xludf.DUMMYFUNCTION("IMPORTRANGE(""https://docs.google.com/spreadsheets/d/11923uPwbBZFjjGgGUA6NLw09EwE0CqkOc4q9oUmW1yo/edit?usp=sharing"",""อุทัยธานี!M475"")"),5920)</f>
        <v>5920</v>
      </c>
      <c r="O580" s="374">
        <f t="shared" ref="O580:O584" ca="1" si="124">+IF(L580&gt;0,N580*100/L580,0)</f>
        <v>5.2924716378948125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IFERROR(__xludf.DUMMYFUNCTION("IMPORTRANGE(""https://docs.google.com/spreadsheets/d/11923uPwbBZFjjGgGUA6NLw09EwE0CqkOc4q9oUmW1yo/edit?usp=sharing"",""อุทัยธานี!L476"")"),0)</f>
        <v>0</v>
      </c>
      <c r="M581" s="166"/>
      <c r="N581" s="170">
        <f ca="1">IFERROR(__xludf.DUMMYFUNCTION("IMPORTRANGE(""https://docs.google.com/spreadsheets/d/11923uPwbBZFjjGgGUA6NLw09EwE0CqkOc4q9oUmW1yo/edit?usp=sharing"",""อุทัยธานี!M476"")"),0)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IFERROR(__xludf.DUMMYFUNCTION("IMPORTRANGE(""https://docs.google.com/spreadsheets/d/11923uPwbBZFjjGgGUA6NLw09EwE0CqkOc4q9oUmW1yo/edit?usp=sharing"",""อุทัยธานี!L477"")"),111857)</f>
        <v>111857</v>
      </c>
      <c r="M582" s="167"/>
      <c r="N582" s="170">
        <f ca="1">IFERROR(__xludf.DUMMYFUNCTION("IMPORTRANGE(""https://docs.google.com/spreadsheets/d/11923uPwbBZFjjGgGUA6NLw09EwE0CqkOc4q9oUmW1yo/edit?usp=sharing"",""อุทัยธานี!M477"")"),5920)</f>
        <v>5920</v>
      </c>
      <c r="O582" s="170">
        <f t="shared" ca="1" si="124"/>
        <v>5.2924716378948125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IFERROR(__xludf.DUMMYFUNCTION("IMPORTRANGE(""https://docs.google.com/spreadsheets/d/11923uPwbBZFjjGgGUA6NLw09EwE0CqkOc4q9oUmW1yo/edit?usp=sharing"",""อุทัยธานี!L478"")"),0)</f>
        <v>0</v>
      </c>
      <c r="M583" s="170"/>
      <c r="N583" s="170">
        <f ca="1">IFERROR(__xludf.DUMMYFUNCTION("IMPORTRANGE(""https://docs.google.com/spreadsheets/d/11923uPwbBZFjjGgGUA6NLw09EwE0CqkOc4q9oUmW1yo/edit?usp=sharing"",""อุทัยธานี!M478"")"),0)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IFERROR(__xludf.DUMMYFUNCTION("IMPORTRANGE(""https://docs.google.com/spreadsheets/d/11923uPwbBZFjjGgGUA6NLw09EwE0CqkOc4q9oUmW1yo/edit?usp=sharing"",""อุทัยธานี!L479"")"),111857)</f>
        <v>111857</v>
      </c>
      <c r="M584" s="170"/>
      <c r="N584" s="170">
        <f ca="1">IFERROR(__xludf.DUMMYFUNCTION("IMPORTRANGE(""https://docs.google.com/spreadsheets/d/11923uPwbBZFjjGgGUA6NLw09EwE0CqkOc4q9oUmW1yo/edit?usp=sharing"",""อุทัยธานี!M479"")"),5920)</f>
        <v>5920</v>
      </c>
      <c r="O584" s="170">
        <f t="shared" ca="1" si="124"/>
        <v>5.2924716378948125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IFERROR(__xludf.DUMMYFUNCTION("IMPORTRANGE(""https://docs.google.com/spreadsheets/d/11923uPwbBZFjjGgGUA6NLw09EwE0CqkOc4q9oUmW1yo/edit?usp=sharing"",""อุทัยธานี!M480"")"),0)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IFERROR(__xludf.DUMMYFUNCTION("IMPORTRANGE(""https://docs.google.com/spreadsheets/d/11923uPwbBZFjjGgGUA6NLw09EwE0CqkOc4q9oUmW1yo/edit?usp=sharing"",""อุทัยธานี!M481"")"),0)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IFERROR(__xludf.DUMMYFUNCTION("IMPORTRANGE(""https://docs.google.com/spreadsheets/d/11923uPwbBZFjjGgGUA6NLw09EwE0CqkOc4q9oUmW1yo/edit?usp=sharing"",""อุทัยธานี!M482"")"),0)</f>
        <v>0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IFERROR(__xludf.DUMMYFUNCTION("IMPORTRANGE(""https://docs.google.com/spreadsheets/d/11923uPwbBZFjjGgGUA6NLw09EwE0CqkOc4q9oUmW1yo/edit?usp=sharing"",""อุทัยธานี!M483"")"),5920)</f>
        <v>5920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IFERROR(__xludf.DUMMYFUNCTION("IMPORTRANGE(""https://docs.google.com/spreadsheets/d/11923uPwbBZFjjGgGUA6NLw09EwE0CqkOc4q9oUmW1yo/edit?usp=sharing"",""อุทัยธานี!I484"")"),7)</f>
        <v>7</v>
      </c>
      <c r="J589" s="189">
        <f ca="1">IFERROR(__xludf.DUMMYFUNCTION("IMPORTRANGE(""https://docs.google.com/spreadsheets/d/11923uPwbBZFjjGgGUA6NLw09EwE0CqkOc4q9oUmW1yo/edit?usp=sharing"",""อุทัยธานี!J484"")"),4)</f>
        <v>4</v>
      </c>
      <c r="K589" s="165">
        <f t="shared" ref="K589:K596" ca="1" si="125">IF(I589&gt;0,J589*100/I589,0)</f>
        <v>57.142857142857146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IFERROR(__xludf.DUMMYFUNCTION("IMPORTRANGE(""https://docs.google.com/spreadsheets/d/11923uPwbBZFjjGgGUA6NLw09EwE0CqkOc4q9oUmW1yo/edit?usp=sharing"",""อุทัยธานี!I485"")"),0)</f>
        <v>0</v>
      </c>
      <c r="J590" s="189">
        <f ca="1">IFERROR(__xludf.DUMMYFUNCTION("IMPORTRANGE(""https://docs.google.com/spreadsheets/d/11923uPwbBZFjjGgGUA6NLw09EwE0CqkOc4q9oUmW1yo/edit?usp=sharing"",""อุทัยธานี!J485"")"),3.02)</f>
        <v>3.02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IFERROR(__xludf.DUMMYFUNCTION("IMPORTRANGE(""https://docs.google.com/spreadsheets/d/11923uPwbBZFjjGgGUA6NLw09EwE0CqkOc4q9oUmW1yo/edit?usp=sharing"",""อุทัยธานี!I486"")"),7)</f>
        <v>7</v>
      </c>
      <c r="J591" s="189">
        <f ca="1">IFERROR(__xludf.DUMMYFUNCTION("IMPORTRANGE(""https://docs.google.com/spreadsheets/d/11923uPwbBZFjjGgGUA6NLw09EwE0CqkOc4q9oUmW1yo/edit?usp=sharing"",""อุทัยธานี!J486"")"),7)</f>
        <v>7</v>
      </c>
      <c r="K591" s="165">
        <f t="shared" ca="1" si="125"/>
        <v>100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IFERROR(__xludf.DUMMYFUNCTION("IMPORTRANGE(""https://docs.google.com/spreadsheets/d/11923uPwbBZFjjGgGUA6NLw09EwE0CqkOc4q9oUmW1yo/edit?usp=sharing"",""อุทัยธานี!I487"")"),0)</f>
        <v>0</v>
      </c>
      <c r="J592" s="189">
        <f ca="1">IFERROR(__xludf.DUMMYFUNCTION("IMPORTRANGE(""https://docs.google.com/spreadsheets/d/11923uPwbBZFjjGgGUA6NLw09EwE0CqkOc4q9oUmW1yo/edit?usp=sharing"",""อุทัยธานี!J487"")"),5.5)</f>
        <v>5.5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IFERROR(__xludf.DUMMYFUNCTION("IMPORTRANGE(""https://docs.google.com/spreadsheets/d/11923uPwbBZFjjGgGUA6NLw09EwE0CqkOc4q9oUmW1yo/edit?usp=sharing"",""อุทัยธานี!I488"")"),7)</f>
        <v>7</v>
      </c>
      <c r="J593" s="189">
        <f ca="1">IFERROR(__xludf.DUMMYFUNCTION("IMPORTRANGE(""https://docs.google.com/spreadsheets/d/11923uPwbBZFjjGgGUA6NLw09EwE0CqkOc4q9oUmW1yo/edit?usp=sharing"",""อุทัยธานี!J488"")"),4)</f>
        <v>4</v>
      </c>
      <c r="K593" s="165">
        <f t="shared" ca="1" si="125"/>
        <v>57.142857142857146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IFERROR(__xludf.DUMMYFUNCTION("IMPORTRANGE(""https://docs.google.com/spreadsheets/d/11923uPwbBZFjjGgGUA6NLw09EwE0CqkOc4q9oUmW1yo/edit?usp=sharing"",""อุทัยธานี!I489"")"),0)</f>
        <v>0</v>
      </c>
      <c r="J594" s="189">
        <f ca="1">IFERROR(__xludf.DUMMYFUNCTION("IMPORTRANGE(""https://docs.google.com/spreadsheets/d/11923uPwbBZFjjGgGUA6NLw09EwE0CqkOc4q9oUmW1yo/edit?usp=sharing"",""อุทัยธานี!J489"")"),3.07)</f>
        <v>3.07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IFERROR(__xludf.DUMMYFUNCTION("IMPORTRANGE(""https://docs.google.com/spreadsheets/d/11923uPwbBZFjjGgGUA6NLw09EwE0CqkOc4q9oUmW1yo/edit?usp=sharing"",""อุทัยธานี!I490"")"),7)</f>
        <v>7</v>
      </c>
      <c r="J595" s="189">
        <f ca="1">IFERROR(__xludf.DUMMYFUNCTION("IMPORTRANGE(""https://docs.google.com/spreadsheets/d/11923uPwbBZFjjGgGUA6NLw09EwE0CqkOc4q9oUmW1yo/edit?usp=sharing"",""อุทัยธานี!J490"")"),7)</f>
        <v>7</v>
      </c>
      <c r="K595" s="165">
        <f t="shared" ca="1" si="125"/>
        <v>100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IFERROR(__xludf.DUMMYFUNCTION("IMPORTRANGE(""https://docs.google.com/spreadsheets/d/11923uPwbBZFjjGgGUA6NLw09EwE0CqkOc4q9oUmW1yo/edit?usp=sharing"",""อุทัยธานี!I491"")"),0)</f>
        <v>0</v>
      </c>
      <c r="J596" s="242">
        <f ca="1">IFERROR(__xludf.DUMMYFUNCTION("IMPORTRANGE(""https://docs.google.com/spreadsheets/d/11923uPwbBZFjjGgGUA6NLw09EwE0CqkOc4q9oUmW1yo/edit?usp=sharing"",""อุทัยธานี!J491"")"),5.5)</f>
        <v>5.5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IFERROR(__xludf.DUMMYFUNCTION("IMPORTRANGE(""https://docs.google.com/spreadsheets/d/11923uPwbBZFjjGgGUA6NLw09EwE0CqkOc4q9oUmW1yo/edit?usp=sharing"",""อุทัยธานี!I492"")"),50)</f>
        <v>50</v>
      </c>
      <c r="J597" s="489">
        <f ca="1">IFERROR(__xludf.DUMMYFUNCTION("IMPORTRANGE(""https://docs.google.com/spreadsheets/d/11923uPwbBZFjjGgGUA6NLw09EwE0CqkOc4q9oUmW1yo/edit?usp=sharing"",""อุทัยธานี!J492"")"),0)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IFERROR(__xludf.DUMMYFUNCTION("IMPORTRANGE(""https://docs.google.com/spreadsheets/d/11923uPwbBZFjjGgGUA6NLw09EwE0CqkOc4q9oUmW1yo/edit?usp=sharing"",""อุทัยธานี!L492"")"),8550)</f>
        <v>8550</v>
      </c>
      <c r="M597" s="413"/>
      <c r="N597" s="413">
        <f ca="1">IFERROR(__xludf.DUMMYFUNCTION("IMPORTRANGE(""https://docs.google.com/spreadsheets/d/11923uPwbBZFjjGgGUA6NLw09EwE0CqkOc4q9oUmW1yo/edit?usp=sharing"",""อุทัยธานี!M492"")"),5800)</f>
        <v>5800</v>
      </c>
      <c r="O597" s="413">
        <f t="shared" ref="O597:O601" ca="1" si="126">+IF(L597&gt;0,N597*100/L597,0)</f>
        <v>67.836257309941516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IFERROR(__xludf.DUMMYFUNCTION("IMPORTRANGE(""https://docs.google.com/spreadsheets/d/11923uPwbBZFjjGgGUA6NLw09EwE0CqkOc4q9oUmW1yo/edit?usp=sharing"",""อุทัยธานี!L493"")"),0)</f>
        <v>0</v>
      </c>
      <c r="M598" s="166"/>
      <c r="N598" s="170">
        <f ca="1">IFERROR(__xludf.DUMMYFUNCTION("IMPORTRANGE(""https://docs.google.com/spreadsheets/d/11923uPwbBZFjjGgGUA6NLw09EwE0CqkOc4q9oUmW1yo/edit?usp=sharing"",""อุทัยธานี!M493"")"),0)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IFERROR(__xludf.DUMMYFUNCTION("IMPORTRANGE(""https://docs.google.com/spreadsheets/d/11923uPwbBZFjjGgGUA6NLw09EwE0CqkOc4q9oUmW1yo/edit?usp=sharing"",""อุทัยธานี!L494"")"),8550)</f>
        <v>8550</v>
      </c>
      <c r="M599" s="167"/>
      <c r="N599" s="170">
        <f ca="1">IFERROR(__xludf.DUMMYFUNCTION("IMPORTRANGE(""https://docs.google.com/spreadsheets/d/11923uPwbBZFjjGgGUA6NLw09EwE0CqkOc4q9oUmW1yo/edit?usp=sharing"",""อุทัยธานี!M494"")"),5800)</f>
        <v>5800</v>
      </c>
      <c r="O599" s="170">
        <f t="shared" ca="1" si="126"/>
        <v>67.836257309941516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IFERROR(__xludf.DUMMYFUNCTION("IMPORTRANGE(""https://docs.google.com/spreadsheets/d/11923uPwbBZFjjGgGUA6NLw09EwE0CqkOc4q9oUmW1yo/edit?usp=sharing"",""อุทัยธานี!L495"")"),0)</f>
        <v>0</v>
      </c>
      <c r="M600" s="170"/>
      <c r="N600" s="170">
        <f ca="1">IFERROR(__xludf.DUMMYFUNCTION("IMPORTRANGE(""https://docs.google.com/spreadsheets/d/11923uPwbBZFjjGgGUA6NLw09EwE0CqkOc4q9oUmW1yo/edit?usp=sharing"",""อุทัยธานี!M495"")"),0)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IFERROR(__xludf.DUMMYFUNCTION("IMPORTRANGE(""https://docs.google.com/spreadsheets/d/11923uPwbBZFjjGgGUA6NLw09EwE0CqkOc4q9oUmW1yo/edit?usp=sharing"",""อุทัยธานี!L496"")"),8550)</f>
        <v>8550</v>
      </c>
      <c r="M601" s="170"/>
      <c r="N601" s="170">
        <f ca="1">IFERROR(__xludf.DUMMYFUNCTION("IMPORTRANGE(""https://docs.google.com/spreadsheets/d/11923uPwbBZFjjGgGUA6NLw09EwE0CqkOc4q9oUmW1yo/edit?usp=sharing"",""อุทัยธานี!M496"")"),5800)</f>
        <v>5800</v>
      </c>
      <c r="O601" s="170">
        <f t="shared" ca="1" si="126"/>
        <v>67.836257309941516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IFERROR(__xludf.DUMMYFUNCTION("IMPORTRANGE(""https://docs.google.com/spreadsheets/d/11923uPwbBZFjjGgGUA6NLw09EwE0CqkOc4q9oUmW1yo/edit?usp=sharing"",""อุทัยธานี!M497"")"),0)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IFERROR(__xludf.DUMMYFUNCTION("IMPORTRANGE(""https://docs.google.com/spreadsheets/d/11923uPwbBZFjjGgGUA6NLw09EwE0CqkOc4q9oUmW1yo/edit?usp=sharing"",""อุทัยธานี!M498"")"),0)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IFERROR(__xludf.DUMMYFUNCTION("IMPORTRANGE(""https://docs.google.com/spreadsheets/d/11923uPwbBZFjjGgGUA6NLw09EwE0CqkOc4q9oUmW1yo/edit?usp=sharing"",""อุทัยธานี!M499"")"),0)</f>
        <v>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IFERROR(__xludf.DUMMYFUNCTION("IMPORTRANGE(""https://docs.google.com/spreadsheets/d/11923uPwbBZFjjGgGUA6NLw09EwE0CqkOc4q9oUmW1yo/edit?usp=sharing"",""อุทัยธานี!M500"")"),5800)</f>
        <v>5800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IFERROR(__xludf.DUMMYFUNCTION("IMPORTRANGE(""https://docs.google.com/spreadsheets/d/11923uPwbBZFjjGgGUA6NLw09EwE0CqkOc4q9oUmW1yo/edit?usp=sharing"",""อุทัยธานี!J502"")"),0)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IFERROR(__xludf.DUMMYFUNCTION("IMPORTRANGE(""https://docs.google.com/spreadsheets/d/11923uPwbBZFjjGgGUA6NLw09EwE0CqkOc4q9oUmW1yo/edit?usp=sharing"",""อุทัยธานี!J503"")"),1)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IFERROR(__xludf.DUMMYFUNCTION("IMPORTRANGE(""https://docs.google.com/spreadsheets/d/11923uPwbBZFjjGgGUA6NLw09EwE0CqkOc4q9oUmW1yo/edit?usp=sharing"",""อุทัยธานี!J166"")"),0)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IFERROR(__xludf.DUMMYFUNCTION("IMPORTRANGE(""https://docs.google.com/spreadsheets/d/11923uPwbBZFjjGgGUA6NLw09EwE0CqkOc4q9oUmW1yo/edit?usp=sharing"",""อุทัยธานี!J166"")"),0)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IFERROR(__xludf.DUMMYFUNCTION("IMPORTRANGE(""https://docs.google.com/spreadsheets/d/11923uPwbBZFjjGgGUA6NLw09EwE0CqkOc4q9oUmW1yo/edit?usp=sharing"",""อุทัยธานี!I506"")"),50)</f>
        <v>50</v>
      </c>
      <c r="J611" s="164">
        <f ca="1">IFERROR(__xludf.DUMMYFUNCTION("IMPORTRANGE(""https://docs.google.com/spreadsheets/d/11923uPwbBZFjjGgGUA6NLw09EwE0CqkOc4q9oUmW1yo/edit?usp=sharing"",""อุทัยธานี!J506"")"),0)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IFERROR(__xludf.DUMMYFUNCTION("IMPORTRANGE(""https://docs.google.com/spreadsheets/d/11923uPwbBZFjjGgGUA6NLw09EwE0CqkOc4q9oUmW1yo/edit?usp=sharing"",""อุทัยธานี!I507"")"),0)</f>
        <v>0</v>
      </c>
      <c r="J612" s="199">
        <f ca="1">IFERROR(__xludf.DUMMYFUNCTION("IMPORTRANGE(""https://docs.google.com/spreadsheets/d/11923uPwbBZFjjGgGUA6NLw09EwE0CqkOc4q9oUmW1yo/edit?usp=sharing"",""อุทัยธานี!J507"")"),0)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IFERROR(__xludf.DUMMYFUNCTION("IMPORTRANGE(""https://docs.google.com/spreadsheets/d/11923uPwbBZFjjGgGUA6NLw09EwE0CqkOc4q9oUmW1yo/edit?usp=sharing"",""อุทัยธานี!I508"")"),0)</f>
        <v>0</v>
      </c>
      <c r="J613" s="199">
        <f ca="1">IFERROR(__xludf.DUMMYFUNCTION("IMPORTRANGE(""https://docs.google.com/spreadsheets/d/11923uPwbBZFjjGgGUA6NLw09EwE0CqkOc4q9oUmW1yo/edit?usp=sharing"",""อุทัยธานี!J508"")"),0)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IFERROR(__xludf.DUMMYFUNCTION("IMPORTRANGE(""https://docs.google.com/spreadsheets/d/11923uPwbBZFjjGgGUA6NLw09EwE0CqkOc4q9oUmW1yo/edit?usp=sharing"",""อุทัยธานี!I509"")"),0)</f>
        <v>0</v>
      </c>
      <c r="J614" s="199">
        <f ca="1">IFERROR(__xludf.DUMMYFUNCTION("IMPORTRANGE(""https://docs.google.com/spreadsheets/d/11923uPwbBZFjjGgGUA6NLw09EwE0CqkOc4q9oUmW1yo/edit?usp=sharing"",""อุทัยธานี!J509"")"),0)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IFERROR(__xludf.DUMMYFUNCTION("IMPORTRANGE(""https://docs.google.com/spreadsheets/d/11923uPwbBZFjjGgGUA6NLw09EwE0CqkOc4q9oUmW1yo/edit?usp=sharing"",""อุทัยธานี!I510"")"),0)</f>
        <v>0</v>
      </c>
      <c r="J615" s="199">
        <f ca="1">IFERROR(__xludf.DUMMYFUNCTION("IMPORTRANGE(""https://docs.google.com/spreadsheets/d/11923uPwbBZFjjGgGUA6NLw09EwE0CqkOc4q9oUmW1yo/edit?usp=sharing"",""อุทัยธานี!J510"")"),0)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IFERROR(__xludf.DUMMYFUNCTION("IMPORTRANGE(""https://docs.google.com/spreadsheets/d/11923uPwbBZFjjGgGUA6NLw09EwE0CqkOc4q9oUmW1yo/edit?usp=sharing"",""อุทัยธานี!I511"")"),0)</f>
        <v>0</v>
      </c>
      <c r="J616" s="199">
        <f ca="1">IFERROR(__xludf.DUMMYFUNCTION("IMPORTRANGE(""https://docs.google.com/spreadsheets/d/11923uPwbBZFjjGgGUA6NLw09EwE0CqkOc4q9oUmW1yo/edit?usp=sharing"",""อุทัยธานี!J511"")"),0)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IFERROR(__xludf.DUMMYFUNCTION("IMPORTRANGE(""https://docs.google.com/spreadsheets/d/11923uPwbBZFjjGgGUA6NLw09EwE0CqkOc4q9oUmW1yo/edit?usp=sharing"",""อุทัยธานี!I512"")"),0)</f>
        <v>0</v>
      </c>
      <c r="J617" s="189">
        <f ca="1">IFERROR(__xludf.DUMMYFUNCTION("IMPORTRANGE(""https://docs.google.com/spreadsheets/d/11923uPwbBZFjjGgGUA6NLw09EwE0CqkOc4q9oUmW1yo/edit?usp=sharing"",""อุทัยธานี!J512"")"),0)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IFERROR(__xludf.DUMMYFUNCTION("IMPORTRANGE(""https://docs.google.com/spreadsheets/d/11923uPwbBZFjjGgGUA6NLw09EwE0CqkOc4q9oUmW1yo/edit?usp=sharing"",""อุทัยธานี!I513"")"),0)</f>
        <v>0</v>
      </c>
      <c r="J618" s="190">
        <f ca="1">IFERROR(__xludf.DUMMYFUNCTION("IMPORTRANGE(""https://docs.google.com/spreadsheets/d/11923uPwbBZFjjGgGUA6NLw09EwE0CqkOc4q9oUmW1yo/edit?usp=sharing"",""อุทัยธานี!J513"")"),0)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IFERROR(__xludf.DUMMYFUNCTION("IMPORTRANGE(""https://docs.google.com/spreadsheets/d/11923uPwbBZFjjGgGUA6NLw09EwE0CqkOc4q9oUmW1yo/edit?usp=sharing"",""อุทัยธานี!I514"")"),0)</f>
        <v>0</v>
      </c>
      <c r="J619" s="190">
        <f ca="1">IFERROR(__xludf.DUMMYFUNCTION("IMPORTRANGE(""https://docs.google.com/spreadsheets/d/11923uPwbBZFjjGgGUA6NLw09EwE0CqkOc4q9oUmW1yo/edit?usp=sharing"",""อุทัยธานี!J514"")"),0)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IFERROR(__xludf.DUMMYFUNCTION("IMPORTRANGE(""https://docs.google.com/spreadsheets/d/11923uPwbBZFjjGgGUA6NLw09EwE0CqkOc4q9oUmW1yo/edit?usp=sharing"",""อุทัยธานี!I515"")"),0)</f>
        <v>0</v>
      </c>
      <c r="J620" s="204">
        <f ca="1">IFERROR(__xludf.DUMMYFUNCTION("IMPORTRANGE(""https://docs.google.com/spreadsheets/d/11923uPwbBZFjjGgGUA6NLw09EwE0CqkOc4q9oUmW1yo/edit?usp=sharing"",""อุทัยธานี!J515"")"),0)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IFERROR(__xludf.DUMMYFUNCTION("IMPORTRANGE(""https://docs.google.com/spreadsheets/d/11923uPwbBZFjjGgGUA6NLw09EwE0CqkOc4q9oUmW1yo/edit?usp=sharing"",""อุทัยธานี!I516"")"),0)</f>
        <v>0</v>
      </c>
      <c r="J621" s="204">
        <f ca="1">IFERROR(__xludf.DUMMYFUNCTION("IMPORTRANGE(""https://docs.google.com/spreadsheets/d/11923uPwbBZFjjGgGUA6NLw09EwE0CqkOc4q9oUmW1yo/edit?usp=sharing"",""อุทัยธานี!J516"")"),0)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IFERROR(__xludf.DUMMYFUNCTION("IMPORTRANGE(""https://docs.google.com/spreadsheets/d/11923uPwbBZFjjGgGUA6NLw09EwE0CqkOc4q9oUmW1yo/edit?usp=sharing"",""อุทัยธานี!I517"")"),0)</f>
        <v>0</v>
      </c>
      <c r="J622" s="190">
        <f ca="1">IFERROR(__xludf.DUMMYFUNCTION("IMPORTRANGE(""https://docs.google.com/spreadsheets/d/11923uPwbBZFjjGgGUA6NLw09EwE0CqkOc4q9oUmW1yo/edit?usp=sharing"",""อุทัยธานี!J517"")"),0)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IFERROR(__xludf.DUMMYFUNCTION("IMPORTRANGE(""https://docs.google.com/spreadsheets/d/11923uPwbBZFjjGgGUA6NLw09EwE0CqkOc4q9oUmW1yo/edit?usp=sharing"",""อุทัยธานี!I518"")"),0)</f>
        <v>0</v>
      </c>
      <c r="J623" s="190">
        <f ca="1">IFERROR(__xludf.DUMMYFUNCTION("IMPORTRANGE(""https://docs.google.com/spreadsheets/d/11923uPwbBZFjjGgGUA6NLw09EwE0CqkOc4q9oUmW1yo/edit?usp=sharing"",""อุทัยธานี!J518"")"),0)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IFERROR(__xludf.DUMMYFUNCTION("IMPORTRANGE(""https://docs.google.com/spreadsheets/d/11923uPwbBZFjjGgGUA6NLw09EwE0CqkOc4q9oUmW1yo/edit?usp=sharing"",""อุทัยธานี!I519"")"),0)</f>
        <v>0</v>
      </c>
      <c r="J624" s="189">
        <f ca="1">IFERROR(__xludf.DUMMYFUNCTION("IMPORTRANGE(""https://docs.google.com/spreadsheets/d/11923uPwbBZFjjGgGUA6NLw09EwE0CqkOc4q9oUmW1yo/edit?usp=sharing"",""อุทัยธานี!J519"")"),0)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IFERROR(__xludf.DUMMYFUNCTION("IMPORTRANGE(""https://docs.google.com/spreadsheets/d/11923uPwbBZFjjGgGUA6NLw09EwE0CqkOc4q9oUmW1yo/edit?usp=sharing"",""อุทัยธานี!I520"")"),0)</f>
        <v>0</v>
      </c>
      <c r="J625" s="190">
        <f ca="1">IFERROR(__xludf.DUMMYFUNCTION("IMPORTRANGE(""https://docs.google.com/spreadsheets/d/11923uPwbBZFjjGgGUA6NLw09EwE0CqkOc4q9oUmW1yo/edit?usp=sharing"",""อุทัยธานี!J520"")"),0)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IFERROR(__xludf.DUMMYFUNCTION("IMPORTRANGE(""https://docs.google.com/spreadsheets/d/11923uPwbBZFjjGgGUA6NLw09EwE0CqkOc4q9oUmW1yo/edit?usp=sharing"",""อุทัยธานี!I521"")"),0)</f>
        <v>0</v>
      </c>
      <c r="J626" s="190">
        <f ca="1">IFERROR(__xludf.DUMMYFUNCTION("IMPORTRANGE(""https://docs.google.com/spreadsheets/d/11923uPwbBZFjjGgGUA6NLw09EwE0CqkOc4q9oUmW1yo/edit?usp=sharing"",""อุทัยธานี!J521"")"),0)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IFERROR(__xludf.DUMMYFUNCTION("IMPORTRANGE(""https://docs.google.com/spreadsheets/d/11923uPwbBZFjjGgGUA6NLw09EwE0CqkOc4q9oUmW1yo/edit?usp=sharing"",""อุทัยธานี!I523"")"),1621320.27)</f>
        <v>1621320.27</v>
      </c>
      <c r="J628" s="342">
        <f ca="1">IFERROR(__xludf.DUMMYFUNCTION("IMPORTRANGE(""https://docs.google.com/spreadsheets/d/11923uPwbBZFjjGgGUA6NLw09EwE0CqkOc4q9oUmW1yo/edit?usp=sharing"",""อุทัยธานี!J523"")"),1472832.05)</f>
        <v>1472832.05</v>
      </c>
      <c r="K628" s="343">
        <f t="shared" ref="K628:K635" ca="1" si="129">IF(I628&gt;0,J628*100/I628,0)</f>
        <v>90.841524481773121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IFERROR(__xludf.DUMMYFUNCTION("IMPORTRANGE(""https://docs.google.com/spreadsheets/d/11923uPwbBZFjjGgGUA6NLw09EwE0CqkOc4q9oUmW1yo/edit?usp=sharing"",""อุทัยธานี!I524"")"),108)</f>
        <v>108</v>
      </c>
      <c r="J629" s="342">
        <f ca="1">IFERROR(__xludf.DUMMYFUNCTION("IMPORTRANGE(""https://docs.google.com/spreadsheets/d/11923uPwbBZFjjGgGUA6NLw09EwE0CqkOc4q9oUmW1yo/edit?usp=sharing"",""อุทัยธานี!J524"")"),103)</f>
        <v>103</v>
      </c>
      <c r="K629" s="343">
        <f t="shared" ca="1" si="129"/>
        <v>95.370370370370367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42">
        <f ca="1">IFERROR(__xludf.DUMMYFUNCTION("IMPORTRANGE(""https://docs.google.com/spreadsheets/d/11923uPwbBZFjjGgGUA6NLw09EwE0CqkOc4q9oUmW1yo/edit?usp=sharing"",""อุทัยธานี!J525"")"),1898194.13)</f>
        <v>1898194.13</v>
      </c>
      <c r="K630" s="343">
        <f t="shared" ca="1" si="129"/>
        <v>15.438186010689787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IFERROR(__xludf.DUMMYFUNCTION("IMPORTRANGE(""https://docs.google.com/spreadsheets/d/11923uPwbBZFjjGgGUA6NLw09EwE0CqkOc4q9oUmW1yo/edit?usp=sharing"",""อุทัยธานี!I526"")"),678)</f>
        <v>678</v>
      </c>
      <c r="J631" s="342">
        <f ca="1">IFERROR(__xludf.DUMMYFUNCTION("IMPORTRANGE(""https://docs.google.com/spreadsheets/d/11923uPwbBZFjjGgGUA6NLw09EwE0CqkOc4q9oUmW1yo/edit?usp=sharing"",""อุทัยธานี!J526"")"),272)</f>
        <v>272</v>
      </c>
      <c r="K631" s="343">
        <f t="shared" ca="1" si="129"/>
        <v>40.117994100294986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42">
        <f ca="1">IFERROR(__xludf.DUMMYFUNCTION("IMPORTRANGE(""https://docs.google.com/spreadsheets/d/11923uPwbBZFjjGgGUA6NLw09EwE0CqkOc4q9oUmW1yo/edit?usp=sharing"",""อุทัยธานี!J527"")"),1194907.31)</f>
        <v>1194907.31</v>
      </c>
      <c r="K632" s="343">
        <f t="shared" ca="1" si="129"/>
        <v>30.01395913094343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IFERROR(__xludf.DUMMYFUNCTION("IMPORTRANGE(""https://docs.google.com/spreadsheets/d/11923uPwbBZFjjGgGUA6NLw09EwE0CqkOc4q9oUmW1yo/edit?usp=sharing"",""อุทัยธานี!I528"")"),248)</f>
        <v>248</v>
      </c>
      <c r="J633" s="342">
        <f ca="1">IFERROR(__xludf.DUMMYFUNCTION("IMPORTRANGE(""https://docs.google.com/spreadsheets/d/11923uPwbBZFjjGgGUA6NLw09EwE0CqkOc4q9oUmW1yo/edit?usp=sharing"",""อุทัยธานี!J528"")"),131)</f>
        <v>131</v>
      </c>
      <c r="K633" s="343">
        <f t="shared" ca="1" si="129"/>
        <v>52.822580645161288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IFERROR(__xludf.DUMMYFUNCTION("IMPORTRANGE(""https://docs.google.com/spreadsheets/d/11923uPwbBZFjjGgGUA6NLw09EwE0CqkOc4q9oUmW1yo/edit?usp=sharing"",""อุทัยธานี!I529"")"),2000000)</f>
        <v>2000000</v>
      </c>
      <c r="J634" s="342">
        <f ca="1">IFERROR(__xludf.DUMMYFUNCTION("IMPORTRANGE(""https://docs.google.com/spreadsheets/d/11923uPwbBZFjjGgGUA6NLw09EwE0CqkOc4q9oUmW1yo/edit?usp=sharing"",""อุทัยธานี!J529"")"),1000000)</f>
        <v>1000000</v>
      </c>
      <c r="K634" s="343">
        <f t="shared" ca="1" si="129"/>
        <v>50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IFERROR(__xludf.DUMMYFUNCTION("IMPORTRANGE(""https://docs.google.com/spreadsheets/d/11923uPwbBZFjjGgGUA6NLw09EwE0CqkOc4q9oUmW1yo/edit?usp=sharing"",""อุทัยธานี!I530"")"),96)</f>
        <v>96</v>
      </c>
      <c r="J635" s="506">
        <f ca="1">IFERROR(__xludf.DUMMYFUNCTION("IMPORTRANGE(""https://docs.google.com/spreadsheets/d/11923uPwbBZFjjGgGUA6NLw09EwE0CqkOc4q9oUmW1yo/edit?usp=sharing"",""อุทัยธานี!J530"")"),50)</f>
        <v>50</v>
      </c>
      <c r="K635" s="488">
        <f t="shared" ca="1" si="129"/>
        <v>52.083333333333336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38160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38160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38160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IFERROR(__xludf.DUMMYFUNCTION("IMPORTRANGE(""https://docs.google.com/spreadsheets/d/11923uPwbBZFjjGgGUA6NLw09EwE0CqkOc4q9oUmW1yo/edit?usp=sharing"",""อุทัยธานี!J541"")"),0)</f>
        <v>0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IFERROR(__xludf.DUMMYFUNCTION("IMPORTRANGE(""https://docs.google.com/spreadsheets/d/11923uPwbBZFjjGgGUA6NLw09EwE0CqkOc4q9oUmW1yo/edit?usp=sharing"",""อุทัยธานี!J542"")"),0)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IFERROR(__xludf.DUMMYFUNCTION("IMPORTRANGE(""https://docs.google.com/spreadsheets/d/11923uPwbBZFjjGgGUA6NLw09EwE0CqkOc4q9oUmW1yo/edit?usp=sharing"",""อุทัยธานี!I543"")"),0)</f>
        <v>0</v>
      </c>
      <c r="J648" s="537">
        <f ca="1">IFERROR(__xludf.DUMMYFUNCTION("IMPORTRANGE(""https://docs.google.com/spreadsheets/d/11923uPwbBZFjjGgGUA6NLw09EwE0CqkOc4q9oUmW1yo/edit?usp=sharing"",""อุทัยธานี!J543"")"),0)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IFERROR(__xludf.DUMMYFUNCTION("IMPORTRANGE(""https://docs.google.com/spreadsheets/d/11923uPwbBZFjjGgGUA6NLw09EwE0CqkOc4q9oUmW1yo/edit?usp=sharing"",""อุทัยธานี!L543"")"),0)</f>
        <v>0</v>
      </c>
      <c r="M648" s="522"/>
      <c r="N648" s="539">
        <f ca="1">IFERROR(__xludf.DUMMYFUNCTION("IMPORTRANGE(""https://docs.google.com/spreadsheets/d/11923uPwbBZFjjGgGUA6NLw09EwE0CqkOc4q9oUmW1yo/edit?usp=sharing"",""อุทัยธานี!M543"")"),0)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IFERROR(__xludf.DUMMYFUNCTION("IMPORTRANGE(""https://docs.google.com/spreadsheets/d/11923uPwbBZFjjGgGUA6NLw09EwE0CqkOc4q9oUmW1yo/edit?usp=sharing"",""อุทัยธานี!I544"")"),0)</f>
        <v>0</v>
      </c>
      <c r="J649" s="537">
        <f ca="1">IFERROR(__xludf.DUMMYFUNCTION("IMPORTRANGE(""https://docs.google.com/spreadsheets/d/11923uPwbBZFjjGgGUA6NLw09EwE0CqkOc4q9oUmW1yo/edit?usp=sharing"",""อุทัยธานี!J544"")"),0)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IFERROR(__xludf.DUMMYFUNCTION("IMPORTRANGE(""https://docs.google.com/spreadsheets/d/11923uPwbBZFjjGgGUA6NLw09EwE0CqkOc4q9oUmW1yo/edit?usp=sharing"",""อุทัยธานี!L544"")"),0)</f>
        <v>0</v>
      </c>
      <c r="M649" s="522"/>
      <c r="N649" s="539">
        <f ca="1">IFERROR(__xludf.DUMMYFUNCTION("IMPORTRANGE(""https://docs.google.com/spreadsheets/d/11923uPwbBZFjjGgGUA6NLw09EwE0CqkOc4q9oUmW1yo/edit?usp=sharing"",""อุทัยธานี!M544"")"),0)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IFERROR(__xludf.DUMMYFUNCTION("IMPORTRANGE(""https://docs.google.com/spreadsheets/d/11923uPwbBZFjjGgGUA6NLw09EwE0CqkOc4q9oUmW1yo/edit?usp=sharing"",""อุทัยธานี!I545"")"),115)</f>
        <v>115</v>
      </c>
      <c r="J650" s="537">
        <f ca="1">IFERROR(__xludf.DUMMYFUNCTION("IMPORTRANGE(""https://docs.google.com/spreadsheets/d/11923uPwbBZFjjGgGUA6NLw09EwE0CqkOc4q9oUmW1yo/edit?usp=sharing"",""อุทัยธานี!J545"")"),28.38)</f>
        <v>28.38</v>
      </c>
      <c r="K650" s="538">
        <f t="shared" ca="1" si="131"/>
        <v>24.678260869565218</v>
      </c>
      <c r="L650" s="523">
        <f ca="1">IFERROR(__xludf.DUMMYFUNCTION("IMPORTRANGE(""https://docs.google.com/spreadsheets/d/11923uPwbBZFjjGgGUA6NLw09EwE0CqkOc4q9oUmW1yo/edit?usp=sharing"",""อุทัยธานี!L545"")"),575)</f>
        <v>575</v>
      </c>
      <c r="M650" s="522"/>
      <c r="N650" s="539">
        <f ca="1">IFERROR(__xludf.DUMMYFUNCTION("IMPORTRANGE(""https://docs.google.com/spreadsheets/d/11923uPwbBZFjjGgGUA6NLw09EwE0CqkOc4q9oUmW1yo/edit?usp=sharing"",""อุทัยธานี!M545"")"),0)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IFERROR(__xludf.DUMMYFUNCTION("IMPORTRANGE(""https://docs.google.com/spreadsheets/d/11923uPwbBZFjjGgGUA6NLw09EwE0CqkOc4q9oUmW1yo/edit?usp=sharing"",""อุทัยธานี!I546"")"),185)</f>
        <v>185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IFERROR(__xludf.DUMMYFUNCTION("IMPORTRANGE(""https://docs.google.com/spreadsheets/d/11923uPwbBZFjjGgGUA6NLw09EwE0CqkOc4q9oUmW1yo/edit?usp=sharing"",""อุทัยธานี!L546"")"),4625)</f>
        <v>4625</v>
      </c>
      <c r="M651" s="522"/>
      <c r="N651" s="539">
        <f ca="1">IFERROR(__xludf.DUMMYFUNCTION("IMPORTRANGE(""https://docs.google.com/spreadsheets/d/11923uPwbBZFjjGgGUA6NLw09EwE0CqkOc4q9oUmW1yo/edit?usp=sharing"",""อุทัยธานี!M546"")"),0)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IFERROR(__xludf.DUMMYFUNCTION("IMPORTRANGE(""https://docs.google.com/spreadsheets/d/11923uPwbBZFjjGgGUA6NLw09EwE0CqkOc4q9oUmW1yo/edit?usp=sharing"",""อุทัยธานี!J547"")"),0)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IFERROR(__xludf.DUMMYFUNCTION("IMPORTRANGE(""https://docs.google.com/spreadsheets/d/11923uPwbBZFjjGgGUA6NLw09EwE0CqkOc4q9oUmW1yo/edit?usp=sharing"",""อุทัยธานี!J548"")"),0)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IFERROR(__xludf.DUMMYFUNCTION("IMPORTRANGE(""https://docs.google.com/spreadsheets/d/11923uPwbBZFjjGgGUA6NLw09EwE0CqkOc4q9oUmW1yo/edit?usp=sharing"",""อุทัยธานี!J550"")"),0)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IFERROR(__xludf.DUMMYFUNCTION("IMPORTRANGE(""https://docs.google.com/spreadsheets/d/11923uPwbBZFjjGgGUA6NLw09EwE0CqkOc4q9oUmW1yo/edit?usp=sharing"",""อุทัยธานี!J551"")"),0)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IFERROR(__xludf.DUMMYFUNCTION("IMPORTRANGE(""https://docs.google.com/spreadsheets/d/11923uPwbBZFjjGgGUA6NLw09EwE0CqkOc4q9oUmW1yo/edit?usp=sharing"",""อุทัยธานี!J552"")"),0)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IFERROR(__xludf.DUMMYFUNCTION("IMPORTRANGE(""https://docs.google.com/spreadsheets/d/11923uPwbBZFjjGgGUA6NLw09EwE0CqkOc4q9oUmW1yo/edit?usp=sharing"",""อุทัยธานี!J553"")"),0)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IFERROR(__xludf.DUMMYFUNCTION("IMPORTRANGE(""https://docs.google.com/spreadsheets/d/11923uPwbBZFjjGgGUA6NLw09EwE0CqkOc4q9oUmW1yo/edit?usp=sharing"",""อุทัยธานี!J554"")"),0)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IFERROR(__xludf.DUMMYFUNCTION("IMPORTRANGE(""https://docs.google.com/spreadsheets/d/11923uPwbBZFjjGgGUA6NLw09EwE0CqkOc4q9oUmW1yo/edit?usp=sharing"",""อุทัยธานี!J555"")"),0)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IFERROR(__xludf.DUMMYFUNCTION("IMPORTRANGE(""https://docs.google.com/spreadsheets/d/11923uPwbBZFjjGgGUA6NLw09EwE0CqkOc4q9oUmW1yo/edit?usp=sharing"",""อุทัยธานี!J556"")"),28)</f>
        <v>28</v>
      </c>
      <c r="K661" s="538"/>
      <c r="L661" s="523">
        <f ca="1">IFERROR(__xludf.DUMMYFUNCTION("IMPORTRANGE(""https://docs.google.com/spreadsheets/d/11923uPwbBZFjjGgGUA6NLw09EwE0CqkOc4q9oUmW1yo/edit?usp=sharing"",""อุทัยธานี!L556"")"),19920)</f>
        <v>19920</v>
      </c>
      <c r="M661" s="522"/>
      <c r="N661" s="539">
        <f ca="1">IFERROR(__xludf.DUMMYFUNCTION("IMPORTRANGE(""https://docs.google.com/spreadsheets/d/11923uPwbBZFjjGgGUA6NLw09EwE0CqkOc4q9oUmW1yo/edit?usp=sharing"",""อุทัยธานี!M556"")"),0)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IFERROR(__xludf.DUMMYFUNCTION("IMPORTRANGE(""https://docs.google.com/spreadsheets/d/11923uPwbBZFjjGgGUA6NLw09EwE0CqkOc4q9oUmW1yo/edit?usp=sharing"",""อุทัยธานี!J557"")"),29)</f>
        <v>29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IFERROR(__xludf.DUMMYFUNCTION("IMPORTRANGE(""https://docs.google.com/spreadsheets/d/11923uPwbBZFjjGgGUA6NLw09EwE0CqkOc4q9oUmW1yo/edit?usp=sharing"",""อุทัยธานี!I558"")"),498)</f>
        <v>498</v>
      </c>
      <c r="J663" s="537">
        <f ca="1">IFERROR(__xludf.DUMMYFUNCTION("IMPORTRANGE(""https://docs.google.com/spreadsheets/d/11923uPwbBZFjjGgGUA6NLw09EwE0CqkOc4q9oUmW1yo/edit?usp=sharing"",""อุทัยธานี!J558"")"),485.51)</f>
        <v>485.51</v>
      </c>
      <c r="K663" s="538">
        <f ca="1">IF(I663&gt;0,J663*100/I663,0)</f>
        <v>97.49196787148594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IFERROR(__xludf.DUMMYFUNCTION("IMPORTRANGE(""https://docs.google.com/spreadsheets/d/11923uPwbBZFjjGgGUA6NLw09EwE0CqkOc4q9oUmW1yo/edit?usp=sharing"",""อุทัยธานี!I560"")"),6)</f>
        <v>6</v>
      </c>
      <c r="J665" s="537">
        <f ca="1">IFERROR(__xludf.DUMMYFUNCTION("IMPORTRANGE(""https://docs.google.com/spreadsheets/d/11923uPwbBZFjjGgGUA6NLw09EwE0CqkOc4q9oUmW1yo/edit?usp=sharing"",""อุทัยธานี!J560"")"),0)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IFERROR(__xludf.DUMMYFUNCTION("IMPORTRANGE(""https://docs.google.com/spreadsheets/d/11923uPwbBZFjjGgGUA6NLw09EwE0CqkOc4q9oUmW1yo/edit?usp=sharing"",""อุทัยธานี!L560"")"),720)</f>
        <v>720</v>
      </c>
      <c r="M665" s="522"/>
      <c r="N665" s="539">
        <f ca="1">IFERROR(__xludf.DUMMYFUNCTION("IMPORTRANGE(""https://docs.google.com/spreadsheets/d/11923uPwbBZFjjGgGUA6NLw09EwE0CqkOc4q9oUmW1yo/edit?usp=sharing"",""อุทัยธานี!M560"")"),0)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IFERROR(__xludf.DUMMYFUNCTION("IMPORTRANGE(""https://docs.google.com/spreadsheets/d/11923uPwbBZFjjGgGUA6NLw09EwE0CqkOc4q9oUmW1yo/edit?usp=sharing"",""อุทัยธานี!J561"")"),0)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IFERROR(__xludf.DUMMYFUNCTION("IMPORTRANGE(""https://docs.google.com/spreadsheets/d/11923uPwbBZFjjGgGUA6NLw09EwE0CqkOc4q9oUmW1yo/edit?usp=sharing"",""อุทัยธานี!J562"")"),0)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IFERROR(__xludf.DUMMYFUNCTION("IMPORTRANGE(""https://docs.google.com/spreadsheets/d/11923uPwbBZFjjGgGUA6NLw09EwE0CqkOc4q9oUmW1yo/edit?usp=sharing"",""อุทัยธานี!I563"")"),6)</f>
        <v>6</v>
      </c>
      <c r="J668" s="537">
        <f ca="1">IFERROR(__xludf.DUMMYFUNCTION("IMPORTRANGE(""https://docs.google.com/spreadsheets/d/11923uPwbBZFjjGgGUA6NLw09EwE0CqkOc4q9oUmW1yo/edit?usp=sharing"",""อุทัยธานี!J563"")"),0)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IFERROR(__xludf.DUMMYFUNCTION("IMPORTRANGE(""https://docs.google.com/spreadsheets/d/11923uPwbBZFjjGgGUA6NLw09EwE0CqkOc4q9oUmW1yo/edit?usp=sharing"",""อุทัยธานี!L563"")"),5280)</f>
        <v>5280</v>
      </c>
      <c r="M668" s="522"/>
      <c r="N668" s="539">
        <f ca="1">IFERROR(__xludf.DUMMYFUNCTION("IMPORTRANGE(""https://docs.google.com/spreadsheets/d/11923uPwbBZFjjGgGUA6NLw09EwE0CqkOc4q9oUmW1yo/edit?usp=sharing"",""อุทัยธานี!M563"")"),0)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IFERROR(__xludf.DUMMYFUNCTION("IMPORTRANGE(""https://docs.google.com/spreadsheets/d/11923uPwbBZFjjGgGUA6NLw09EwE0CqkOc4q9oUmW1yo/edit?usp=sharing"",""อุทัยธานี!J564"")"),0)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IFERROR(__xludf.DUMMYFUNCTION("IMPORTRANGE(""https://docs.google.com/spreadsheets/d/11923uPwbBZFjjGgGUA6NLw09EwE0CqkOc4q9oUmW1yo/edit?usp=sharing"",""อุทัยธานี!J565"")"),0)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IFERROR(__xludf.DUMMYFUNCTION("IMPORTRANGE(""https://docs.google.com/spreadsheets/d/11923uPwbBZFjjGgGUA6NLw09EwE0CqkOc4q9oUmW1yo/edit?usp=sharing"",""อุทัยธานี!I566"")"),88)</f>
        <v>88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IFERROR(__xludf.DUMMYFUNCTION("IMPORTRANGE(""https://docs.google.com/spreadsheets/d/11923uPwbBZFjjGgGUA6NLw09EwE0CqkOc4q9oUmW1yo/edit?usp=sharing"",""อุทัยธานี!L566"")"),7040)</f>
        <v>7040</v>
      </c>
      <c r="M671" s="522"/>
      <c r="N671" s="539">
        <f ca="1">IFERROR(__xludf.DUMMYFUNCTION("IMPORTRANGE(""https://docs.google.com/spreadsheets/d/11923uPwbBZFjjGgGUA6NLw09EwE0CqkOc4q9oUmW1yo/edit?usp=sharing"",""อุทัยธานี!M566"")"),0)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IFERROR(__xludf.DUMMYFUNCTION("IMPORTRANGE(""https://docs.google.com/spreadsheets/d/11923uPwbBZFjjGgGUA6NLw09EwE0CqkOc4q9oUmW1yo/edit?usp=sharing"",""อุทัยธานี!J567"")"),0)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IFERROR(__xludf.DUMMYFUNCTION("IMPORTRANGE(""https://docs.google.com/spreadsheets/d/11923uPwbBZFjjGgGUA6NLw09EwE0CqkOc4q9oUmW1yo/edit?usp=sharing"",""อุทัยธานี!J568"")"),0)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IFERROR(__xludf.DUMMYFUNCTION("IMPORTRANGE(""https://docs.google.com/spreadsheets/d/11923uPwbBZFjjGgGUA6NLw09EwE0CqkOc4q9oUmW1yo/edit?usp=sharing"",""อุทัยธานี!J569"")"),0)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IFERROR(__xludf.DUMMYFUNCTION("IMPORTRANGE(""https://docs.google.com/spreadsheets/d/11923uPwbBZFjjGgGUA6NLw09EwE0CqkOc4q9oUmW1yo/edit?usp=sharing"",""อุทัยธานี!J570"")"),0)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IFERROR(__xludf.DUMMYFUNCTION("IMPORTRANGE(""https://docs.google.com/spreadsheets/d/11923uPwbBZFjjGgGUA6NLw09EwE0CqkOc4q9oUmW1yo/edit?usp=sharing"",""อุทัยธานี!J571"")"),0)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IFERROR(__xludf.DUMMYFUNCTION("IMPORTRANGE(""https://docs.google.com/spreadsheets/d/11923uPwbBZFjjGgGUA6NLw09EwE0CqkOc4q9oUmW1yo/edit?usp=sharing"",""อุทัยธานี!J572"")"),0)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260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7357931</v>
      </c>
      <c r="M8" s="25">
        <f t="shared" ca="1" si="0"/>
        <v>3163622</v>
      </c>
      <c r="N8" s="25">
        <f t="shared" ca="1" si="0"/>
        <v>2665340.69</v>
      </c>
      <c r="O8" s="24">
        <f t="shared" ref="O8:O16" ca="1" si="1">IF(L8&gt;0,N8*100/L8,0)</f>
        <v>36.224051163295769</v>
      </c>
      <c r="P8" s="24">
        <f t="shared" ref="P8:P16" ca="1" si="2">IF(M8&gt;0,N8*100/M8,0)</f>
        <v>84.249657196719454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7357931</v>
      </c>
      <c r="M10" s="32">
        <f t="shared" ca="1" si="4"/>
        <v>3163622</v>
      </c>
      <c r="N10" s="32">
        <f t="shared" ca="1" si="4"/>
        <v>2665340.69</v>
      </c>
      <c r="O10" s="31">
        <f t="shared" ca="1" si="1"/>
        <v>36.224051163295769</v>
      </c>
      <c r="P10" s="31">
        <f t="shared" ca="1" si="2"/>
        <v>84.249657196719454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7357931</v>
      </c>
      <c r="M12" s="41">
        <f t="shared" ca="1" si="6"/>
        <v>3163622</v>
      </c>
      <c r="N12" s="41">
        <f t="shared" ca="1" si="6"/>
        <v>2665340.69</v>
      </c>
      <c r="O12" s="41">
        <f t="shared" ca="1" si="1"/>
        <v>36.224051163295769</v>
      </c>
      <c r="P12" s="41">
        <f t="shared" ca="1" si="2"/>
        <v>84.249657196719454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2181000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5176931</v>
      </c>
      <c r="M14" s="41">
        <f t="shared" si="8"/>
        <v>0</v>
      </c>
      <c r="N14" s="41">
        <f t="shared" ca="1" si="8"/>
        <v>680946.03999999992</v>
      </c>
      <c r="O14" s="41">
        <f t="shared" ca="1" si="1"/>
        <v>13.153469497661836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0</v>
      </c>
      <c r="M16" s="41">
        <f t="shared" si="10"/>
        <v>0</v>
      </c>
      <c r="N16" s="41">
        <f t="shared" ca="1" si="10"/>
        <v>0</v>
      </c>
      <c r="O16" s="52">
        <f t="shared" ca="1" si="1"/>
        <v>0</v>
      </c>
      <c r="P16" s="52">
        <f t="shared" si="2"/>
        <v>0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3957295</v>
      </c>
      <c r="M18" s="25">
        <f t="shared" ca="1" si="11"/>
        <v>3163622</v>
      </c>
      <c r="N18" s="25">
        <f t="shared" ca="1" si="11"/>
        <v>1984394.6500000001</v>
      </c>
      <c r="O18" s="24">
        <f t="shared" ref="O18:O20" ca="1" si="12">IF(L18&gt;0,N18*100/L18,0)</f>
        <v>50.145229253821107</v>
      </c>
      <c r="P18" s="24">
        <f t="shared" ref="P18:P26" ca="1" si="13">IF(M18&gt;0,N18*100/M18,0)</f>
        <v>62.725403034875846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3957295</v>
      </c>
      <c r="M20" s="32">
        <f t="shared" ca="1" si="15"/>
        <v>3163622</v>
      </c>
      <c r="N20" s="32">
        <f t="shared" ca="1" si="15"/>
        <v>1984394.6500000001</v>
      </c>
      <c r="O20" s="31">
        <f t="shared" ca="1" si="12"/>
        <v>50.145229253821107</v>
      </c>
      <c r="P20" s="31">
        <f t="shared" ca="1" si="13"/>
        <v>62.725403034875846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3957295</v>
      </c>
      <c r="M22" s="44">
        <f t="shared" ca="1" si="18"/>
        <v>3163622</v>
      </c>
      <c r="N22" s="41">
        <f t="shared" ca="1" si="18"/>
        <v>1984394.6500000001</v>
      </c>
      <c r="O22" s="41">
        <f t="shared" ca="1" si="17"/>
        <v>50.145229253821107</v>
      </c>
      <c r="P22" s="41">
        <f t="shared" ca="1" si="13"/>
        <v>62.725403034875846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2181000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1776295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0</v>
      </c>
      <c r="M26" s="52">
        <f t="shared" si="22"/>
        <v>0</v>
      </c>
      <c r="N26" s="52">
        <f t="shared" ca="1" si="22"/>
        <v>0</v>
      </c>
      <c r="O26" s="52">
        <f t="shared" ca="1" si="17"/>
        <v>0</v>
      </c>
      <c r="P26" s="52">
        <f t="shared" si="13"/>
        <v>0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3400636</v>
      </c>
      <c r="M28" s="25">
        <f t="shared" si="23"/>
        <v>0</v>
      </c>
      <c r="N28" s="25">
        <f t="shared" ca="1" si="23"/>
        <v>680946.03999999992</v>
      </c>
      <c r="O28" s="24">
        <f t="shared" ref="O28:O30" ca="1" si="24">IF(L28&gt;0,N28*100/L28,0)</f>
        <v>20.024079025217631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3400636</v>
      </c>
      <c r="M30" s="32">
        <f t="shared" si="27"/>
        <v>0</v>
      </c>
      <c r="N30" s="32">
        <f t="shared" ca="1" si="27"/>
        <v>680946.03999999992</v>
      </c>
      <c r="O30" s="31">
        <f t="shared" ca="1" si="24"/>
        <v>20.024079025217631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3400636</v>
      </c>
      <c r="M32" s="41">
        <f t="shared" si="30"/>
        <v>0</v>
      </c>
      <c r="N32" s="41">
        <f t="shared" ca="1" si="30"/>
        <v>680946.03999999992</v>
      </c>
      <c r="O32" s="41">
        <f t="shared" ca="1" si="29"/>
        <v>20.024079025217631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3400636</v>
      </c>
      <c r="M34" s="41">
        <f t="shared" si="32"/>
        <v>0</v>
      </c>
      <c r="N34" s="41">
        <f t="shared" ca="1" si="32"/>
        <v>680946.03999999992</v>
      </c>
      <c r="O34" s="41">
        <f t="shared" ca="1" si="29"/>
        <v>20.024079025217631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3957295</v>
      </c>
      <c r="M37" s="57">
        <f t="shared" ca="1" si="33"/>
        <v>3163622</v>
      </c>
      <c r="N37" s="57">
        <f t="shared" ca="1" si="33"/>
        <v>1984394.6500000001</v>
      </c>
      <c r="O37" s="58">
        <f t="shared" ca="1" si="29"/>
        <v>50.145229253821107</v>
      </c>
      <c r="P37" s="58">
        <f t="shared" ca="1" si="25"/>
        <v>62.725403034875846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840900</v>
      </c>
      <c r="M41" s="81">
        <f t="shared" ca="1" si="34"/>
        <v>630700</v>
      </c>
      <c r="N41" s="81">
        <f t="shared" ca="1" si="34"/>
        <v>420165.12</v>
      </c>
      <c r="O41" s="80">
        <f t="shared" ref="O41:O43" ca="1" si="35">IF(L41&gt;0,N41*100/L41,0)</f>
        <v>49.966122012129858</v>
      </c>
      <c r="P41" s="80">
        <f t="shared" ref="P41:P43" ca="1" si="36">IF(M41&gt;0,N41*100/M41,0)</f>
        <v>66.618855240209285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840900</v>
      </c>
      <c r="M43" s="81">
        <f t="shared" ca="1" si="38"/>
        <v>630700</v>
      </c>
      <c r="N43" s="81">
        <f t="shared" ca="1" si="38"/>
        <v>420165.12</v>
      </c>
      <c r="O43" s="80">
        <f t="shared" ca="1" si="35"/>
        <v>49.966122012129858</v>
      </c>
      <c r="P43" s="80">
        <f t="shared" ca="1" si="36"/>
        <v>66.618855240209285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840900</v>
      </c>
      <c r="M45" s="52">
        <f ca="1">IFERROR(__xludf.DUMMYFUNCTION("IMPORTRANGE(""https://docs.google.com/spreadsheets/d/1Yj_ptqi66GCucihVvJfMjLAmec39IyEx_6qawtMGysU/edit?usp=sharing"",""สบก!Q20"")"),630700)</f>
        <v>630700</v>
      </c>
      <c r="N45" s="52">
        <f ca="1">IFERROR(__xludf.DUMMYFUNCTION("IMPORTRANGE(""https://docs.google.com/spreadsheets/d/1Yj_ptqi66GCucihVvJfMjLAmec39IyEx_6qawtMGysU/edit?usp=sharing"",""สบก!R20"")"),420165.12)</f>
        <v>420165.12</v>
      </c>
      <c r="O45" s="41">
        <f ca="1">IF(L45&gt;0,N45*100/L45,0)</f>
        <v>49.966122012129858</v>
      </c>
      <c r="P45" s="41">
        <f ca="1">IF(M45&gt;0,N45*100/M45,0)</f>
        <v>66.618855240209285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IFERROR(__xludf.DUMMYFUNCTION("IMPORTRANGE(""https://docs.google.com/spreadsheets/d/1Yj_ptqi66GCucihVvJfMjLAmec39IyEx_6qawtMGysU/edit?usp=sharing"",""สบก!M20"")"),840900)</f>
        <v>840900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IFERROR(__xludf.DUMMYFUNCTION("IMPORTRANGE(""https://docs.google.com/spreadsheets/d/1Yj_ptqi66GCucihVvJfMjLAmec39IyEx_6qawtMGysU/edit?usp=sharing"",""สบก!N20"")"),0)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IFERROR(__xludf.DUMMYFUNCTION("IMPORTRANGE(""https://docs.google.com/spreadsheets/d/1Yj_ptqi66GCucihVvJfMjLAmec39IyEx_6qawtMGysU/edit?usp=sharing"",""สบก!O20"")"),0)</f>
        <v>0</v>
      </c>
      <c r="M49" s="52"/>
      <c r="N49" s="52">
        <f ca="1">IFERROR(__xludf.DUMMYFUNCTION("IMPORTRANGE(""https://docs.google.com/spreadsheets/d/1Yj_ptqi66GCucihVvJfMjLAmec39IyEx_6qawtMGysU/edit?usp=sharing"",""สบก!S20"")"),0)</f>
        <v>0</v>
      </c>
      <c r="O49" s="52">
        <f ca="1">IF(L49&gt;0,N49*100/L49,0)</f>
        <v>0</v>
      </c>
      <c r="P49" s="52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469000</v>
      </c>
      <c r="M53" s="123">
        <f t="shared" ca="1" si="39"/>
        <v>372032</v>
      </c>
      <c r="N53" s="123">
        <f t="shared" ca="1" si="39"/>
        <v>295255</v>
      </c>
      <c r="O53" s="122">
        <f t="shared" ref="O53:O55" ca="1" si="40">IF(L53&gt;0,N53*100/L53,0)</f>
        <v>62.954157782515992</v>
      </c>
      <c r="P53" s="122">
        <f t="shared" ref="P53:P55" ca="1" si="41">IF(M53&gt;0,N53*100/M53,0)</f>
        <v>79.362796748666781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469000</v>
      </c>
      <c r="M55" s="123">
        <f t="shared" ca="1" si="43"/>
        <v>372032</v>
      </c>
      <c r="N55" s="123">
        <f t="shared" ca="1" si="43"/>
        <v>295255</v>
      </c>
      <c r="O55" s="122">
        <f t="shared" ca="1" si="40"/>
        <v>62.954157782515992</v>
      </c>
      <c r="P55" s="122">
        <f t="shared" ca="1" si="41"/>
        <v>79.362796748666781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469000</v>
      </c>
      <c r="M57" s="52">
        <f ca="1">IFERROR(__xludf.DUMMYFUNCTION("IMPORTRANGE(""https://docs.google.com/spreadsheets/d/1Yj_ptqi66GCucihVvJfMjLAmec39IyEx_6qawtMGysU/edit?usp=sharing"",""สบก!Z20"")"),372032)</f>
        <v>372032</v>
      </c>
      <c r="N57" s="52">
        <f ca="1">IFERROR(__xludf.DUMMYFUNCTION("IMPORTRANGE(""https://docs.google.com/spreadsheets/d/1Yj_ptqi66GCucihVvJfMjLAmec39IyEx_6qawtMGysU/edit?usp=sharing"",""สบก!AA20"")"),295255)</f>
        <v>295255</v>
      </c>
      <c r="O57" s="41">
        <f ca="1">IF(L57&gt;0,N57*100/L57,0)</f>
        <v>62.954157782515992</v>
      </c>
      <c r="P57" s="41">
        <f ca="1">IF(M57&gt;0,N57*100/M57,0)</f>
        <v>79.362796748666781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IFERROR(__xludf.DUMMYFUNCTION("IMPORTRANGE(""https://docs.google.com/spreadsheets/d/1Yj_ptqi66GCucihVvJfMjLAmec39IyEx_6qawtMGysU/edit?usp=sharing"",""สบก!V20"")"),469000)</f>
        <v>469000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IFERROR(__xludf.DUMMYFUNCTION("IMPORTRANGE(""https://docs.google.com/spreadsheets/d/1Yj_ptqi66GCucihVvJfMjLAmec39IyEx_6qawtMGysU/edit?usp=sharing"",""สบก!W20"")"),0)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IFERROR(__xludf.DUMMYFUNCTION("IMPORTRANGE(""https://docs.google.com/spreadsheets/d/1Yj_ptqi66GCucihVvJfMjLAmec39IyEx_6qawtMGysU/edit?usp=sharing"",""สบก!X20"")"),0)</f>
        <v>0</v>
      </c>
      <c r="M61" s="52"/>
      <c r="N61" s="52">
        <f ca="1">IFERROR(__xludf.DUMMYFUNCTION("IMPORTRANGE(""https://docs.google.com/spreadsheets/d/1Yj_ptqi66GCucihVvJfMjLAmec39IyEx_6qawtMGysU/edit?usp=sharing"",""สบก!AB20"")"),0)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IFERROR(__xludf.DUMMYFUNCTION("IMPORTRANGE(""https://docs.google.com/spreadsheets/d/11923uPwbBZFjjGgGUA6NLw09EwE0CqkOc4q9oUmW1yo/edit?usp=sharing"",""กำแพงเพชร!I9"")"),0)</f>
        <v>0</v>
      </c>
      <c r="J64" s="144">
        <f ca="1">IFERROR(__xludf.DUMMYFUNCTION("IMPORTRANGE(""https://docs.google.com/spreadsheets/d/11923uPwbBZFjjGgGUA6NLw09EwE0CqkOc4q9oUmW1yo/edit?usp=sharing"",""กำแพงเพชร!J9"")"),0)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IFERROR(__xludf.DUMMYFUNCTION("IMPORTRANGE(""https://docs.google.com/spreadsheets/d/11923uPwbBZFjjGgGUA6NLw09EwE0CqkOc4q9oUmW1yo/edit?usp=sharing"",""กำแพงเพชร!I10"")"),0)</f>
        <v>0</v>
      </c>
      <c r="J65" s="144">
        <f ca="1">IFERROR(__xludf.DUMMYFUNCTION("IMPORTRANGE(""https://docs.google.com/spreadsheets/d/11923uPwbBZFjjGgGUA6NLw09EwE0CqkOc4q9oUmW1yo/edit?usp=sharing"",""กำแพงเพชร!J10"")"),0)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0</v>
      </c>
      <c r="M68" s="90">
        <f t="shared" ca="1" si="49"/>
        <v>0</v>
      </c>
      <c r="N68" s="90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59"/>
      <c r="B69" s="160"/>
      <c r="C69" s="160" t="s">
        <v>16</v>
      </c>
      <c r="D69" s="36" t="s">
        <v>20</v>
      </c>
      <c r="E69" s="161"/>
      <c r="F69" s="161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IFERROR(__xludf.DUMMYFUNCTION("IMPORTRANGE(""https://docs.google.com/spreadsheets/d/1Yj_ptqi66GCucihVvJfMjLAmec39IyEx_6qawtMGysU/edit?usp=sharing"",""สบก!AI20"")"),0)</f>
        <v>0</v>
      </c>
      <c r="N70" s="170">
        <f ca="1">IFERROR(__xludf.DUMMYFUNCTION("IMPORTRANGE(""https://docs.google.com/spreadsheets/d/1Yj_ptqi66GCucihVvJfMjLAmec39IyEx_6qawtMGysU/edit?usp=sharing"",""สบก!AJ20"")"),0)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IFERROR(__xludf.DUMMYFUNCTION("IMPORTRANGE(""https://docs.google.com/spreadsheets/d/1Yj_ptqi66GCucihVvJfMjLAmec39IyEx_6qawtMGysU/edit?usp=sharing"",""สบก!AE20"")"),0)</f>
        <v>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IFERROR(__xludf.DUMMYFUNCTION("IMPORTRANGE(""https://docs.google.com/spreadsheets/d/1Yj_ptqi66GCucihVvJfMjLAmec39IyEx_6qawtMGysU/edit?usp=sharing"",""สบก!AF20"")"),0)</f>
        <v>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IFERROR(__xludf.DUMMYFUNCTION("IMPORTRANGE(""https://docs.google.com/spreadsheets/d/1Yj_ptqi66GCucihVvJfMjLAmec39IyEx_6qawtMGysU/edit?usp=sharing"",""สบก!AG20"")"),0)</f>
        <v>0</v>
      </c>
      <c r="M74" s="52"/>
      <c r="N74" s="52">
        <f ca="1">IFERROR(__xludf.DUMMYFUNCTION("IMPORTRANGE(""https://docs.google.com/spreadsheets/d/1Yj_ptqi66GCucihVvJfMjLAmec39IyEx_6qawtMGysU/edit?usp=sharing"",""สบก!AK20"")"),0)</f>
        <v>0</v>
      </c>
      <c r="O74" s="52">
        <f ca="1">IF(L74&gt;0,N74*100/L74,0)</f>
        <v>0</v>
      </c>
      <c r="P74" s="52"/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IFERROR(__xludf.DUMMYFUNCTION("IMPORTRANGE(""https://docs.google.com/spreadsheets/d/11923uPwbBZFjjGgGUA6NLw09EwE0CqkOc4q9oUmW1yo/edit?usp=sharing"",""กำแพงเพชร!J16"")"),0)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IFERROR(__xludf.DUMMYFUNCTION("IMPORTRANGE(""https://docs.google.com/spreadsheets/d/11923uPwbBZFjjGgGUA6NLw09EwE0CqkOc4q9oUmW1yo/edit?usp=sharing"",""กำแพงเพชร!J17"")"),0)</f>
        <v>0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IFERROR(__xludf.DUMMYFUNCTION("IMPORTRANGE(""https://docs.google.com/spreadsheets/d/11923uPwbBZFjjGgGUA6NLw09EwE0CqkOc4q9oUmW1yo/edit?usp=sharing"",""กำแพงเพชร!J18"")"),0)</f>
        <v>0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IFERROR(__xludf.DUMMYFUNCTION("IMPORTRANGE(""https://docs.google.com/spreadsheets/d/11923uPwbBZFjjGgGUA6NLw09EwE0CqkOc4q9oUmW1yo/edit?usp=sharing"",""กำแพงเพชร!J19"")"),0)</f>
        <v>0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IFERROR(__xludf.DUMMYFUNCTION("IMPORTRANGE(""https://docs.google.com/spreadsheets/d/11923uPwbBZFjjGgGUA6NLw09EwE0CqkOc4q9oUmW1yo/edit?usp=sharing"",""กำแพงเพชร!I20"")"),0)</f>
        <v>0</v>
      </c>
      <c r="J80" s="202">
        <f ca="1">IFERROR(__xludf.DUMMYFUNCTION("IMPORTRANGE(""https://docs.google.com/spreadsheets/d/11923uPwbBZFjjGgGUA6NLw09EwE0CqkOc4q9oUmW1yo/edit?usp=sharing"",""กำแพงเพชร!J20"")"),0)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IFERROR(__xludf.DUMMYFUNCTION("IMPORTRANGE(""https://docs.google.com/spreadsheets/d/11923uPwbBZFjjGgGUA6NLw09EwE0CqkOc4q9oUmW1yo/edit?usp=sharing"",""กำแพงเพชร!I21"")"),0)</f>
        <v>0</v>
      </c>
      <c r="J81" s="202">
        <f ca="1">IFERROR(__xludf.DUMMYFUNCTION("IMPORTRANGE(""https://docs.google.com/spreadsheets/d/11923uPwbBZFjjGgGUA6NLw09EwE0CqkOc4q9oUmW1yo/edit?usp=sharing"",""กำแพงเพชร!J21"")"),0)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IFERROR(__xludf.DUMMYFUNCTION("IMPORTRANGE(""https://docs.google.com/spreadsheets/d/11923uPwbBZFjjGgGUA6NLw09EwE0CqkOc4q9oUmW1yo/edit?usp=sharing"",""กำแพงเพชร!I22"")"),0)</f>
        <v>0</v>
      </c>
      <c r="J82" s="205">
        <f ca="1">IFERROR(__xludf.DUMMYFUNCTION("IMPORTRANGE(""https://docs.google.com/spreadsheets/d/11923uPwbBZFjjGgGUA6NLw09EwE0CqkOc4q9oUmW1yo/edit?usp=sharing"",""กำแพงเพชร!J22"")"),0)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IFERROR(__xludf.DUMMYFUNCTION("IMPORTRANGE(""https://docs.google.com/spreadsheets/d/11923uPwbBZFjjGgGUA6NLw09EwE0CqkOc4q9oUmW1yo/edit?usp=sharing"",""กำแพงเพชร!I23"")"),0)</f>
        <v>0</v>
      </c>
      <c r="J83" s="205">
        <f ca="1">IFERROR(__xludf.DUMMYFUNCTION("IMPORTRANGE(""https://docs.google.com/spreadsheets/d/11923uPwbBZFjjGgGUA6NLw09EwE0CqkOc4q9oUmW1yo/edit?usp=sharing"",""กำแพงเพชร!J23"")"),0)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IFERROR(__xludf.DUMMYFUNCTION("IMPORTRANGE(""https://docs.google.com/spreadsheets/d/11923uPwbBZFjjGgGUA6NLw09EwE0CqkOc4q9oUmW1yo/edit?usp=sharing"",""กำแพงเพชร!I24"")"),0)</f>
        <v>0</v>
      </c>
      <c r="J84" s="190">
        <f ca="1">IFERROR(__xludf.DUMMYFUNCTION("IMPORTRANGE(""https://docs.google.com/spreadsheets/d/11923uPwbBZFjjGgGUA6NLw09EwE0CqkOc4q9oUmW1yo/edit?usp=sharing"",""กำแพงเพชร!J24"")"),0)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IFERROR(__xludf.DUMMYFUNCTION("IMPORTRANGE(""https://docs.google.com/spreadsheets/d/11923uPwbBZFjjGgGUA6NLw09EwE0CqkOc4q9oUmW1yo/edit?usp=sharing"",""กำแพงเพชร!I25"")"),0)</f>
        <v>0</v>
      </c>
      <c r="J85" s="190">
        <f ca="1">IFERROR(__xludf.DUMMYFUNCTION("IMPORTRANGE(""https://docs.google.com/spreadsheets/d/11923uPwbBZFjjGgGUA6NLw09EwE0CqkOc4q9oUmW1yo/edit?usp=sharing"",""กำแพงเพชร!J25"")"),0)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IFERROR(__xludf.DUMMYFUNCTION("IMPORTRANGE(""https://docs.google.com/spreadsheets/d/11923uPwbBZFjjGgGUA6NLw09EwE0CqkOc4q9oUmW1yo/edit?usp=sharing"",""กำแพงเพชร!I26"")"),0)</f>
        <v>0</v>
      </c>
      <c r="J86" s="205">
        <f ca="1">IFERROR(__xludf.DUMMYFUNCTION("IMPORTRANGE(""https://docs.google.com/spreadsheets/d/11923uPwbBZFjjGgGUA6NLw09EwE0CqkOc4q9oUmW1yo/edit?usp=sharing"",""กำแพงเพชร!J26"")"),0)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IFERROR(__xludf.DUMMYFUNCTION("IMPORTRANGE(""https://docs.google.com/spreadsheets/d/11923uPwbBZFjjGgGUA6NLw09EwE0CqkOc4q9oUmW1yo/edit?usp=sharing"",""กำแพงเพชร!I27"")"),0)</f>
        <v>0</v>
      </c>
      <c r="J87" s="205">
        <f ca="1">IFERROR(__xludf.DUMMYFUNCTION("IMPORTRANGE(""https://docs.google.com/spreadsheets/d/11923uPwbBZFjjGgGUA6NLw09EwE0CqkOc4q9oUmW1yo/edit?usp=sharing"",""กำแพงเพชร!J27"")"),0)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IFERROR(__xludf.DUMMYFUNCTION("IMPORTRANGE(""https://docs.google.com/spreadsheets/d/11923uPwbBZFjjGgGUA6NLw09EwE0CqkOc4q9oUmW1yo/edit?usp=sharing"",""กำแพงเพชร!I28"")"),0)</f>
        <v>0</v>
      </c>
      <c r="J88" s="205">
        <f ca="1">IFERROR(__xludf.DUMMYFUNCTION("IMPORTRANGE(""https://docs.google.com/spreadsheets/d/11923uPwbBZFjjGgGUA6NLw09EwE0CqkOc4q9oUmW1yo/edit?usp=sharing"",""กำแพงเพชร!J28"")"),0)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IFERROR(__xludf.DUMMYFUNCTION("IMPORTRANGE(""https://docs.google.com/spreadsheets/d/11923uPwbBZFjjGgGUA6NLw09EwE0CqkOc4q9oUmW1yo/edit?usp=sharing"",""กำแพงเพชร!J29"")"),0)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IFERROR(__xludf.DUMMYFUNCTION("IMPORTRANGE(""https://docs.google.com/spreadsheets/d/11923uPwbBZFjjGgGUA6NLw09EwE0CqkOc4q9oUmW1yo/edit?usp=sharing"",""กำแพงเพชร!J30"")"),0)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IFERROR(__xludf.DUMMYFUNCTION("IMPORTRANGE(""https://docs.google.com/spreadsheets/d/11923uPwbBZFjjGgGUA6NLw09EwE0CqkOc4q9oUmW1yo/edit?usp=sharing"",""กำแพงเพชร!I32"")"),0)</f>
        <v>0</v>
      </c>
      <c r="J92" s="144">
        <f ca="1">IFERROR(__xludf.DUMMYFUNCTION("IMPORTRANGE(""https://docs.google.com/spreadsheets/d/11923uPwbBZFjjGgGUA6NLw09EwE0CqkOc4q9oUmW1yo/edit?usp=sharing"",""กำแพงเพชร!J32"")"),0)</f>
        <v>0</v>
      </c>
      <c r="K92" s="145">
        <f t="shared" ref="K92:K93" ca="1" si="51">IF(I92&gt;0,J92*100/I92,0)</f>
        <v>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IFERROR(__xludf.DUMMYFUNCTION("IMPORTRANGE(""https://docs.google.com/spreadsheets/d/11923uPwbBZFjjGgGUA6NLw09EwE0CqkOc4q9oUmW1yo/edit?usp=sharing"",""กำแพงเพชร!I33"")"),0)</f>
        <v>0</v>
      </c>
      <c r="J93" s="144">
        <f ca="1">IFERROR(__xludf.DUMMYFUNCTION("IMPORTRANGE(""https://docs.google.com/spreadsheets/d/11923uPwbBZFjjGgGUA6NLw09EwE0CqkOc4q9oUmW1yo/edit?usp=sharing"",""กำแพงเพชร!J33"")"),0)</f>
        <v>0</v>
      </c>
      <c r="K93" s="145">
        <f t="shared" ca="1" si="51"/>
        <v>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0</v>
      </c>
      <c r="M96" s="90">
        <f t="shared" ca="1" si="56"/>
        <v>0</v>
      </c>
      <c r="N96" s="90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59"/>
      <c r="B97" s="160"/>
      <c r="C97" s="160" t="s">
        <v>16</v>
      </c>
      <c r="D97" s="36" t="s">
        <v>20</v>
      </c>
      <c r="E97" s="161"/>
      <c r="F97" s="161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IFERROR(__xludf.DUMMYFUNCTION("IMPORTRANGE(""https://docs.google.com/spreadsheets/d/1Yj_ptqi66GCucihVvJfMjLAmec39IyEx_6qawtMGysU/edit?usp=sharing"",""สบก!AR20"")"),0)</f>
        <v>0</v>
      </c>
      <c r="N98" s="170">
        <f ca="1">IFERROR(__xludf.DUMMYFUNCTION("IMPORTRANGE(""https://docs.google.com/spreadsheets/d/1Yj_ptqi66GCucihVvJfMjLAmec39IyEx_6qawtMGysU/edit?usp=sharing"",""สบก!AS20"")"),0)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IFERROR(__xludf.DUMMYFUNCTION("IMPORTRANGE(""https://docs.google.com/spreadsheets/d/1Yj_ptqi66GCucihVvJfMjLAmec39IyEx_6qawtMGysU/edit?usp=sharing"",""สบก!AN20"")"),0)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IFERROR(__xludf.DUMMYFUNCTION("IMPORTRANGE(""https://docs.google.com/spreadsheets/d/1Yj_ptqi66GCucihVvJfMjLAmec39IyEx_6qawtMGysU/edit?usp=sharing"",""สบก!AO20"")"),0)</f>
        <v>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IFERROR(__xludf.DUMMYFUNCTION("IMPORTRANGE(""https://docs.google.com/spreadsheets/d/1Yj_ptqi66GCucihVvJfMjLAmec39IyEx_6qawtMGysU/edit?usp=sharing"",""สบก!AP20"")"),0)</f>
        <v>0</v>
      </c>
      <c r="M102" s="52"/>
      <c r="N102" s="52">
        <f ca="1">IFERROR(__xludf.DUMMYFUNCTION("IMPORTRANGE(""https://docs.google.com/spreadsheets/d/1Yj_ptqi66GCucihVvJfMjLAmec39IyEx_6qawtMGysU/edit?usp=sharing"",""สบก!AT20"")"),0)</f>
        <v>0</v>
      </c>
      <c r="O102" s="52">
        <f ca="1">IF(L102&gt;0,N102*100/L102,0)</f>
        <v>0</v>
      </c>
      <c r="P102" s="52"/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IFERROR(__xludf.DUMMYFUNCTION("IMPORTRANGE(""https://docs.google.com/spreadsheets/d/11923uPwbBZFjjGgGUA6NLw09EwE0CqkOc4q9oUmW1yo/edit?usp=sharing"",""กำแพงเพชร!J39"")"),0)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IFERROR(__xludf.DUMMYFUNCTION("IMPORTRANGE(""https://docs.google.com/spreadsheets/d/11923uPwbBZFjjGgGUA6NLw09EwE0CqkOc4q9oUmW1yo/edit?usp=sharing"",""กำแพงเพชร!J40"")"),0)</f>
        <v>0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IFERROR(__xludf.DUMMYFUNCTION("IMPORTRANGE(""https://docs.google.com/spreadsheets/d/11923uPwbBZFjjGgGUA6NLw09EwE0CqkOc4q9oUmW1yo/edit?usp=sharing"",""กำแพงเพชร!J41"")"),0)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IFERROR(__xludf.DUMMYFUNCTION("IMPORTRANGE(""https://docs.google.com/spreadsheets/d/11923uPwbBZFjjGgGUA6NLw09EwE0CqkOc4q9oUmW1yo/edit?usp=sharing"",""กำแพงเพชร!J42"")"),0)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IFERROR(__xludf.DUMMYFUNCTION("IMPORTRANGE(""https://docs.google.com/spreadsheets/d/11923uPwbBZFjjGgGUA6NLw09EwE0CqkOc4q9oUmW1yo/edit?usp=sharing"",""กำแพงเพชร!I43"")"),0)</f>
        <v>0</v>
      </c>
      <c r="J108" s="205">
        <f ca="1">IFERROR(__xludf.DUMMYFUNCTION("IMPORTRANGE(""https://docs.google.com/spreadsheets/d/11923uPwbBZFjjGgGUA6NLw09EwE0CqkOc4q9oUmW1yo/edit?usp=sharing"",""กำแพงเพชร!J43"")"),0)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IFERROR(__xludf.DUMMYFUNCTION("IMPORTRANGE(""https://docs.google.com/spreadsheets/d/11923uPwbBZFjjGgGUA6NLw09EwE0CqkOc4q9oUmW1yo/edit?usp=sharing"",""กำแพงเพชร!I44"")"),0)</f>
        <v>0</v>
      </c>
      <c r="J109" s="205">
        <f ca="1">IFERROR(__xludf.DUMMYFUNCTION("IMPORTRANGE(""https://docs.google.com/spreadsheets/d/11923uPwbBZFjjGgGUA6NLw09EwE0CqkOc4q9oUmW1yo/edit?usp=sharing"",""กำแพงเพชร!J44"")"),0)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IFERROR(__xludf.DUMMYFUNCTION("IMPORTRANGE(""https://docs.google.com/spreadsheets/d/11923uPwbBZFjjGgGUA6NLw09EwE0CqkOc4q9oUmW1yo/edit?usp=sharing"",""กำแพงเพชร!I45"")"),0)</f>
        <v>0</v>
      </c>
      <c r="J110" s="205">
        <f ca="1">IFERROR(__xludf.DUMMYFUNCTION("IMPORTRANGE(""https://docs.google.com/spreadsheets/d/11923uPwbBZFjjGgGUA6NLw09EwE0CqkOc4q9oUmW1yo/edit?usp=sharing"",""กำแพงเพชร!J45"")"),0)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IFERROR(__xludf.DUMMYFUNCTION("IMPORTRANGE(""https://docs.google.com/spreadsheets/d/11923uPwbBZFjjGgGUA6NLw09EwE0CqkOc4q9oUmW1yo/edit?usp=sharing"",""กำแพงเพชร!I46"")"),0)</f>
        <v>0</v>
      </c>
      <c r="J111" s="205">
        <f ca="1">IFERROR(__xludf.DUMMYFUNCTION("IMPORTRANGE(""https://docs.google.com/spreadsheets/d/11923uPwbBZFjjGgGUA6NLw09EwE0CqkOc4q9oUmW1yo/edit?usp=sharing"",""กำแพงเพชร!J46"")"),0)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IFERROR(__xludf.DUMMYFUNCTION("IMPORTRANGE(""https://docs.google.com/spreadsheets/d/11923uPwbBZFjjGgGUA6NLw09EwE0CqkOc4q9oUmW1yo/edit?usp=sharing"",""กำแพงเพชร!I47"")"),0)</f>
        <v>0</v>
      </c>
      <c r="J112" s="205">
        <f ca="1">IFERROR(__xludf.DUMMYFUNCTION("IMPORTRANGE(""https://docs.google.com/spreadsheets/d/11923uPwbBZFjjGgGUA6NLw09EwE0CqkOc4q9oUmW1yo/edit?usp=sharing"",""กำแพงเพชร!J47"")"),0)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IFERROR(__xludf.DUMMYFUNCTION("IMPORTRANGE(""https://docs.google.com/spreadsheets/d/11923uPwbBZFjjGgGUA6NLw09EwE0CqkOc4q9oUmW1yo/edit?usp=sharing"",""กำแพงเพชร!I48"")"),0)</f>
        <v>0</v>
      </c>
      <c r="J113" s="205">
        <f ca="1">IFERROR(__xludf.DUMMYFUNCTION("IMPORTRANGE(""https://docs.google.com/spreadsheets/d/11923uPwbBZFjjGgGUA6NLw09EwE0CqkOc4q9oUmW1yo/edit?usp=sharing"",""กำแพงเพชร!J48"")"),0)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IFERROR(__xludf.DUMMYFUNCTION("IMPORTRANGE(""https://docs.google.com/spreadsheets/d/11923uPwbBZFjjGgGUA6NLw09EwE0CqkOc4q9oUmW1yo/edit?usp=sharing"",""กำแพงเพชร!J49"")"),0)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IFERROR(__xludf.DUMMYFUNCTION("IMPORTRANGE(""https://docs.google.com/spreadsheets/d/11923uPwbBZFjjGgGUA6NLw09EwE0CqkOc4q9oUmW1yo/edit?usp=sharing"",""กำแพงเพชร!J50"")"),0)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IFERROR(__xludf.DUMMYFUNCTION("IMPORTRANGE(""https://docs.google.com/spreadsheets/d/11923uPwbBZFjjGgGUA6NLw09EwE0CqkOc4q9oUmW1yo/edit?usp=sharing"",""กำแพงเพชร!I52"")"),20)</f>
        <v>20</v>
      </c>
      <c r="J117" s="144">
        <f ca="1">IFERROR(__xludf.DUMMYFUNCTION("IMPORTRANGE(""https://docs.google.com/spreadsheets/d/11923uPwbBZFjjGgGUA6NLw09EwE0CqkOc4q9oUmW1yo/edit?usp=sharing"",""กำแพงเพชร!J52"")"),20)</f>
        <v>20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82440</v>
      </c>
      <c r="M118" s="154">
        <f t="shared" ca="1" si="58"/>
        <v>82440</v>
      </c>
      <c r="N118" s="154">
        <f t="shared" ca="1" si="58"/>
        <v>66080</v>
      </c>
      <c r="O118" s="153">
        <f t="shared" ref="O118:O120" ca="1" si="59">IF(L118&gt;0,N118*100/L118,0)</f>
        <v>80.155264434740417</v>
      </c>
      <c r="P118" s="153">
        <f t="shared" ref="P118:P120" ca="1" si="60">IF(M118&gt;0,N118*100/M118,0)</f>
        <v>80.155264434740417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82440</v>
      </c>
      <c r="M120" s="90">
        <f t="shared" ca="1" si="62"/>
        <v>82440</v>
      </c>
      <c r="N120" s="90">
        <f t="shared" ca="1" si="62"/>
        <v>66080</v>
      </c>
      <c r="O120" s="158">
        <f t="shared" ca="1" si="59"/>
        <v>80.155264434740417</v>
      </c>
      <c r="P120" s="158">
        <f t="shared" ca="1" si="60"/>
        <v>80.155264434740417</v>
      </c>
    </row>
    <row r="121" spans="1:16" ht="21.75" customHeight="1">
      <c r="A121" s="159"/>
      <c r="B121" s="160"/>
      <c r="C121" s="160" t="s">
        <v>16</v>
      </c>
      <c r="D121" s="36" t="s">
        <v>20</v>
      </c>
      <c r="E121" s="161"/>
      <c r="F121" s="161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IFERROR(__xludf.DUMMYFUNCTION("IMPORTRANGE(""https://docs.google.com/spreadsheets/d/1Yj_ptqi66GCucihVvJfMjLAmec39IyEx_6qawtMGysU/edit?usp=sharing"",""สบก!BA20"")"),82440)</f>
        <v>82440</v>
      </c>
      <c r="N122" s="170">
        <f ca="1">IFERROR(__xludf.DUMMYFUNCTION("IMPORTRANGE(""https://docs.google.com/spreadsheets/d/1Yj_ptqi66GCucihVvJfMjLAmec39IyEx_6qawtMGysU/edit?usp=sharing"",""สบก!BB20"")"),66080)</f>
        <v>66080</v>
      </c>
      <c r="O122" s="170">
        <f ca="1">IF(L122&gt;0,N122*100/L122,0)</f>
        <v>80.155264434740417</v>
      </c>
      <c r="P122" s="170">
        <f ca="1">IF(M122&gt;0,N122*100/M122,0)</f>
        <v>80.155264434740417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IFERROR(__xludf.DUMMYFUNCTION("IMPORTRANGE(""https://docs.google.com/spreadsheets/d/1Yj_ptqi66GCucihVvJfMjLAmec39IyEx_6qawtMGysU/edit?usp=sharing"",""สบก!AW20"")"),0)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IFERROR(__xludf.DUMMYFUNCTION("IMPORTRANGE(""https://docs.google.com/spreadsheets/d/1Yj_ptqi66GCucihVvJfMjLAmec39IyEx_6qawtMGysU/edit?usp=sharing"",""สบก!AX20"")"),82440)</f>
        <v>82440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IFERROR(__xludf.DUMMYFUNCTION("IMPORTRANGE(""https://docs.google.com/spreadsheets/d/1Yj_ptqi66GCucihVvJfMjLAmec39IyEx_6qawtMGysU/edit?usp=sharing"",""สบก!AY20"")"),0)</f>
        <v>0</v>
      </c>
      <c r="M126" s="52"/>
      <c r="N126" s="52">
        <f ca="1">IFERROR(__xludf.DUMMYFUNCTION("IMPORTRANGE(""https://docs.google.com/spreadsheets/d/1Yj_ptqi66GCucihVvJfMjLAmec39IyEx_6qawtMGysU/edit?usp=sharing"",""สบก!BC20"")"),0)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261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IFERROR(__xludf.DUMMYFUNCTION("IMPORTRANGE(""https://docs.google.com/spreadsheets/d/11923uPwbBZFjjGgGUA6NLw09EwE0CqkOc4q9oUmW1yo/edit?usp=sharing"",""กำแพงเพชร!J58"")"),0)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IFERROR(__xludf.DUMMYFUNCTION("IMPORTRANGE(""https://docs.google.com/spreadsheets/d/11923uPwbBZFjjGgGUA6NLw09EwE0CqkOc4q9oUmW1yo/edit?usp=sharing"",""กำแพงเพชร!J59"")"),1)</f>
        <v>1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IFERROR(__xludf.DUMMYFUNCTION("IMPORTRANGE(""https://docs.google.com/spreadsheets/d/11923uPwbBZFjjGgGUA6NLw09EwE0CqkOc4q9oUmW1yo/edit?usp=sharing"",""กำแพงเพชร!J60"")"),1)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IFERROR(__xludf.DUMMYFUNCTION("IMPORTRANGE(""https://docs.google.com/spreadsheets/d/11923uPwbBZFjjGgGUA6NLw09EwE0CqkOc4q9oUmW1yo/edit?usp=sharing"",""กำแพงเพชร!J61"")"),1)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IFERROR(__xludf.DUMMYFUNCTION("IMPORTRANGE(""https://docs.google.com/spreadsheets/d/11923uPwbBZFjjGgGUA6NLw09EwE0CqkOc4q9oUmW1yo/edit?usp=sharing"",""กำแพงเพชร!I62"")"),20)</f>
        <v>20</v>
      </c>
      <c r="J132" s="205">
        <f ca="1">IFERROR(__xludf.DUMMYFUNCTION("IMPORTRANGE(""https://docs.google.com/spreadsheets/d/11923uPwbBZFjjGgGUA6NLw09EwE0CqkOc4q9oUmW1yo/edit?usp=sharing"",""กำแพงเพชร!J62"")"),20)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IFERROR(__xludf.DUMMYFUNCTION("IMPORTRANGE(""https://docs.google.com/spreadsheets/d/11923uPwbBZFjjGgGUA6NLw09EwE0CqkOc4q9oUmW1yo/edit?usp=sharing"",""กำแพงเพชร!I63"")"),20)</f>
        <v>20</v>
      </c>
      <c r="J133" s="205">
        <f ca="1">IFERROR(__xludf.DUMMYFUNCTION("IMPORTRANGE(""https://docs.google.com/spreadsheets/d/11923uPwbBZFjjGgGUA6NLw09EwE0CqkOc4q9oUmW1yo/edit?usp=sharing"",""กำแพงเพชร!J63"")"),20)</f>
        <v>20</v>
      </c>
      <c r="K133" s="225">
        <f t="shared" ca="1" si="63"/>
        <v>100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IFERROR(__xludf.DUMMYFUNCTION("IMPORTRANGE(""https://docs.google.com/spreadsheets/d/11923uPwbBZFjjGgGUA6NLw09EwE0CqkOc4q9oUmW1yo/edit?usp=sharing"",""กำแพงเพชร!J64"")"),0)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IFERROR(__xludf.DUMMYFUNCTION("IMPORTRANGE(""https://docs.google.com/spreadsheets/d/11923uPwbBZFjjGgGUA6NLw09EwE0CqkOc4q9oUmW1yo/edit?usp=sharing"",""กำแพงเพชร!J65"")"),0)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IFERROR(__xludf.DUMMYFUNCTION("IMPORTRANGE(""https://docs.google.com/spreadsheets/d/11923uPwbBZFjjGgGUA6NLw09EwE0CqkOc4q9oUmW1yo/edit?usp=sharing"",""กำแพงเพชร!I68"")"),0)</f>
        <v>0</v>
      </c>
      <c r="J138" s="268">
        <f ca="1">IFERROR(__xludf.DUMMYFUNCTION("IMPORTRANGE(""https://docs.google.com/spreadsheets/d/11923uPwbBZFjjGgGUA6NLw09EwE0CqkOc4q9oUmW1yo/edit?usp=sharing"",""กำแพงเพชร!J68"")"),0)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69000</v>
      </c>
      <c r="M140" s="154">
        <f t="shared" ca="1" si="64"/>
        <v>137425</v>
      </c>
      <c r="N140" s="154">
        <f t="shared" ca="1" si="64"/>
        <v>110350</v>
      </c>
      <c r="O140" s="153">
        <f t="shared" ref="O140:O142" ca="1" si="65">IF(L140&gt;0,N140*100/L140,0)</f>
        <v>159.92753623188406</v>
      </c>
      <c r="P140" s="153">
        <f t="shared" ref="P140:P142" ca="1" si="66">IF(M140&gt;0,N140*100/M140,0)</f>
        <v>80.298344551573592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69000</v>
      </c>
      <c r="M142" s="90">
        <f t="shared" ca="1" si="68"/>
        <v>137425</v>
      </c>
      <c r="N142" s="90">
        <f t="shared" ca="1" si="68"/>
        <v>110350</v>
      </c>
      <c r="O142" s="158">
        <f t="shared" ca="1" si="65"/>
        <v>159.92753623188406</v>
      </c>
      <c r="P142" s="158">
        <f t="shared" ca="1" si="66"/>
        <v>80.298344551573592</v>
      </c>
    </row>
    <row r="143" spans="1:16" ht="21.75" customHeight="1">
      <c r="A143" s="159"/>
      <c r="B143" s="160"/>
      <c r="C143" s="160" t="s">
        <v>16</v>
      </c>
      <c r="D143" s="36" t="s">
        <v>20</v>
      </c>
      <c r="E143" s="161"/>
      <c r="F143" s="161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69000</v>
      </c>
      <c r="M144" s="169">
        <f ca="1">IFERROR(__xludf.DUMMYFUNCTION("IMPORTRANGE(""https://docs.google.com/spreadsheets/d/1Yj_ptqi66GCucihVvJfMjLAmec39IyEx_6qawtMGysU/edit?usp=sharing"",""สบก!BJ20"")"),137425)</f>
        <v>137425</v>
      </c>
      <c r="N144" s="170">
        <f ca="1">IFERROR(__xludf.DUMMYFUNCTION("IMPORTRANGE(""https://docs.google.com/spreadsheets/d/1Yj_ptqi66GCucihVvJfMjLAmec39IyEx_6qawtMGysU/edit?usp=sharing"",""สบก!BK20"")"),110350)</f>
        <v>110350</v>
      </c>
      <c r="O144" s="170">
        <f ca="1">IF(L144&gt;0,N144*100/L144,0)</f>
        <v>159.92753623188406</v>
      </c>
      <c r="P144" s="170">
        <f ca="1">IF(M144&gt;0,N144*100/M144,0)</f>
        <v>80.298344551573592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IFERROR(__xludf.DUMMYFUNCTION("IMPORTRANGE(""https://docs.google.com/spreadsheets/d/1Yj_ptqi66GCucihVvJfMjLAmec39IyEx_6qawtMGysU/edit?usp=sharing"",""สบก!BF20"")"),0)</f>
        <v>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IFERROR(__xludf.DUMMYFUNCTION("IMPORTRANGE(""https://docs.google.com/spreadsheets/d/1Yj_ptqi66GCucihVvJfMjLAmec39IyEx_6qawtMGysU/edit?usp=sharing"",""สบก!BG20"")"),69000)</f>
        <v>69000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IFERROR(__xludf.DUMMYFUNCTION("IMPORTRANGE(""https://docs.google.com/spreadsheets/d/1Yj_ptqi66GCucihVvJfMjLAmec39IyEx_6qawtMGysU/edit?usp=sharing"",""สบก!BH20"")"),0)</f>
        <v>0</v>
      </c>
      <c r="M148" s="52"/>
      <c r="N148" s="52">
        <f ca="1">IFERROR(__xludf.DUMMYFUNCTION("IMPORTRANGE(""https://docs.google.com/spreadsheets/d/1Yj_ptqi66GCucihVvJfMjLAmec39IyEx_6qawtMGysU/edit?usp=sharing"",""สบก!BL20"")"),0)</f>
        <v>0</v>
      </c>
      <c r="O148" s="52">
        <f ca="1">IF(L148&gt;0,N148*100/L148,0)</f>
        <v>0</v>
      </c>
      <c r="P148" s="52"/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IFERROR(__xludf.DUMMYFUNCTION("IMPORTRANGE(""https://docs.google.com/spreadsheets/d/11923uPwbBZFjjGgGUA6NLw09EwE0CqkOc4q9oUmW1yo/edit?usp=sharing"",""กำแพงเพชร!I74"")"),4)</f>
        <v>4</v>
      </c>
      <c r="J149" s="276">
        <f ca="1">IFERROR(__xludf.DUMMYFUNCTION("IMPORTRANGE(""https://docs.google.com/spreadsheets/d/11923uPwbBZFjjGgGUA6NLw09EwE0CqkOc4q9oUmW1yo/edit?usp=sharing"",""กำแพงเพชร!J74"")"),2)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IFERROR(__xludf.DUMMYFUNCTION("IMPORTRANGE(""https://docs.google.com/spreadsheets/d/11923uPwbBZFjjGgGUA6NLw09EwE0CqkOc4q9oUmW1yo/edit?usp=sharing"",""กำแพงเพชร!J79"")"),0)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IFERROR(__xludf.DUMMYFUNCTION("IMPORTRANGE(""https://docs.google.com/spreadsheets/d/11923uPwbBZFjjGgGUA6NLw09EwE0CqkOc4q9oUmW1yo/edit?usp=sharing"",""กำแพงเพชร!J80"")"),1)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IFERROR(__xludf.DUMMYFUNCTION("IMPORTRANGE(""https://docs.google.com/spreadsheets/d/11923uPwbBZFjjGgGUA6NLw09EwE0CqkOc4q9oUmW1yo/edit?usp=sharing"",""กำแพงเพชร!J81"")"),1)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IFERROR(__xludf.DUMMYFUNCTION("IMPORTRANGE(""https://docs.google.com/spreadsheets/d/11923uPwbBZFjjGgGUA6NLw09EwE0CqkOc4q9oUmW1yo/edit?usp=sharing"",""กำแพงเพชร!J82"")"),1)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IFERROR(__xludf.DUMMYFUNCTION("IMPORTRANGE(""https://docs.google.com/spreadsheets/d/11923uPwbBZFjjGgGUA6NLw09EwE0CqkOc4q9oUmW1yo/edit?usp=sharing"",""กำแพงเพชร!I83"")"),4)</f>
        <v>4</v>
      </c>
      <c r="J158" s="190">
        <f ca="1">IFERROR(__xludf.DUMMYFUNCTION("IMPORTRANGE(""https://docs.google.com/spreadsheets/d/11923uPwbBZFjjGgGUA6NLw09EwE0CqkOc4q9oUmW1yo/edit?usp=sharing"",""กำแพงเพชร!J83"")"),2)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IFERROR(__xludf.DUMMYFUNCTION("IMPORTRANGE(""https://docs.google.com/spreadsheets/d/11923uPwbBZFjjGgGUA6NLw09EwE0CqkOc4q9oUmW1yo/edit?usp=sharing"",""กำแพงเพชร!J84"")"),33)</f>
        <v>33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IFERROR(__xludf.DUMMYFUNCTION("IMPORTRANGE(""https://docs.google.com/spreadsheets/d/11923uPwbBZFjjGgGUA6NLw09EwE0CqkOc4q9oUmW1yo/edit?usp=sharing"",""กำแพงเพชร!J85"")"),33)</f>
        <v>33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IFERROR(__xludf.DUMMYFUNCTION("IMPORTRANGE(""https://docs.google.com/spreadsheets/d/11923uPwbBZFjjGgGUA6NLw09EwE0CqkOc4q9oUmW1yo/edit?usp=sharing"",""กำแพงเพชร!J86"")"),0)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IFERROR(__xludf.DUMMYFUNCTION("IMPORTRANGE(""https://docs.google.com/spreadsheets/d/11923uPwbBZFjjGgGUA6NLw09EwE0CqkOc4q9oUmW1yo/edit?usp=sharing"",""กำแพงเพชร!J87"")"),0)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IFERROR(__xludf.DUMMYFUNCTION("IMPORTRANGE(""https://docs.google.com/spreadsheets/d/11923uPwbBZFjjGgGUA6NLw09EwE0CqkOc4q9oUmW1yo/edit?usp=sharing"",""กำแพงเพชร!J88"")"),0)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IFERROR(__xludf.DUMMYFUNCTION("IMPORTRANGE(""https://docs.google.com/spreadsheets/d/11923uPwbBZFjjGgGUA6NLw09EwE0CqkOc4q9oUmW1yo/edit?usp=sharing"",""กำแพงเพชร!I89"")"),3)</f>
        <v>3</v>
      </c>
      <c r="J164" s="285">
        <f ca="1">IFERROR(__xludf.DUMMYFUNCTION("IMPORTRANGE(""https://docs.google.com/spreadsheets/d/11923uPwbBZFjjGgGUA6NLw09EwE0CqkOc4q9oUmW1yo/edit?usp=sharing"",""กำแพงเพชร!J89"")"),2)</f>
        <v>2</v>
      </c>
      <c r="K164" s="286">
        <f ca="1">IF(I164&gt;0,J164*100/I164,0)</f>
        <v>66.666666666666671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IFERROR(__xludf.DUMMYFUNCTION("IMPORTRANGE(""https://docs.google.com/spreadsheets/d/11923uPwbBZFjjGgGUA6NLw09EwE0CqkOc4q9oUmW1yo/edit?usp=sharing"",""กำแพงเพชร!J94"")"),0)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IFERROR(__xludf.DUMMYFUNCTION("IMPORTRANGE(""https://docs.google.com/spreadsheets/d/11923uPwbBZFjjGgGUA6NLw09EwE0CqkOc4q9oUmW1yo/edit?usp=sharing"",""กำแพงเพชร!J95"")"),1)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IFERROR(__xludf.DUMMYFUNCTION("IMPORTRANGE(""https://docs.google.com/spreadsheets/d/11923uPwbBZFjjGgGUA6NLw09EwE0CqkOc4q9oUmW1yo/edit?usp=sharing"",""กำแพงเพชร!J96"")"),1)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IFERROR(__xludf.DUMMYFUNCTION("IMPORTRANGE(""https://docs.google.com/spreadsheets/d/11923uPwbBZFjjGgGUA6NLw09EwE0CqkOc4q9oUmW1yo/edit?usp=sharing"",""กำแพงเพชร!J97"")"),1)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IFERROR(__xludf.DUMMYFUNCTION("IMPORTRANGE(""https://docs.google.com/spreadsheets/d/11923uPwbBZFjjGgGUA6NLw09EwE0CqkOc4q9oUmW1yo/edit?usp=sharing"",""กำแพงเพชร!I98"")"),3)</f>
        <v>3</v>
      </c>
      <c r="J173" s="190">
        <f ca="1">IFERROR(__xludf.DUMMYFUNCTION("IMPORTRANGE(""https://docs.google.com/spreadsheets/d/11923uPwbBZFjjGgGUA6NLw09EwE0CqkOc4q9oUmW1yo/edit?usp=sharing"",""กำแพงเพชร!J98"")"),2)</f>
        <v>2</v>
      </c>
      <c r="K173" s="165">
        <f ca="1">IF(I173&gt;0,J173*100/I173,0)</f>
        <v>66.666666666666671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IFERROR(__xludf.DUMMYFUNCTION("IMPORTRANGE(""https://docs.google.com/spreadsheets/d/11923uPwbBZFjjGgGUA6NLw09EwE0CqkOc4q9oUmW1yo/edit?usp=sharing"",""กำแพงเพชร!J99"")"),0)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IFERROR(__xludf.DUMMYFUNCTION("IMPORTRANGE(""https://docs.google.com/spreadsheets/d/11923uPwbBZFjjGgGUA6NLw09EwE0CqkOc4q9oUmW1yo/edit?usp=sharing"",""กำแพงเพชร!J100"")"),0)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IFERROR(__xludf.DUMMYFUNCTION("IMPORTRANGE(""https://docs.google.com/spreadsheets/d/11923uPwbBZFjjGgGUA6NLw09EwE0CqkOc4q9oUmW1yo/edit?usp=sharing"",""กำแพงเพชร!I101"")"),0)</f>
        <v>0</v>
      </c>
      <c r="J176" s="285">
        <f ca="1">IFERROR(__xludf.DUMMYFUNCTION("IMPORTRANGE(""https://docs.google.com/spreadsheets/d/11923uPwbBZFjjGgGUA6NLw09EwE0CqkOc4q9oUmW1yo/edit?usp=sharing"",""กำแพงเพชร!J101"")"),0)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IFERROR(__xludf.DUMMYFUNCTION("IMPORTRANGE(""https://docs.google.com/spreadsheets/d/11923uPwbBZFjjGgGUA6NLw09EwE0CqkOc4q9oUmW1yo/edit?usp=sharing"",""กำแพงเพชร!J106"")"),0)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IFERROR(__xludf.DUMMYFUNCTION("IMPORTRANGE(""https://docs.google.com/spreadsheets/d/11923uPwbBZFjjGgGUA6NLw09EwE0CqkOc4q9oUmW1yo/edit?usp=sharing"",""กำแพงเพชร!J107"")"),0)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IFERROR(__xludf.DUMMYFUNCTION("IMPORTRANGE(""https://docs.google.com/spreadsheets/d/11923uPwbBZFjjGgGUA6NLw09EwE0CqkOc4q9oUmW1yo/edit?usp=sharing"",""กำแพงเพชร!J108"")"),0)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IFERROR(__xludf.DUMMYFUNCTION("IMPORTRANGE(""https://docs.google.com/spreadsheets/d/11923uPwbBZFjjGgGUA6NLw09EwE0CqkOc4q9oUmW1yo/edit?usp=sharing"",""กำแพงเพชร!J109"")"),0)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IFERROR(__xludf.DUMMYFUNCTION("IMPORTRANGE(""https://docs.google.com/spreadsheets/d/11923uPwbBZFjjGgGUA6NLw09EwE0CqkOc4q9oUmW1yo/edit?usp=sharing"",""กำแพงเพชร!I110"")"),0)</f>
        <v>0</v>
      </c>
      <c r="J185" s="205">
        <f ca="1">IFERROR(__xludf.DUMMYFUNCTION("IMPORTRANGE(""https://docs.google.com/spreadsheets/d/11923uPwbBZFjjGgGUA6NLw09EwE0CqkOc4q9oUmW1yo/edit?usp=sharing"",""กำแพงเพชร!J110"")"),0)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IFERROR(__xludf.DUMMYFUNCTION("IMPORTRANGE(""https://docs.google.com/spreadsheets/d/11923uPwbBZFjjGgGUA6NLw09EwE0CqkOc4q9oUmW1yo/edit?usp=sharing"",""กำแพงเพชร!I111"")"),0)</f>
        <v>0</v>
      </c>
      <c r="J186" s="205">
        <f ca="1">IFERROR(__xludf.DUMMYFUNCTION("IMPORTRANGE(""https://docs.google.com/spreadsheets/d/11923uPwbBZFjjGgGUA6NLw09EwE0CqkOc4q9oUmW1yo/edit?usp=sharing"",""กำแพงเพชร!J111"")"),0)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IFERROR(__xludf.DUMMYFUNCTION("IMPORTRANGE(""https://docs.google.com/spreadsheets/d/11923uPwbBZFjjGgGUA6NLw09EwE0CqkOc4q9oUmW1yo/edit?usp=sharing"",""กำแพงเพชร!J112"")"),0)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IFERROR(__xludf.DUMMYFUNCTION("IMPORTRANGE(""https://docs.google.com/spreadsheets/d/11923uPwbBZFjjGgGUA6NLw09EwE0CqkOc4q9oUmW1yo/edit?usp=sharing"",""กำแพงเพชร!J113"")"),0)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IFERROR(__xludf.DUMMYFUNCTION("IMPORTRANGE(""https://docs.google.com/spreadsheets/d/11923uPwbBZFjjGgGUA6NLw09EwE0CqkOc4q9oUmW1yo/edit?usp=sharing"",""กำแพงเพชร!I114"")"),50000)</f>
        <v>50000</v>
      </c>
      <c r="J189" s="285">
        <f ca="1">IFERROR(__xludf.DUMMYFUNCTION("IMPORTRANGE(""https://docs.google.com/spreadsheets/d/11923uPwbBZFjjGgGUA6NLw09EwE0CqkOc4q9oUmW1yo/edit?usp=sharing"",""กำแพงเพชร!J114"")"),0)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IFERROR(__xludf.DUMMYFUNCTION("IMPORTRANGE(""https://docs.google.com/spreadsheets/d/11923uPwbBZFjjGgGUA6NLw09EwE0CqkOc4q9oUmW1yo/edit?usp=sharing"",""กำแพงเพชร!J119"")"),0)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IFERROR(__xludf.DUMMYFUNCTION("IMPORTRANGE(""https://docs.google.com/spreadsheets/d/11923uPwbBZFjjGgGUA6NLw09EwE0CqkOc4q9oUmW1yo/edit?usp=sharing"",""กำแพงเพชร!J120"")"),1)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IFERROR(__xludf.DUMMYFUNCTION("IMPORTRANGE(""https://docs.google.com/spreadsheets/d/11923uPwbBZFjjGgGUA6NLw09EwE0CqkOc4q9oUmW1yo/edit?usp=sharing"",""กำแพงเพชร!J121"")"),0)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IFERROR(__xludf.DUMMYFUNCTION("IMPORTRANGE(""https://docs.google.com/spreadsheets/d/11923uPwbBZFjjGgGUA6NLw09EwE0CqkOc4q9oUmW1yo/edit?usp=sharing"",""กำแพงเพชร!J122"")"),0)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IFERROR(__xludf.DUMMYFUNCTION("IMPORTRANGE(""https://docs.google.com/spreadsheets/d/11923uPwbBZFjjGgGUA6NLw09EwE0CqkOc4q9oUmW1yo/edit?usp=sharing"",""กำแพงเพชร!I124"")"),50000)</f>
        <v>50000</v>
      </c>
      <c r="J199" s="190">
        <f ca="1">IFERROR(__xludf.DUMMYFUNCTION("IMPORTRANGE(""https://docs.google.com/spreadsheets/d/11923uPwbBZFjjGgGUA6NLw09EwE0CqkOc4q9oUmW1yo/edit?usp=sharing"",""กำแพงเพชร!J124"")"),0)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IFERROR(__xludf.DUMMYFUNCTION("IMPORTRANGE(""https://docs.google.com/spreadsheets/d/11923uPwbBZFjjGgGUA6NLw09EwE0CqkOc4q9oUmW1yo/edit?usp=sharing"",""กำแพงเพชร!I125"")"),50000)</f>
        <v>50000</v>
      </c>
      <c r="J200" s="190">
        <f ca="1">IFERROR(__xludf.DUMMYFUNCTION("IMPORTRANGE(""https://docs.google.com/spreadsheets/d/11923uPwbBZFjjGgGUA6NLw09EwE0CqkOc4q9oUmW1yo/edit?usp=sharing"",""กำแพงเพชร!J125"")"),0)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IFERROR(__xludf.DUMMYFUNCTION("IMPORTRANGE(""https://docs.google.com/spreadsheets/d/11923uPwbBZFjjGgGUA6NLw09EwE0CqkOc4q9oUmW1yo/edit?usp=sharing"",""กำแพงเพชร!I126"")"),0)</f>
        <v>0</v>
      </c>
      <c r="J201" s="190">
        <f ca="1">IFERROR(__xludf.DUMMYFUNCTION("IMPORTRANGE(""https://docs.google.com/spreadsheets/d/11923uPwbBZFjjGgGUA6NLw09EwE0CqkOc4q9oUmW1yo/edit?usp=sharing"",""กำแพงเพชร!J126"")"),0)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IFERROR(__xludf.DUMMYFUNCTION("IMPORTRANGE(""https://docs.google.com/spreadsheets/d/11923uPwbBZFjjGgGUA6NLw09EwE0CqkOc4q9oUmW1yo/edit?usp=sharing"",""กำแพงเพชร!J127"")"),0)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IFERROR(__xludf.DUMMYFUNCTION("IMPORTRANGE(""https://docs.google.com/spreadsheets/d/11923uPwbBZFjjGgGUA6NLw09EwE0CqkOc4q9oUmW1yo/edit?usp=sharing"",""กำแพงเพชร!J128"")"),0)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IFERROR(__xludf.DUMMYFUNCTION("IMPORTRANGE(""https://docs.google.com/spreadsheets/d/11923uPwbBZFjjGgGUA6NLw09EwE0CqkOc4q9oUmW1yo/edit?usp=sharing"",""กำแพงเพชร!I129"")"),0)</f>
        <v>0</v>
      </c>
      <c r="J204" s="285">
        <f ca="1">IFERROR(__xludf.DUMMYFUNCTION("IMPORTRANGE(""https://docs.google.com/spreadsheets/d/11923uPwbBZFjjGgGUA6NLw09EwE0CqkOc4q9oUmW1yo/edit?usp=sharing"",""กำแพงเพชร!J129"")"),0)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IFERROR(__xludf.DUMMYFUNCTION("IMPORTRANGE(""https://docs.google.com/spreadsheets/d/11923uPwbBZFjjGgGUA6NLw09EwE0CqkOc4q9oUmW1yo/edit?usp=sharing"",""กำแพงเพชร!J134"")"),0)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IFERROR(__xludf.DUMMYFUNCTION("IMPORTRANGE(""https://docs.google.com/spreadsheets/d/11923uPwbBZFjjGgGUA6NLw09EwE0CqkOc4q9oUmW1yo/edit?usp=sharing"",""กำแพงเพชร!J135"")"),0)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IFERROR(__xludf.DUMMYFUNCTION("IMPORTRANGE(""https://docs.google.com/spreadsheets/d/11923uPwbBZFjjGgGUA6NLw09EwE0CqkOc4q9oUmW1yo/edit?usp=sharing"",""กำแพงเพชร!J136"")"),0)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IFERROR(__xludf.DUMMYFUNCTION("IMPORTRANGE(""https://docs.google.com/spreadsheets/d/11923uPwbBZFjjGgGUA6NLw09EwE0CqkOc4q9oUmW1yo/edit?usp=sharing"",""กำแพงเพชร!J137"")"),0)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IFERROR(__xludf.DUMMYFUNCTION("IMPORTRANGE(""https://docs.google.com/spreadsheets/d/11923uPwbBZFjjGgGUA6NLw09EwE0CqkOc4q9oUmW1yo/edit?usp=sharing"",""กำแพงเพชร!I138"")"),0)</f>
        <v>0</v>
      </c>
      <c r="J213" s="205">
        <f ca="1">IFERROR(__xludf.DUMMYFUNCTION("IMPORTRANGE(""https://docs.google.com/spreadsheets/d/11923uPwbBZFjjGgGUA6NLw09EwE0CqkOc4q9oUmW1yo/edit?usp=sharing"",""กำแพงเพชร!J138"")"),0)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IFERROR(__xludf.DUMMYFUNCTION("IMPORTRANGE(""https://docs.google.com/spreadsheets/d/11923uPwbBZFjjGgGUA6NLw09EwE0CqkOc4q9oUmW1yo/edit?usp=sharing"",""กำแพงเพชร!I140"")"),0)</f>
        <v>0</v>
      </c>
      <c r="J215" s="205">
        <f ca="1">IFERROR(__xludf.DUMMYFUNCTION("IMPORTRANGE(""https://docs.google.com/spreadsheets/d/11923uPwbBZFjjGgGUA6NLw09EwE0CqkOc4q9oUmW1yo/edit?usp=sharing"",""กำแพงเพชร!J140"")"),0)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IFERROR(__xludf.DUMMYFUNCTION("IMPORTRANGE(""https://docs.google.com/spreadsheets/d/11923uPwbBZFjjGgGUA6NLw09EwE0CqkOc4q9oUmW1yo/edit?usp=sharing"",""กำแพงเพชร!I141"")"),0)</f>
        <v>0</v>
      </c>
      <c r="J216" s="205">
        <f ca="1">IFERROR(__xludf.DUMMYFUNCTION("IMPORTRANGE(""https://docs.google.com/spreadsheets/d/11923uPwbBZFjjGgGUA6NLw09EwE0CqkOc4q9oUmW1yo/edit?usp=sharing"",""กำแพงเพชร!J141"")"),0)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IFERROR(__xludf.DUMMYFUNCTION("IMPORTRANGE(""https://docs.google.com/spreadsheets/d/11923uPwbBZFjjGgGUA6NLw09EwE0CqkOc4q9oUmW1yo/edit?usp=sharing"",""กำแพงเพชร!J142"")"),0)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IFERROR(__xludf.DUMMYFUNCTION("IMPORTRANGE(""https://docs.google.com/spreadsheets/d/11923uPwbBZFjjGgGUA6NLw09EwE0CqkOc4q9oUmW1yo/edit?usp=sharing"",""กำแพงเพชร!J143"")"),0)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IFERROR(__xludf.DUMMYFUNCTION("IMPORTRANGE(""https://docs.google.com/spreadsheets/d/11923uPwbBZFjjGgGUA6NLw09EwE0CqkOc4q9oUmW1yo/edit?usp=sharing"",""กำแพงเพชร!I144"")"),15)</f>
        <v>15</v>
      </c>
      <c r="J219" s="268">
        <f ca="1">IFERROR(__xludf.DUMMYFUNCTION("IMPORTRANGE(""https://docs.google.com/spreadsheets/d/11923uPwbBZFjjGgGUA6NLw09EwE0CqkOc4q9oUmW1yo/edit?usp=sharing"",""กำแพงเพชร!J144"")"),15)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21125</v>
      </c>
      <c r="M222" s="90">
        <f t="shared" ca="1" si="76"/>
        <v>21125</v>
      </c>
      <c r="N222" s="90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59"/>
      <c r="B223" s="160"/>
      <c r="C223" s="160" t="s">
        <v>16</v>
      </c>
      <c r="D223" s="36" t="s">
        <v>20</v>
      </c>
      <c r="E223" s="161"/>
      <c r="F223" s="161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IFERROR(__xludf.DUMMYFUNCTION("IMPORTRANGE(""https://docs.google.com/spreadsheets/d/1Yj_ptqi66GCucihVvJfMjLAmec39IyEx_6qawtMGysU/edit?usp=sharing"",""สบก!BS20"")"),21125)</f>
        <v>21125</v>
      </c>
      <c r="N224" s="170">
        <f ca="1">IFERROR(__xludf.DUMMYFUNCTION("IMPORTRANGE(""https://docs.google.com/spreadsheets/d/1Yj_ptqi66GCucihVvJfMjLAmec39IyEx_6qawtMGysU/edit?usp=sharing"",""สบก!BT20"")"),21125)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IFERROR(__xludf.DUMMYFUNCTION("IMPORTRANGE(""https://docs.google.com/spreadsheets/d/1Yj_ptqi66GCucihVvJfMjLAmec39IyEx_6qawtMGysU/edit?usp=sharing"",""สบก!BO20"")"),0)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IFERROR(__xludf.DUMMYFUNCTION("IMPORTRANGE(""https://docs.google.com/spreadsheets/d/1Yj_ptqi66GCucihVvJfMjLAmec39IyEx_6qawtMGysU/edit?usp=sharing"",""สบก!BP20"")"),21125)</f>
        <v>21125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IFERROR(__xludf.DUMMYFUNCTION("IMPORTRANGE(""https://docs.google.com/spreadsheets/d/1Yj_ptqi66GCucihVvJfMjLAmec39IyEx_6qawtMGysU/edit?usp=sharing"",""สบก!BQ20"")"),0)</f>
        <v>0</v>
      </c>
      <c r="M228" s="52"/>
      <c r="N228" s="52">
        <f ca="1">IFERROR(__xludf.DUMMYFUNCTION("IMPORTRANGE(""https://docs.google.com/spreadsheets/d/1Yj_ptqi66GCucihVvJfMjLAmec39IyEx_6qawtMGysU/edit?usp=sharing"",""สบก!BU20"")"),0)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IFERROR(__xludf.DUMMYFUNCTION("IMPORTRANGE(""https://docs.google.com/spreadsheets/d/11923uPwbBZFjjGgGUA6NLw09EwE0CqkOc4q9oUmW1yo/edit?usp=sharing"",""กำแพงเพชร!I149"")"),15)</f>
        <v>15</v>
      </c>
      <c r="J229" s="268">
        <f ca="1">IFERROR(__xludf.DUMMYFUNCTION("IMPORTRANGE(""https://docs.google.com/spreadsheets/d/11923uPwbBZFjjGgGUA6NLw09EwE0CqkOc4q9oUmW1yo/edit?usp=sharing"",""กำแพงเพชร!J149"")"),15)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IFERROR(__xludf.DUMMYFUNCTION("IMPORTRANGE(""https://docs.google.com/spreadsheets/d/11923uPwbBZFjjGgGUA6NLw09EwE0CqkOc4q9oUmW1yo/edit?usp=sharing"",""กำแพงเพชร!J151"")"),0)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IFERROR(__xludf.DUMMYFUNCTION("IMPORTRANGE(""https://docs.google.com/spreadsheets/d/11923uPwbBZFjjGgGUA6NLw09EwE0CqkOc4q9oUmW1yo/edit?usp=sharing"",""กำแพงเพชร!J152"")"),0)</f>
        <v>0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IFERROR(__xludf.DUMMYFUNCTION("IMPORTRANGE(""https://docs.google.com/spreadsheets/d/11923uPwbBZFjjGgGUA6NLw09EwE0CqkOc4q9oUmW1yo/edit?usp=sharing"",""กำแพงเพชร!J153"")"),0)</f>
        <v>0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IFERROR(__xludf.DUMMYFUNCTION("IMPORTRANGE(""https://docs.google.com/spreadsheets/d/11923uPwbBZFjjGgGUA6NLw09EwE0CqkOc4q9oUmW1yo/edit?usp=sharing"",""กำแพงเพชร!J154"")"),0)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IFERROR(__xludf.DUMMYFUNCTION("IMPORTRANGE(""https://docs.google.com/spreadsheets/d/11923uPwbBZFjjGgGUA6NLw09EwE0CqkOc4q9oUmW1yo/edit?usp=sharing"",""กำแพงเพชร!I155"")"),15)</f>
        <v>15</v>
      </c>
      <c r="J235" s="190">
        <f ca="1">IFERROR(__xludf.DUMMYFUNCTION("IMPORTRANGE(""https://docs.google.com/spreadsheets/d/11923uPwbBZFjjGgGUA6NLw09EwE0CqkOc4q9oUmW1yo/edit?usp=sharing"",""กำแพงเพชร!J155"")"),15)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IFERROR(__xludf.DUMMYFUNCTION("IMPORTRANGE(""https://docs.google.com/spreadsheets/d/11923uPwbBZFjjGgGUA6NLw09EwE0CqkOc4q9oUmW1yo/edit?usp=sharing"",""กำแพงเพชร!J156"")"),1)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IFERROR(__xludf.DUMMYFUNCTION("IMPORTRANGE(""https://docs.google.com/spreadsheets/d/11923uPwbBZFjjGgGUA6NLw09EwE0CqkOc4q9oUmW1yo/edit?usp=sharing"",""กำแพงเพชร!J157"")"),1)</f>
        <v>1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IFERROR(__xludf.DUMMYFUNCTION("IMPORTRANGE(""https://docs.google.com/spreadsheets/d/11923uPwbBZFjjGgGUA6NLw09EwE0CqkOc4q9oUmW1yo/edit?usp=sharing"",""กำแพงเพชร!I158"")"),0)</f>
        <v>0</v>
      </c>
      <c r="J238" s="268">
        <f ca="1">IFERROR(__xludf.DUMMYFUNCTION("IMPORTRANGE(""https://docs.google.com/spreadsheets/d/11923uPwbBZFjjGgGUA6NLw09EwE0CqkOc4q9oUmW1yo/edit?usp=sharing"",""กำแพงเพชร!J158"")"),0)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IFERROR(__xludf.DUMMYFUNCTION("IMPORTRANGE(""https://docs.google.com/spreadsheets/d/11923uPwbBZFjjGgGUA6NLw09EwE0CqkOc4q9oUmW1yo/edit?usp=sharing"",""กำแพงเพชร!J159"")"),"")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IFERROR(__xludf.DUMMYFUNCTION("IMPORTRANGE(""https://docs.google.com/spreadsheets/d/11923uPwbBZFjjGgGUA6NLw09EwE0CqkOc4q9oUmW1yo/edit?usp=sharing"",""กำแพงเพชร!J161"")"),0)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IFERROR(__xludf.DUMMYFUNCTION("IMPORTRANGE(""https://docs.google.com/spreadsheets/d/11923uPwbBZFjjGgGUA6NLw09EwE0CqkOc4q9oUmW1yo/edit?usp=sharing"",""กำแพงเพชร!J162"")"),0)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IFERROR(__xludf.DUMMYFUNCTION("IMPORTRANGE(""https://docs.google.com/spreadsheets/d/11923uPwbBZFjjGgGUA6NLw09EwE0CqkOc4q9oUmW1yo/edit?usp=sharing"",""กำแพงเพชร!J163"")"),0)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IFERROR(__xludf.DUMMYFUNCTION("IMPORTRANGE(""https://docs.google.com/spreadsheets/d/11923uPwbBZFjjGgGUA6NLw09EwE0CqkOc4q9oUmW1yo/edit?usp=sharing"",""กำแพงเพชร!I164"")"),0)</f>
        <v>0</v>
      </c>
      <c r="J244" s="189">
        <f ca="1">IFERROR(__xludf.DUMMYFUNCTION("IMPORTRANGE(""https://docs.google.com/spreadsheets/d/11923uPwbBZFjjGgGUA6NLw09EwE0CqkOc4q9oUmW1yo/edit?usp=sharing"",""กำแพงเพชร!J164"")"),0)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IFERROR(__xludf.DUMMYFUNCTION("IMPORTRANGE(""https://docs.google.com/spreadsheets/d/11923uPwbBZFjjGgGUA6NLw09EwE0CqkOc4q9oUmW1yo/edit?usp=sharing"",""กำแพงเพชร!J165"")"),0)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IFERROR(__xludf.DUMMYFUNCTION("IMPORTRANGE(""https://docs.google.com/spreadsheets/d/11923uPwbBZFjjGgGUA6NLw09EwE0CqkOc4q9oUmW1yo/edit?usp=sharing"",""กำแพงเพชร!J166"")"),0)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IFERROR(__xludf.DUMMYFUNCTION("IMPORTRANGE(""https://docs.google.com/spreadsheets/d/11923uPwbBZFjjGgGUA6NLw09EwE0CqkOc4q9oUmW1yo/edit?usp=sharing"",""กำแพงเพชร!I169"")"),0)</f>
        <v>0</v>
      </c>
      <c r="J249" s="317">
        <f ca="1">IFERROR(__xludf.DUMMYFUNCTION("IMPORTRANGE(""https://docs.google.com/spreadsheets/d/11923uPwbBZFjjGgGUA6NLw09EwE0CqkOc4q9oUmW1yo/edit?usp=sharing"",""กำแพงเพชร!J169"")"),0)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0</v>
      </c>
      <c r="M252" s="90">
        <f t="shared" ca="1" si="81"/>
        <v>0</v>
      </c>
      <c r="N252" s="90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59"/>
      <c r="B253" s="160"/>
      <c r="C253" s="160" t="s">
        <v>16</v>
      </c>
      <c r="D253" s="36" t="s">
        <v>20</v>
      </c>
      <c r="E253" s="161"/>
      <c r="F253" s="161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IFERROR(__xludf.DUMMYFUNCTION("IMPORTRANGE(""https://docs.google.com/spreadsheets/d/1Yj_ptqi66GCucihVvJfMjLAmec39IyEx_6qawtMGysU/edit?usp=sharing"",""สบก!CB20"")"),0)</f>
        <v>0</v>
      </c>
      <c r="N254" s="170">
        <f ca="1">IFERROR(__xludf.DUMMYFUNCTION("IMPORTRANGE(""https://docs.google.com/spreadsheets/d/1Yj_ptqi66GCucihVvJfMjLAmec39IyEx_6qawtMGysU/edit?usp=sharing"",""สบก!CC20"")"),0)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IFERROR(__xludf.DUMMYFUNCTION("IMPORTRANGE(""https://docs.google.com/spreadsheets/d/1Yj_ptqi66GCucihVvJfMjLAmec39IyEx_6qawtMGysU/edit?usp=sharing"",""สบก!BX20"")"),0)</f>
        <v>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IFERROR(__xludf.DUMMYFUNCTION("IMPORTRANGE(""https://docs.google.com/spreadsheets/d/1Yj_ptqi66GCucihVvJfMjLAmec39IyEx_6qawtMGysU/edit?usp=sharing"",""สบก!BY20"")"),0)</f>
        <v>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IFERROR(__xludf.DUMMYFUNCTION("IMPORTRANGE(""https://docs.google.com/spreadsheets/d/1Yj_ptqi66GCucihVvJfMjLAmec39IyEx_6qawtMGysU/edit?usp=sharing"",""สบก!BZ20"")"),0)</f>
        <v>0</v>
      </c>
      <c r="M258" s="52"/>
      <c r="N258" s="52">
        <f ca="1">IFERROR(__xludf.DUMMYFUNCTION("IMPORTRANGE(""https://docs.google.com/spreadsheets/d/1Yj_ptqi66GCucihVvJfMjLAmec39IyEx_6qawtMGysU/edit?usp=sharing"",""สบก!CD20"")"),0)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IFERROR(__xludf.DUMMYFUNCTION("IMPORTRANGE(""https://docs.google.com/spreadsheets/d/11923uPwbBZFjjGgGUA6NLw09EwE0CqkOc4q9oUmW1yo/edit?usp=sharing"",""กำแพงเพชร!J175"")"),0)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IFERROR(__xludf.DUMMYFUNCTION("IMPORTRANGE(""https://docs.google.com/spreadsheets/d/11923uPwbBZFjjGgGUA6NLw09EwE0CqkOc4q9oUmW1yo/edit?usp=sharing"",""กำแพงเพชร!J176"")"),0)</f>
        <v>0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IFERROR(__xludf.DUMMYFUNCTION("IMPORTRANGE(""https://docs.google.com/spreadsheets/d/11923uPwbBZFjjGgGUA6NLw09EwE0CqkOc4q9oUmW1yo/edit?usp=sharing"",""กำแพงเพชร!J177"")"),0)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IFERROR(__xludf.DUMMYFUNCTION("IMPORTRANGE(""https://docs.google.com/spreadsheets/d/11923uPwbBZFjjGgGUA6NLw09EwE0CqkOc4q9oUmW1yo/edit?usp=sharing"",""กำแพงเพชร!J178"")"),0)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IFERROR(__xludf.DUMMYFUNCTION("IMPORTRANGE(""https://docs.google.com/spreadsheets/d/11923uPwbBZFjjGgGUA6NLw09EwE0CqkOc4q9oUmW1yo/edit?usp=sharing"",""กำแพงเพชร!I179"")"),0)</f>
        <v>0</v>
      </c>
      <c r="J264" s="190">
        <f ca="1">IFERROR(__xludf.DUMMYFUNCTION("IMPORTRANGE(""https://docs.google.com/spreadsheets/d/11923uPwbBZFjjGgGUA6NLw09EwE0CqkOc4q9oUmW1yo/edit?usp=sharing"",""กำแพงเพชร!J179"")"),0)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IFERROR(__xludf.DUMMYFUNCTION("IMPORTRANGE(""https://docs.google.com/spreadsheets/d/11923uPwbBZFjjGgGUA6NLw09EwE0CqkOc4q9oUmW1yo/edit?usp=sharing"",""กำแพงเพชร!I180"")"),0)</f>
        <v>0</v>
      </c>
      <c r="J265" s="190">
        <f ca="1">IFERROR(__xludf.DUMMYFUNCTION("IMPORTRANGE(""https://docs.google.com/spreadsheets/d/11923uPwbBZFjjGgGUA6NLw09EwE0CqkOc4q9oUmW1yo/edit?usp=sharing"",""กำแพงเพชร!J180"")"),0)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IFERROR(__xludf.DUMMYFUNCTION("IMPORTRANGE(""https://docs.google.com/spreadsheets/d/11923uPwbBZFjjGgGUA6NLw09EwE0CqkOc4q9oUmW1yo/edit?usp=sharing"",""กำแพงเพชร!I181"")"),0)</f>
        <v>0</v>
      </c>
      <c r="J266" s="190">
        <f ca="1">IFERROR(__xludf.DUMMYFUNCTION("IMPORTRANGE(""https://docs.google.com/spreadsheets/d/11923uPwbBZFjjGgGUA6NLw09EwE0CqkOc4q9oUmW1yo/edit?usp=sharing"",""กำแพงเพชร!J181"")"),0)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IFERROR(__xludf.DUMMYFUNCTION("IMPORTRANGE(""https://docs.google.com/spreadsheets/d/11923uPwbBZFjjGgGUA6NLw09EwE0CqkOc4q9oUmW1yo/edit?usp=sharing"",""กำแพงเพชร!I182"")"),0)</f>
        <v>0</v>
      </c>
      <c r="J267" s="190">
        <f ca="1">IFERROR(__xludf.DUMMYFUNCTION("IMPORTRANGE(""https://docs.google.com/spreadsheets/d/11923uPwbBZFjjGgGUA6NLw09EwE0CqkOc4q9oUmW1yo/edit?usp=sharing"",""กำแพงเพชร!J182"")"),0)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IFERROR(__xludf.DUMMYFUNCTION("IMPORTRANGE(""https://docs.google.com/spreadsheets/d/11923uPwbBZFjjGgGUA6NLw09EwE0CqkOc4q9oUmW1yo/edit?usp=sharing"",""กำแพงเพชร!J183"")"),0)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IFERROR(__xludf.DUMMYFUNCTION("IMPORTRANGE(""https://docs.google.com/spreadsheets/d/11923uPwbBZFjjGgGUA6NLw09EwE0CqkOc4q9oUmW1yo/edit?usp=sharing"",""กำแพงเพชร!J184"")"),0)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IFERROR(__xludf.DUMMYFUNCTION("IMPORTRANGE(""https://docs.google.com/spreadsheets/d/11923uPwbBZFjjGgGUA6NLw09EwE0CqkOc4q9oUmW1yo/edit?usp=sharing"",""กำแพงเพชร!I185"")"),15)</f>
        <v>15</v>
      </c>
      <c r="J270" s="317">
        <f ca="1">IFERROR(__xludf.DUMMYFUNCTION("IMPORTRANGE(""https://docs.google.com/spreadsheets/d/11923uPwbBZFjjGgGUA6NLw09EwE0CqkOc4q9oUmW1yo/edit?usp=sharing"",""กำแพงเพชร!J185"")"),15)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319200</v>
      </c>
      <c r="M271" s="154">
        <f t="shared" ca="1" si="83"/>
        <v>230250</v>
      </c>
      <c r="N271" s="154">
        <f t="shared" ca="1" si="83"/>
        <v>148196</v>
      </c>
      <c r="O271" s="153">
        <f t="shared" ref="O271:O273" ca="1" si="84">IF(L271&gt;0,N271*100/L271,0)</f>
        <v>46.427318295739347</v>
      </c>
      <c r="P271" s="153">
        <f t="shared" ref="P271:P273" ca="1" si="85">IF(M271&gt;0,N271*100/M271,0)</f>
        <v>64.363083604777415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319200</v>
      </c>
      <c r="M273" s="90">
        <f t="shared" ca="1" si="87"/>
        <v>230250</v>
      </c>
      <c r="N273" s="90">
        <f t="shared" ca="1" si="87"/>
        <v>148196</v>
      </c>
      <c r="O273" s="158">
        <f t="shared" ca="1" si="84"/>
        <v>46.427318295739347</v>
      </c>
      <c r="P273" s="158">
        <f t="shared" ca="1" si="85"/>
        <v>64.363083604777415</v>
      </c>
    </row>
    <row r="274" spans="1:16" ht="21.75" customHeight="1">
      <c r="A274" s="159"/>
      <c r="B274" s="160"/>
      <c r="C274" s="160" t="s">
        <v>16</v>
      </c>
      <c r="D274" s="36" t="s">
        <v>20</v>
      </c>
      <c r="E274" s="161"/>
      <c r="F274" s="161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319200</v>
      </c>
      <c r="M275" s="169">
        <f ca="1">IFERROR(__xludf.DUMMYFUNCTION("IMPORTRANGE(""https://docs.google.com/spreadsheets/d/1Yj_ptqi66GCucihVvJfMjLAmec39IyEx_6qawtMGysU/edit?usp=sharing"",""สบก!CK20"")"),230250)</f>
        <v>230250</v>
      </c>
      <c r="N275" s="170">
        <f ca="1">IFERROR(__xludf.DUMMYFUNCTION("IMPORTRANGE(""https://docs.google.com/spreadsheets/d/1Yj_ptqi66GCucihVvJfMjLAmec39IyEx_6qawtMGysU/edit?usp=sharing"",""สบก!CL20"")"),148196)</f>
        <v>148196</v>
      </c>
      <c r="O275" s="170">
        <f ca="1">IF(L275&gt;0,N275*100/L275,0)</f>
        <v>46.427318295739347</v>
      </c>
      <c r="P275" s="170">
        <f ca="1">IF(M275&gt;0,N275*100/M275,0)</f>
        <v>64.363083604777415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IFERROR(__xludf.DUMMYFUNCTION("IMPORTRANGE(""https://docs.google.com/spreadsheets/d/1Yj_ptqi66GCucihVvJfMjLAmec39IyEx_6qawtMGysU/edit?usp=sharing"",""สบก!CG20"")"),264000)</f>
        <v>264000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IFERROR(__xludf.DUMMYFUNCTION("IMPORTRANGE(""https://docs.google.com/spreadsheets/d/1Yj_ptqi66GCucihVvJfMjLAmec39IyEx_6qawtMGysU/edit?usp=sharing"",""สบก!CH20"")"),55200)</f>
        <v>55200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IFERROR(__xludf.DUMMYFUNCTION("IMPORTRANGE(""https://docs.google.com/spreadsheets/d/1Yj_ptqi66GCucihVvJfMjLAmec39IyEx_6qawtMGysU/edit?usp=sharing"",""สบก!CI20"")"),0)</f>
        <v>0</v>
      </c>
      <c r="M279" s="52"/>
      <c r="N279" s="52">
        <f ca="1">IFERROR(__xludf.DUMMYFUNCTION("IMPORTRANGE(""https://docs.google.com/spreadsheets/d/1Yj_ptqi66GCucihVvJfMjLAmec39IyEx_6qawtMGysU/edit?usp=sharing"",""สบก!CM20"")"),0)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IFERROR(__xludf.DUMMYFUNCTION("IMPORTRANGE(""https://docs.google.com/spreadsheets/d/11923uPwbBZFjjGgGUA6NLw09EwE0CqkOc4q9oUmW1yo/edit?usp=sharing"",""กำแพงเพชร!J191"")"),0)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IFERROR(__xludf.DUMMYFUNCTION("IMPORTRANGE(""https://docs.google.com/spreadsheets/d/11923uPwbBZFjjGgGUA6NLw09EwE0CqkOc4q9oUmW1yo/edit?usp=sharing"",""กำแพงเพชร!J192"")"),1)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IFERROR(__xludf.DUMMYFUNCTION("IMPORTRANGE(""https://docs.google.com/spreadsheets/d/11923uPwbBZFjjGgGUA6NLw09EwE0CqkOc4q9oUmW1yo/edit?usp=sharing"",""กำแพงเพชร!J193"")"),1)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IFERROR(__xludf.DUMMYFUNCTION("IMPORTRANGE(""https://docs.google.com/spreadsheets/d/11923uPwbBZFjjGgGUA6NLw09EwE0CqkOc4q9oUmW1yo/edit?usp=sharing"",""กำแพงเพชร!J194"")"),1)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IFERROR(__xludf.DUMMYFUNCTION("IMPORTRANGE(""https://docs.google.com/spreadsheets/d/11923uPwbBZFjjGgGUA6NLw09EwE0CqkOc4q9oUmW1yo/edit?usp=sharing"",""กำแพงเพชร!I195"")"),15)</f>
        <v>15</v>
      </c>
      <c r="J285" s="190">
        <f ca="1">IFERROR(__xludf.DUMMYFUNCTION("IMPORTRANGE(""https://docs.google.com/spreadsheets/d/11923uPwbBZFjjGgGUA6NLw09EwE0CqkOc4q9oUmW1yo/edit?usp=sharing"",""กำแพงเพชร!J195"")"),15)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IFERROR(__xludf.DUMMYFUNCTION("IMPORTRANGE(""https://docs.google.com/spreadsheets/d/11923uPwbBZFjjGgGUA6NLw09EwE0CqkOc4q9oUmW1yo/edit?usp=sharing"",""กำแพงเพชร!J196"")"),0)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IFERROR(__xludf.DUMMYFUNCTION("IMPORTRANGE(""https://docs.google.com/spreadsheets/d/11923uPwbBZFjjGgGUA6NLw09EwE0CqkOc4q9oUmW1yo/edit?usp=sharing"",""กำแพงเพชร!J197"")"),0)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IFERROR(__xludf.DUMMYFUNCTION("IMPORTRANGE(""https://docs.google.com/spreadsheets/d/11923uPwbBZFjjGgGUA6NLw09EwE0CqkOc4q9oUmW1yo/edit?usp=sharing"",""กำแพงเพชร!I199"")"),0)</f>
        <v>0</v>
      </c>
      <c r="J289" s="317">
        <f ca="1">IFERROR(__xludf.DUMMYFUNCTION("IMPORTRANGE(""https://docs.google.com/spreadsheets/d/11923uPwbBZFjjGgGUA6NLw09EwE0CqkOc4q9oUmW1yo/edit?usp=sharing"",""กำแพงเพชร!J199"")"),0)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0</v>
      </c>
      <c r="M292" s="90">
        <f t="shared" ca="1" si="92"/>
        <v>0</v>
      </c>
      <c r="N292" s="90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59"/>
      <c r="B293" s="160"/>
      <c r="C293" s="160" t="s">
        <v>16</v>
      </c>
      <c r="D293" s="36" t="s">
        <v>20</v>
      </c>
      <c r="E293" s="161"/>
      <c r="F293" s="161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IFERROR(__xludf.DUMMYFUNCTION("IMPORTRANGE(""https://docs.google.com/spreadsheets/d/1Yj_ptqi66GCucihVvJfMjLAmec39IyEx_6qawtMGysU/edit?usp=sharing"",""สบก!CT20"")"),0)</f>
        <v>0</v>
      </c>
      <c r="N294" s="170">
        <f ca="1">IFERROR(__xludf.DUMMYFUNCTION("IMPORTRANGE(""https://docs.google.com/spreadsheets/d/1Yj_ptqi66GCucihVvJfMjLAmec39IyEx_6qawtMGysU/edit?usp=sharing"",""สบก!CU20"")"),0)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IFERROR(__xludf.DUMMYFUNCTION("IMPORTRANGE(""https://docs.google.com/spreadsheets/d/1Yj_ptqi66GCucihVvJfMjLAmec39IyEx_6qawtMGysU/edit?usp=sharing"",""สบก!CP20"")"),0)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IFERROR(__xludf.DUMMYFUNCTION("IMPORTRANGE(""https://docs.google.com/spreadsheets/d/1Yj_ptqi66GCucihVvJfMjLAmec39IyEx_6qawtMGysU/edit?usp=sharing"",""สบก!CQ20"")"),0)</f>
        <v>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IFERROR(__xludf.DUMMYFUNCTION("IMPORTRANGE(""https://docs.google.com/spreadsheets/d/1Yj_ptqi66GCucihVvJfMjLAmec39IyEx_6qawtMGysU/edit?usp=sharing"",""สบก!CR20"")"),0)</f>
        <v>0</v>
      </c>
      <c r="M298" s="52"/>
      <c r="N298" s="52">
        <f ca="1">IFERROR(__xludf.DUMMYFUNCTION("IMPORTRANGE(""https://docs.google.com/spreadsheets/d/1Yj_ptqi66GCucihVvJfMjLAmec39IyEx_6qawtMGysU/edit?usp=sharing"",""สบก!CV20"")"),0)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IFERROR(__xludf.DUMMYFUNCTION("IMPORTRANGE(""https://docs.google.com/spreadsheets/d/11923uPwbBZFjjGgGUA6NLw09EwE0CqkOc4q9oUmW1yo/edit?usp=sharing"",""กำแพงเพชร!J205"")"),0)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IFERROR(__xludf.DUMMYFUNCTION("IMPORTRANGE(""https://docs.google.com/spreadsheets/d/11923uPwbBZFjjGgGUA6NLw09EwE0CqkOc4q9oUmW1yo/edit?usp=sharing"",""กำแพงเพชร!J206"")"),0)</f>
        <v>0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IFERROR(__xludf.DUMMYFUNCTION("IMPORTRANGE(""https://docs.google.com/spreadsheets/d/11923uPwbBZFjjGgGUA6NLw09EwE0CqkOc4q9oUmW1yo/edit?usp=sharing"",""กำแพงเพชร!J207"")"),0)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IFERROR(__xludf.DUMMYFUNCTION("IMPORTRANGE(""https://docs.google.com/spreadsheets/d/11923uPwbBZFjjGgGUA6NLw09EwE0CqkOc4q9oUmW1yo/edit?usp=sharing"",""กำแพงเพชร!J208"")"),0)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IFERROR(__xludf.DUMMYFUNCTION("IMPORTRANGE(""https://docs.google.com/spreadsheets/d/11923uPwbBZFjjGgGUA6NLw09EwE0CqkOc4q9oUmW1yo/edit?usp=sharing"",""กำแพงเพชร!I209"")"),0)</f>
        <v>0</v>
      </c>
      <c r="J304" s="205">
        <f ca="1">IFERROR(__xludf.DUMMYFUNCTION("IMPORTRANGE(""https://docs.google.com/spreadsheets/d/11923uPwbBZFjjGgGUA6NLw09EwE0CqkOc4q9oUmW1yo/edit?usp=sharing"",""กำแพงเพชร!J209"")"),0)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IFERROR(__xludf.DUMMYFUNCTION("IMPORTRANGE(""https://docs.google.com/spreadsheets/d/11923uPwbBZFjjGgGUA6NLw09EwE0CqkOc4q9oUmW1yo/edit?usp=sharing"",""กำแพงเพชร!I211"")"),0)</f>
        <v>0</v>
      </c>
      <c r="J306" s="205">
        <f ca="1">IFERROR(__xludf.DUMMYFUNCTION("IMPORTRANGE(""https://docs.google.com/spreadsheets/d/11923uPwbBZFjjGgGUA6NLw09EwE0CqkOc4q9oUmW1yo/edit?usp=sharing"",""กำแพงเพชร!J211"")"),0)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IFERROR(__xludf.DUMMYFUNCTION("IMPORTRANGE(""https://docs.google.com/spreadsheets/d/11923uPwbBZFjjGgGUA6NLw09EwE0CqkOc4q9oUmW1yo/edit?usp=sharing"",""กำแพงเพชร!J212"")"),0)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IFERROR(__xludf.DUMMYFUNCTION("IMPORTRANGE(""https://docs.google.com/spreadsheets/d/11923uPwbBZFjjGgGUA6NLw09EwE0CqkOc4q9oUmW1yo/edit?usp=sharing"",""กำแพงเพชร!J213"")"),0)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IFERROR(__xludf.DUMMYFUNCTION("IMPORTRANGE(""https://docs.google.com/spreadsheets/d/11923uPwbBZFjjGgGUA6NLw09EwE0CqkOc4q9oUmW1yo/edit?usp=sharing"",""กำแพงเพชร!I214"")"),1)</f>
        <v>1</v>
      </c>
      <c r="J309" s="334">
        <f ca="1">IFERROR(__xludf.DUMMYFUNCTION("IMPORTRANGE(""https://docs.google.com/spreadsheets/d/11923uPwbBZFjjGgGUA6NLw09EwE0CqkOc4q9oUmW1yo/edit?usp=sharing"",""กำแพงเพชร!J214"")"),1)</f>
        <v>1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194600</v>
      </c>
      <c r="M310" s="154">
        <f t="shared" ca="1" si="93"/>
        <v>146000</v>
      </c>
      <c r="N310" s="154">
        <f t="shared" ca="1" si="93"/>
        <v>60244.84</v>
      </c>
      <c r="O310" s="153">
        <f t="shared" ref="O310:O312" ca="1" si="94">IF(L310&gt;0,N310*100/L310,0)</f>
        <v>30.958293936279549</v>
      </c>
      <c r="P310" s="153">
        <f t="shared" ref="P310:P312" ca="1" si="95">IF(M310&gt;0,N310*100/M310,0)</f>
        <v>41.263589041095891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194600</v>
      </c>
      <c r="M312" s="90">
        <f t="shared" ca="1" si="97"/>
        <v>146000</v>
      </c>
      <c r="N312" s="90">
        <f t="shared" ca="1" si="97"/>
        <v>60244.84</v>
      </c>
      <c r="O312" s="158">
        <f t="shared" ca="1" si="94"/>
        <v>30.958293936279549</v>
      </c>
      <c r="P312" s="158">
        <f t="shared" ca="1" si="95"/>
        <v>41.263589041095891</v>
      </c>
    </row>
    <row r="313" spans="1:16" ht="21.75" customHeight="1">
      <c r="A313" s="159"/>
      <c r="B313" s="160"/>
      <c r="C313" s="160" t="s">
        <v>16</v>
      </c>
      <c r="D313" s="36" t="s">
        <v>20</v>
      </c>
      <c r="E313" s="161"/>
      <c r="F313" s="161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194600</v>
      </c>
      <c r="M314" s="169">
        <f ca="1">IFERROR(__xludf.DUMMYFUNCTION("IMPORTRANGE(""https://docs.google.com/spreadsheets/d/1Yj_ptqi66GCucihVvJfMjLAmec39IyEx_6qawtMGysU/edit?usp=sharing"",""สบก!DC20"")"),146000)</f>
        <v>146000</v>
      </c>
      <c r="N314" s="170">
        <f ca="1">IFERROR(__xludf.DUMMYFUNCTION("IMPORTRANGE(""https://docs.google.com/spreadsheets/d/1Yj_ptqi66GCucihVvJfMjLAmec39IyEx_6qawtMGysU/edit?usp=sharing"",""สบก!DD20"")"),60244.84)</f>
        <v>60244.84</v>
      </c>
      <c r="O314" s="170">
        <f ca="1">IF(L314&gt;0,N314*100/L314,0)</f>
        <v>30.958293936279549</v>
      </c>
      <c r="P314" s="170">
        <f ca="1">IF(M314&gt;0,N314*100/M314,0)</f>
        <v>41.263589041095891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IFERROR(__xludf.DUMMYFUNCTION("IMPORTRANGE(""https://docs.google.com/spreadsheets/d/1Yj_ptqi66GCucihVvJfMjLAmec39IyEx_6qawtMGysU/edit?usp=sharing"",""สบก!CY20"")"),0)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IFERROR(__xludf.DUMMYFUNCTION("IMPORTRANGE(""https://docs.google.com/spreadsheets/d/1Yj_ptqi66GCucihVvJfMjLAmec39IyEx_6qawtMGysU/edit?usp=sharing"",""สบก!CZ20"")"),194600)</f>
        <v>194600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IFERROR(__xludf.DUMMYFUNCTION("IMPORTRANGE(""https://docs.google.com/spreadsheets/d/1Yj_ptqi66GCucihVvJfMjLAmec39IyEx_6qawtMGysU/edit?usp=sharing"",""สบก!DA20"")"),0)</f>
        <v>0</v>
      </c>
      <c r="M318" s="52"/>
      <c r="N318" s="52">
        <f ca="1">IFERROR(__xludf.DUMMYFUNCTION("IMPORTRANGE(""https://docs.google.com/spreadsheets/d/1Yj_ptqi66GCucihVvJfMjLAmec39IyEx_6qawtMGysU/edit?usp=sharing"",""สบก!DE20"")"),0)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IFERROR(__xludf.DUMMYFUNCTION("IMPORTRANGE(""https://docs.google.com/spreadsheets/d/11923uPwbBZFjjGgGUA6NLw09EwE0CqkOc4q9oUmW1yo/edit?usp=sharing"",""กำแพงเพชร!J220"")"),0)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IFERROR(__xludf.DUMMYFUNCTION("IMPORTRANGE(""https://docs.google.com/spreadsheets/d/11923uPwbBZFjjGgGUA6NLw09EwE0CqkOc4q9oUmW1yo/edit?usp=sharing"",""กำแพงเพชร!J221"")"),1)</f>
        <v>1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IFERROR(__xludf.DUMMYFUNCTION("IMPORTRANGE(""https://docs.google.com/spreadsheets/d/11923uPwbBZFjjGgGUA6NLw09EwE0CqkOc4q9oUmW1yo/edit?usp=sharing"",""กำแพงเพชร!J222"")"),0)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IFERROR(__xludf.DUMMYFUNCTION("IMPORTRANGE(""https://docs.google.com/spreadsheets/d/11923uPwbBZFjjGgGUA6NLw09EwE0CqkOc4q9oUmW1yo/edit?usp=sharing"",""กำแพงเพชร!J223"")"),1)</f>
        <v>1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IFERROR(__xludf.DUMMYFUNCTION("IMPORTRANGE(""https://docs.google.com/spreadsheets/d/11923uPwbBZFjjGgGUA6NLw09EwE0CqkOc4q9oUmW1yo/edit?usp=sharing"",""กำแพงเพชร!I224"")"),1)</f>
        <v>1</v>
      </c>
      <c r="J324" s="205">
        <f ca="1">IFERROR(__xludf.DUMMYFUNCTION("IMPORTRANGE(""https://docs.google.com/spreadsheets/d/11923uPwbBZFjjGgGUA6NLw09EwE0CqkOc4q9oUmW1yo/edit?usp=sharing"",""กำแพงเพชร!J224"")"),1)</f>
        <v>1</v>
      </c>
      <c r="K324" s="225">
        <f ca="1">IF(I324&gt;0,J324*100/I324,0)</f>
        <v>100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IFERROR(__xludf.DUMMYFUNCTION("IMPORTRANGE(""https://docs.google.com/spreadsheets/d/11923uPwbBZFjjGgGUA6NLw09EwE0CqkOc4q9oUmW1yo/edit?usp=sharing"",""กำแพงเพชร!J225"")"),0)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IFERROR(__xludf.DUMMYFUNCTION("IMPORTRANGE(""https://docs.google.com/spreadsheets/d/11923uPwbBZFjjGgGUA6NLw09EwE0CqkOc4q9oUmW1yo/edit?usp=sharing"",""กำแพงเพชร!J226"")"),0)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IFERROR(__xludf.DUMMYFUNCTION("IMPORTRANGE(""https://docs.google.com/spreadsheets/d/11923uPwbBZFjjGgGUA6NLw09EwE0CqkOc4q9oUmW1yo/edit?usp=sharing"",""กำแพงเพชร!I228"")"),1209)</f>
        <v>1209</v>
      </c>
      <c r="J328" s="340">
        <f ca="1">IFERROR(__xludf.DUMMYFUNCTION("IMPORTRANGE(""https://docs.google.com/spreadsheets/d/11923uPwbBZFjjGgGUA6NLw09EwE0CqkOc4q9oUmW1yo/edit?usp=sharing"",""กำแพงเพชร!J228"")"),31)</f>
        <v>31</v>
      </c>
      <c r="K328" s="318">
        <f ca="1">IF(I328&gt;0,J328*100/I328,0)</f>
        <v>2.5641025641025643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1961030</v>
      </c>
      <c r="M329" s="154">
        <f t="shared" ca="1" si="98"/>
        <v>1543650</v>
      </c>
      <c r="N329" s="154">
        <f t="shared" ca="1" si="98"/>
        <v>862978.69</v>
      </c>
      <c r="O329" s="153">
        <f t="shared" ref="O329:O331" ca="1" si="99">IF(L329&gt;0,N329*100/L329,0)</f>
        <v>44.006399188181717</v>
      </c>
      <c r="P329" s="153">
        <f t="shared" ref="P329:P331" ca="1" si="100">IF(M329&gt;0,N329*100/M329,0)</f>
        <v>55.905074984614387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1961030</v>
      </c>
      <c r="M331" s="90">
        <f t="shared" ca="1" si="102"/>
        <v>1543650</v>
      </c>
      <c r="N331" s="90">
        <f t="shared" ca="1" si="102"/>
        <v>862978.69</v>
      </c>
      <c r="O331" s="158">
        <f t="shared" ca="1" si="99"/>
        <v>44.006399188181717</v>
      </c>
      <c r="P331" s="158">
        <f t="shared" ca="1" si="100"/>
        <v>55.905074984614387</v>
      </c>
    </row>
    <row r="332" spans="1:16" ht="21.75" customHeight="1">
      <c r="A332" s="159"/>
      <c r="B332" s="160"/>
      <c r="C332" s="160" t="s">
        <v>16</v>
      </c>
      <c r="D332" s="36" t="s">
        <v>20</v>
      </c>
      <c r="E332" s="161"/>
      <c r="F332" s="161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1961030</v>
      </c>
      <c r="M333" s="169">
        <f ca="1">IFERROR(__xludf.DUMMYFUNCTION("IMPORTRANGE(""https://docs.google.com/spreadsheets/d/1Yj_ptqi66GCucihVvJfMjLAmec39IyEx_6qawtMGysU/edit?usp=sharing"",""สบก!DL20"")"),1543650)</f>
        <v>1543650</v>
      </c>
      <c r="N333" s="170">
        <f ca="1">IFERROR(__xludf.DUMMYFUNCTION("IMPORTRANGE(""https://docs.google.com/spreadsheets/d/1Yj_ptqi66GCucihVvJfMjLAmec39IyEx_6qawtMGysU/edit?usp=sharing"",""สบก!DM20"")"),862978.69)</f>
        <v>862978.69</v>
      </c>
      <c r="O333" s="170">
        <f ca="1">IF(L333&gt;0,N333*100/L333,0)</f>
        <v>44.006399188181717</v>
      </c>
      <c r="P333" s="170">
        <f ca="1">IF(M333&gt;0,N333*100/M333,0)</f>
        <v>55.905074984614387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IFERROR(__xludf.DUMMYFUNCTION("IMPORTRANGE(""https://docs.google.com/spreadsheets/d/1Yj_ptqi66GCucihVvJfMjLAmec39IyEx_6qawtMGysU/edit?usp=sharing"",""สบก!DH20"")"),607100)</f>
        <v>607100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IFERROR(__xludf.DUMMYFUNCTION("IMPORTRANGE(""https://docs.google.com/spreadsheets/d/1Yj_ptqi66GCucihVvJfMjLAmec39IyEx_6qawtMGysU/edit?usp=sharing"",""สบก!DI20"")"),1353930)</f>
        <v>1353930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IFERROR(__xludf.DUMMYFUNCTION("IMPORTRANGE(""https://docs.google.com/spreadsheets/d/1Yj_ptqi66GCucihVvJfMjLAmec39IyEx_6qawtMGysU/edit?usp=sharing"",""สบก!DJ20"")"),0)</f>
        <v>0</v>
      </c>
      <c r="M337" s="52"/>
      <c r="N337" s="52">
        <f ca="1">IFERROR(__xludf.DUMMYFUNCTION("IMPORTRANGE(""https://docs.google.com/spreadsheets/d/1Yj_ptqi66GCucihVvJfMjLAmec39IyEx_6qawtMGysU/edit?usp=sharing"",""สบก!DN20"")"),0)</f>
        <v>0</v>
      </c>
      <c r="O337" s="52">
        <f ca="1">IF(L337&gt;0,N337*100/L337,0)</f>
        <v>0</v>
      </c>
      <c r="P337" s="52"/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IFERROR(__xludf.DUMMYFUNCTION("IMPORTRANGE(""https://docs.google.com/spreadsheets/d/11923uPwbBZFjjGgGUA6NLw09EwE0CqkOc4q9oUmW1yo/edit?usp=sharing"",""กำแพงเพชร!I234"")"),0)</f>
        <v>0</v>
      </c>
      <c r="J339" s="189">
        <f ca="1">IFERROR(__xludf.DUMMYFUNCTION("IMPORTRANGE(""https://docs.google.com/spreadsheets/d/11923uPwbBZFjjGgGUA6NLw09EwE0CqkOc4q9oUmW1yo/edit?usp=sharing"",""กำแพงเพชร!J234"")"),288)</f>
        <v>288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IFERROR(__xludf.DUMMYFUNCTION("IMPORTRANGE(""https://docs.google.com/spreadsheets/d/11923uPwbBZFjjGgGUA6NLw09EwE0CqkOc4q9oUmW1yo/edit?usp=sharing"",""กำแพงเพชร!I235"")"),8400)</f>
        <v>8400</v>
      </c>
      <c r="J340" s="189">
        <f ca="1">IFERROR(__xludf.DUMMYFUNCTION("IMPORTRANGE(""https://docs.google.com/spreadsheets/d/11923uPwbBZFjjGgGUA6NLw09EwE0CqkOc4q9oUmW1yo/edit?usp=sharing"",""กำแพงเพชร!J235"")"),2641.68999999999)</f>
        <v>2641.6899999999901</v>
      </c>
      <c r="K340" s="343">
        <f t="shared" ca="1" si="103"/>
        <v>31.448690476190357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IFERROR(__xludf.DUMMYFUNCTION("IMPORTRANGE(""https://docs.google.com/spreadsheets/d/11923uPwbBZFjjGgGUA6NLw09EwE0CqkOc4q9oUmW1yo/edit?usp=sharing"",""กำแพงเพชร!I236"")"),1209)</f>
        <v>1209</v>
      </c>
      <c r="J341" s="189">
        <f ca="1">IFERROR(__xludf.DUMMYFUNCTION("IMPORTRANGE(""https://docs.google.com/spreadsheets/d/11923uPwbBZFjjGgGUA6NLw09EwE0CqkOc4q9oUmW1yo/edit?usp=sharing"",""กำแพงเพชร!J236"")"),114)</f>
        <v>114</v>
      </c>
      <c r="K341" s="343">
        <f t="shared" ca="1" si="103"/>
        <v>9.4292803970223318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IFERROR(__xludf.DUMMYFUNCTION("IMPORTRANGE(""https://docs.google.com/spreadsheets/d/11923uPwbBZFjjGgGUA6NLw09EwE0CqkOc4q9oUmW1yo/edit?usp=sharing"",""กำแพงเพชร!I237"")"),0)</f>
        <v>0</v>
      </c>
      <c r="J342" s="189">
        <f ca="1">IFERROR(__xludf.DUMMYFUNCTION("IMPORTRANGE(""https://docs.google.com/spreadsheets/d/11923uPwbBZFjjGgGUA6NLw09EwE0CqkOc4q9oUmW1yo/edit?usp=sharing"",""กำแพงเพชร!J237"")"),1766.09)</f>
        <v>1766.09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IFERROR(__xludf.DUMMYFUNCTION("IMPORTRANGE(""https://docs.google.com/spreadsheets/d/11923uPwbBZFjjGgGUA6NLw09EwE0CqkOc4q9oUmW1yo/edit?usp=sharing"",""กำแพงเพชร!I238"")"),1209)</f>
        <v>1209</v>
      </c>
      <c r="J343" s="189">
        <f ca="1">IFERROR(__xludf.DUMMYFUNCTION("IMPORTRANGE(""https://docs.google.com/spreadsheets/d/11923uPwbBZFjjGgGUA6NLw09EwE0CqkOc4q9oUmW1yo/edit?usp=sharing"",""กำแพงเพชร!J238"")"),0)</f>
        <v>0</v>
      </c>
      <c r="K343" s="343">
        <f t="shared" ca="1" si="103"/>
        <v>0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IFERROR(__xludf.DUMMYFUNCTION("IMPORTRANGE(""https://docs.google.com/spreadsheets/d/11923uPwbBZFjjGgGUA6NLw09EwE0CqkOc4q9oUmW1yo/edit?usp=sharing"",""กำแพงเพชร!I239"")"),0)</f>
        <v>0</v>
      </c>
      <c r="J344" s="189">
        <f ca="1">IFERROR(__xludf.DUMMYFUNCTION("IMPORTRANGE(""https://docs.google.com/spreadsheets/d/11923uPwbBZFjjGgGUA6NLw09EwE0CqkOc4q9oUmW1yo/edit?usp=sharing"",""กำแพงเพชร!J239"")"),0)</f>
        <v>0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IFERROR(__xludf.DUMMYFUNCTION("IMPORTRANGE(""https://docs.google.com/spreadsheets/d/11923uPwbBZFjjGgGUA6NLw09EwE0CqkOc4q9oUmW1yo/edit?usp=sharing"",""กำแพงเพชร!I240"")"),1209)</f>
        <v>1209</v>
      </c>
      <c r="J345" s="189">
        <f ca="1">IFERROR(__xludf.DUMMYFUNCTION("IMPORTRANGE(""https://docs.google.com/spreadsheets/d/11923uPwbBZFjjGgGUA6NLw09EwE0CqkOc4q9oUmW1yo/edit?usp=sharing"",""กำแพงเพชร!J240"")"),31)</f>
        <v>31</v>
      </c>
      <c r="K345" s="343">
        <f t="shared" ca="1" si="103"/>
        <v>2.5641025641025643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IFERROR(__xludf.DUMMYFUNCTION("IMPORTRANGE(""https://docs.google.com/spreadsheets/d/11923uPwbBZFjjGgGUA6NLw09EwE0CqkOc4q9oUmW1yo/edit?usp=sharing"",""กำแพงเพชร!I241"")"),0)</f>
        <v>0</v>
      </c>
      <c r="J346" s="189">
        <f ca="1">IFERROR(__xludf.DUMMYFUNCTION("IMPORTRANGE(""https://docs.google.com/spreadsheets/d/11923uPwbBZFjjGgGUA6NLw09EwE0CqkOc4q9oUmW1yo/edit?usp=sharing"",""กำแพงเพชร!J241"")"),552.84)</f>
        <v>552.84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IFERROR(__xludf.DUMMYFUNCTION("IMPORTRANGE(""https://docs.google.com/spreadsheets/d/11923uPwbBZFjjGgGUA6NLw09EwE0CqkOc4q9oUmW1yo/edit?usp=sharing"",""กำแพงเพชร!L242"")"),3400636)</f>
        <v>3400636</v>
      </c>
      <c r="M347" s="359"/>
      <c r="N347" s="359">
        <f ca="1">IFERROR(__xludf.DUMMYFUNCTION("IMPORTRANGE(""https://docs.google.com/spreadsheets/d/11923uPwbBZFjjGgGUA6NLw09EwE0CqkOc4q9oUmW1yo/edit?usp=sharing"",""กำแพงเพชร!M242"")"),680946.039999999)</f>
        <v>680946.03999999899</v>
      </c>
      <c r="O347" s="359">
        <f ca="1">+IF(L347&gt;0,N347*100/L347,0)</f>
        <v>20.024079025217606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IFERROR(__xludf.DUMMYFUNCTION("IMPORTRANGE(""https://docs.google.com/spreadsheets/d/11923uPwbBZFjjGgGUA6NLw09EwE0CqkOc4q9oUmW1yo/edit?usp=sharing"",""กำแพงเพชร!I244"")"),0)</f>
        <v>0</v>
      </c>
      <c r="J349" s="372">
        <f ca="1">IFERROR(__xludf.DUMMYFUNCTION("IMPORTRANGE(""https://docs.google.com/spreadsheets/d/11923uPwbBZFjjGgGUA6NLw09EwE0CqkOc4q9oUmW1yo/edit?usp=sharing"",""กำแพงเพชร!J244"")"),0)</f>
        <v>0</v>
      </c>
      <c r="K349" s="373">
        <f t="shared" ref="K349:K350" ca="1" si="104">IF(I349&gt;0,J349*100/I349,0)</f>
        <v>0</v>
      </c>
      <c r="L349" s="374">
        <f ca="1">IFERROR(__xludf.DUMMYFUNCTION("IMPORTRANGE(""https://docs.google.com/spreadsheets/d/11923uPwbBZFjjGgGUA6NLw09EwE0CqkOc4q9oUmW1yo/edit?usp=sharing"",""กำแพงเพชร!L244"")"),0)</f>
        <v>0</v>
      </c>
      <c r="M349" s="374"/>
      <c r="N349" s="374">
        <f ca="1">IFERROR(__xludf.DUMMYFUNCTION("IMPORTRANGE(""https://docs.google.com/spreadsheets/d/11923uPwbBZFjjGgGUA6NLw09EwE0CqkOc4q9oUmW1yo/edit?usp=sharing"",""กำแพงเพชร!M244"")"),0)</f>
        <v>0</v>
      </c>
      <c r="O349" s="374">
        <f ca="1">+IF(L349&gt;0,N349*100/L349,0)</f>
        <v>0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IFERROR(__xludf.DUMMYFUNCTION("IMPORTRANGE(""https://docs.google.com/spreadsheets/d/11923uPwbBZFjjGgGUA6NLw09EwE0CqkOc4q9oUmW1yo/edit?usp=sharing"",""กำแพงเพชร!I245"")"),0)</f>
        <v>0</v>
      </c>
      <c r="J350" s="372">
        <f ca="1">IFERROR(__xludf.DUMMYFUNCTION("IMPORTRANGE(""https://docs.google.com/spreadsheets/d/11923uPwbBZFjjGgGUA6NLw09EwE0CqkOc4q9oUmW1yo/edit?usp=sharing"",""กำแพงเพชร!J245"")"),0)</f>
        <v>0</v>
      </c>
      <c r="K350" s="373">
        <f t="shared" ca="1" si="104"/>
        <v>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IFERROR(__xludf.DUMMYFUNCTION("IMPORTRANGE(""https://docs.google.com/spreadsheets/d/11923uPwbBZFjjGgGUA6NLw09EwE0CqkOc4q9oUmW1yo/edit?usp=sharing"",""กำแพงเพชร!L246"")"),0)</f>
        <v>0</v>
      </c>
      <c r="M351" s="166"/>
      <c r="N351" s="166">
        <f ca="1">IFERROR(__xludf.DUMMYFUNCTION("IMPORTRANGE(""https://docs.google.com/spreadsheets/d/11923uPwbBZFjjGgGUA6NLw09EwE0CqkOc4q9oUmW1yo/edit?usp=sharing"",""กำแพงเพชร!M246"")"),0)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IFERROR(__xludf.DUMMYFUNCTION("IMPORTRANGE(""https://docs.google.com/spreadsheets/d/11923uPwbBZFjjGgGUA6NLw09EwE0CqkOc4q9oUmW1yo/edit?usp=sharing"",""กำแพงเพชร!L247"")"),0)</f>
        <v>0</v>
      </c>
      <c r="M352" s="167"/>
      <c r="N352" s="166">
        <f ca="1">IFERROR(__xludf.DUMMYFUNCTION("IMPORTRANGE(""https://docs.google.com/spreadsheets/d/11923uPwbBZFjjGgGUA6NLw09EwE0CqkOc4q9oUmW1yo/edit?usp=sharing"",""กำแพงเพชร!M247"")"),0)</f>
        <v>0</v>
      </c>
      <c r="O352" s="167">
        <f t="shared" ca="1" si="105"/>
        <v>0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IFERROR(__xludf.DUMMYFUNCTION("IMPORTRANGE(""https://docs.google.com/spreadsheets/d/11923uPwbBZFjjGgGUA6NLw09EwE0CqkOc4q9oUmW1yo/edit?usp=sharing"",""กำแพงเพชร!L248"")"),0)</f>
        <v>0</v>
      </c>
      <c r="M353" s="170"/>
      <c r="N353" s="170">
        <f ca="1">IFERROR(__xludf.DUMMYFUNCTION("IMPORTRANGE(""https://docs.google.com/spreadsheets/d/11923uPwbBZFjjGgGUA6NLw09EwE0CqkOc4q9oUmW1yo/edit?usp=sharing"",""กำแพงเพชร!M248"")"),0)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IFERROR(__xludf.DUMMYFUNCTION("IMPORTRANGE(""https://docs.google.com/spreadsheets/d/11923uPwbBZFjjGgGUA6NLw09EwE0CqkOc4q9oUmW1yo/edit?usp=sharing"",""กำแพงเพชร!L249"")"),0)</f>
        <v>0</v>
      </c>
      <c r="M354" s="170"/>
      <c r="N354" s="169">
        <f ca="1">IFERROR(__xludf.DUMMYFUNCTION("IMPORTRANGE(""https://docs.google.com/spreadsheets/d/11923uPwbBZFjjGgGUA6NLw09EwE0CqkOc4q9oUmW1yo/edit?usp=sharing"",""กำแพงเพชร!M249"")"),0)</f>
        <v>0</v>
      </c>
      <c r="O354" s="170">
        <f t="shared" ca="1" si="105"/>
        <v>0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IFERROR(__xludf.DUMMYFUNCTION("IMPORTRANGE(""https://docs.google.com/spreadsheets/d/11923uPwbBZFjjGgGUA6NLw09EwE0CqkOc4q9oUmW1yo/edit?usp=sharing"",""กำแพงเพชร!M250"")"),0)</f>
        <v>0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IFERROR(__xludf.DUMMYFUNCTION("IMPORTRANGE(""https://docs.google.com/spreadsheets/d/11923uPwbBZFjjGgGUA6NLw09EwE0CqkOc4q9oUmW1yo/edit?usp=sharing"",""กำแพงเพชร!M251"")"),0)</f>
        <v>0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IFERROR(__xludf.DUMMYFUNCTION("IMPORTRANGE(""https://docs.google.com/spreadsheets/d/11923uPwbBZFjjGgGUA6NLw09EwE0CqkOc4q9oUmW1yo/edit?usp=sharing"",""กำแพงเพชร!M252"")"),0)</f>
        <v>0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IFERROR(__xludf.DUMMYFUNCTION("IMPORTRANGE(""https://docs.google.com/spreadsheets/d/11923uPwbBZFjjGgGUA6NLw09EwE0CqkOc4q9oUmW1yo/edit?usp=sharing"",""กำแพงเพชร!M253"")"),0)</f>
        <v>0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IFERROR(__xludf.DUMMYFUNCTION("IMPORTRANGE(""https://docs.google.com/spreadsheets/d/11923uPwbBZFjjGgGUA6NLw09EwE0CqkOc4q9oUmW1yo/edit?usp=sharing"",""กำแพงเพชร!J255"")"),0)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IFERROR(__xludf.DUMMYFUNCTION("IMPORTRANGE(""https://docs.google.com/spreadsheets/d/11923uPwbBZFjjGgGUA6NLw09EwE0CqkOc4q9oUmW1yo/edit?usp=sharing"",""กำแพงเพชร!J256"")"),0)</f>
        <v>0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IFERROR(__xludf.DUMMYFUNCTION("IMPORTRANGE(""https://docs.google.com/spreadsheets/d/11923uPwbBZFjjGgGUA6NLw09EwE0CqkOc4q9oUmW1yo/edit?usp=sharing"",""กำแพงเพชร!J257"")"),0)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IFERROR(__xludf.DUMMYFUNCTION("IMPORTRANGE(""https://docs.google.com/spreadsheets/d/11923uPwbBZFjjGgGUA6NLw09EwE0CqkOc4q9oUmW1yo/edit?usp=sharing"",""กำแพงเพชร!J258"")"),0)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IFERROR(__xludf.DUMMYFUNCTION("IMPORTRANGE(""https://docs.google.com/spreadsheets/d/11923uPwbBZFjjGgGUA6NLw09EwE0CqkOc4q9oUmW1yo/edit?usp=sharing"",""กำแพงเพชร!J166"")"),0)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IFERROR(__xludf.DUMMYFUNCTION("IMPORTRANGE(""https://docs.google.com/spreadsheets/d/11923uPwbBZFjjGgGUA6NLw09EwE0CqkOc4q9oUmW1yo/edit?usp=sharing"",""กำแพงเพชร!J166"")"),0)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IFERROR(__xludf.DUMMYFUNCTION("IMPORTRANGE(""https://docs.google.com/spreadsheets/d/11923uPwbBZFjjGgGUA6NLw09EwE0CqkOc4q9oUmW1yo/edit?usp=sharing"",""กำแพงเพชร!J166"")"),0)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IFERROR(__xludf.DUMMYFUNCTION("IMPORTRANGE(""https://docs.google.com/spreadsheets/d/11923uPwbBZFjjGgGUA6NLw09EwE0CqkOc4q9oUmW1yo/edit?usp=sharing"",""กำแพงเพชร!J166"")"),0)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IFERROR(__xludf.DUMMYFUNCTION("IMPORTRANGE(""https://docs.google.com/spreadsheets/d/11923uPwbBZFjjGgGUA6NLw09EwE0CqkOc4q9oUmW1yo/edit?usp=sharing"",""กำแพงเพชร!I263"")"),0)</f>
        <v>0</v>
      </c>
      <c r="J368" s="189">
        <f ca="1">IFERROR(__xludf.DUMMYFUNCTION("IMPORTRANGE(""https://docs.google.com/spreadsheets/d/11923uPwbBZFjjGgGUA6NLw09EwE0CqkOc4q9oUmW1yo/edit?usp=sharing"",""กำแพงเพชร!J263"")"),0)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IFERROR(__xludf.DUMMYFUNCTION("IMPORTRANGE(""https://docs.google.com/spreadsheets/d/11923uPwbBZFjjGgGUA6NLw09EwE0CqkOc4q9oUmW1yo/edit?usp=sharing"",""กำแพงเพชร!I164"")"),0)</f>
        <v>0</v>
      </c>
      <c r="J369" s="205">
        <f ca="1">IFERROR(__xludf.DUMMYFUNCTION("IMPORTRANGE(""https://docs.google.com/spreadsheets/d/11923uPwbBZFjjGgGUA6NLw09EwE0CqkOc4q9oUmW1yo/edit?usp=sharing"",""กำแพงเพชร!J164"")"),0)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IFERROR(__xludf.DUMMYFUNCTION("IMPORTRANGE(""https://docs.google.com/spreadsheets/d/11923uPwbBZFjjGgGUA6NLw09EwE0CqkOc4q9oUmW1yo/edit?usp=sharing"",""กำแพงเพชร!I265"")"),0)</f>
        <v>0</v>
      </c>
      <c r="J370" s="205">
        <f ca="1">IFERROR(__xludf.DUMMYFUNCTION("IMPORTRANGE(""https://docs.google.com/spreadsheets/d/11923uPwbBZFjjGgGUA6NLw09EwE0CqkOc4q9oUmW1yo/edit?usp=sharing"",""กำแพงเพชร!J265"")"),0)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IFERROR(__xludf.DUMMYFUNCTION("IMPORTRANGE(""https://docs.google.com/spreadsheets/d/11923uPwbBZFjjGgGUA6NLw09EwE0CqkOc4q9oUmW1yo/edit?usp=sharing"",""กำแพงเพชร!I164"")"),0)</f>
        <v>0</v>
      </c>
      <c r="J371" s="190">
        <f ca="1">IFERROR(__xludf.DUMMYFUNCTION("IMPORTRANGE(""https://docs.google.com/spreadsheets/d/11923uPwbBZFjjGgGUA6NLw09EwE0CqkOc4q9oUmW1yo/edit?usp=sharing"",""กำแพงเพชร!J164"")"),0)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IFERROR(__xludf.DUMMYFUNCTION("IMPORTRANGE(""https://docs.google.com/spreadsheets/d/11923uPwbBZFjjGgGUA6NLw09EwE0CqkOc4q9oUmW1yo/edit?usp=sharing"",""กำแพงเพชร!I267"")"),0)</f>
        <v>0</v>
      </c>
      <c r="J372" s="190">
        <f ca="1">IFERROR(__xludf.DUMMYFUNCTION("IMPORTRANGE(""https://docs.google.com/spreadsheets/d/11923uPwbBZFjjGgGUA6NLw09EwE0CqkOc4q9oUmW1yo/edit?usp=sharing"",""กำแพงเพชร!J267"")"),0)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IFERROR(__xludf.DUMMYFUNCTION("IMPORTRANGE(""https://docs.google.com/spreadsheets/d/11923uPwbBZFjjGgGUA6NLw09EwE0CqkOc4q9oUmW1yo/edit?usp=sharing"",""กำแพงเพชร!I164"")"),0)</f>
        <v>0</v>
      </c>
      <c r="J373" s="205">
        <f ca="1">IFERROR(__xludf.DUMMYFUNCTION("IMPORTRANGE(""https://docs.google.com/spreadsheets/d/11923uPwbBZFjjGgGUA6NLw09EwE0CqkOc4q9oUmW1yo/edit?usp=sharing"",""กำแพงเพชร!J164"")"),0)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IFERROR(__xludf.DUMMYFUNCTION("IMPORTRANGE(""https://docs.google.com/spreadsheets/d/11923uPwbBZFjjGgGUA6NLw09EwE0CqkOc4q9oUmW1yo/edit?usp=sharing"",""กำแพงเพชร!I164"")"),0)</f>
        <v>0</v>
      </c>
      <c r="J374" s="189">
        <f ca="1">IFERROR(__xludf.DUMMYFUNCTION("IMPORTRANGE(""https://docs.google.com/spreadsheets/d/11923uPwbBZFjjGgGUA6NLw09EwE0CqkOc4q9oUmW1yo/edit?usp=sharing"",""กำแพงเพชร!J164"")"),0)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IFERROR(__xludf.DUMMYFUNCTION("IMPORTRANGE(""https://docs.google.com/spreadsheets/d/11923uPwbBZFjjGgGUA6NLw09EwE0CqkOc4q9oUmW1yo/edit?usp=sharing"",""กำแพงเพชร!I270"")"),0)</f>
        <v>0</v>
      </c>
      <c r="J375" s="189">
        <f ca="1">IFERROR(__xludf.DUMMYFUNCTION("IMPORTRANGE(""https://docs.google.com/spreadsheets/d/11923uPwbBZFjjGgGUA6NLw09EwE0CqkOc4q9oUmW1yo/edit?usp=sharing"",""กำแพงเพชร!J270"")"),0)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IFERROR(__xludf.DUMMYFUNCTION("IMPORTRANGE(""https://docs.google.com/spreadsheets/d/11923uPwbBZFjjGgGUA6NLw09EwE0CqkOc4q9oUmW1yo/edit?usp=sharing"",""กำแพงเพชร!I271"")"),0)</f>
        <v>0</v>
      </c>
      <c r="J376" s="190">
        <f ca="1">IFERROR(__xludf.DUMMYFUNCTION("IMPORTRANGE(""https://docs.google.com/spreadsheets/d/11923uPwbBZFjjGgGUA6NLw09EwE0CqkOc4q9oUmW1yo/edit?usp=sharing"",""กำแพงเพชร!J271"")"),0)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IFERROR(__xludf.DUMMYFUNCTION("IMPORTRANGE(""https://docs.google.com/spreadsheets/d/11923uPwbBZFjjGgGUA6NLw09EwE0CqkOc4q9oUmW1yo/edit?usp=sharing"",""กำแพงเพชร!I272"")"),0)</f>
        <v>0</v>
      </c>
      <c r="J377" s="205">
        <f ca="1">IFERROR(__xludf.DUMMYFUNCTION("IMPORTRANGE(""https://docs.google.com/spreadsheets/d/11923uPwbBZFjjGgGUA6NLw09EwE0CqkOc4q9oUmW1yo/edit?usp=sharing"",""กำแพงเพชร!J272"")"),0)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IFERROR(__xludf.DUMMYFUNCTION("IMPORTRANGE(""https://docs.google.com/spreadsheets/d/11923uPwbBZFjjGgGUA6NLw09EwE0CqkOc4q9oUmW1yo/edit?usp=sharing"",""กำแพงเพชร!J273"")"),0)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IFERROR(__xludf.DUMMYFUNCTION("IMPORTRANGE(""https://docs.google.com/spreadsheets/d/11923uPwbBZFjjGgGUA6NLw09EwE0CqkOc4q9oUmW1yo/edit?usp=sharing"",""กำแพงเพชร!J274"")"),0)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IFERROR(__xludf.DUMMYFUNCTION("IMPORTRANGE(""https://docs.google.com/spreadsheets/d/11923uPwbBZFjjGgGUA6NLw09EwE0CqkOc4q9oUmW1yo/edit?usp=sharing"",""กำแพงเพชร!I275"")"),1000)</f>
        <v>1000</v>
      </c>
      <c r="J380" s="372">
        <f ca="1">IFERROR(__xludf.DUMMYFUNCTION("IMPORTRANGE(""https://docs.google.com/spreadsheets/d/11923uPwbBZFjjGgGUA6NLw09EwE0CqkOc4q9oUmW1yo/edit?usp=sharing"",""กำแพงเพชร!J275"")"),0)</f>
        <v>0</v>
      </c>
      <c r="K380" s="373">
        <f t="shared" ref="K380:K381" ca="1" si="108">IF(I380&gt;0,J380*100/I380,0)</f>
        <v>0</v>
      </c>
      <c r="L380" s="374">
        <f ca="1">IFERROR(__xludf.DUMMYFUNCTION("IMPORTRANGE(""https://docs.google.com/spreadsheets/d/11923uPwbBZFjjGgGUA6NLw09EwE0CqkOc4q9oUmW1yo/edit?usp=sharing"",""กำแพงเพชร!L275"")"),1028520)</f>
        <v>1028520</v>
      </c>
      <c r="M380" s="374"/>
      <c r="N380" s="374">
        <f ca="1">IFERROR(__xludf.DUMMYFUNCTION("IMPORTRANGE(""https://docs.google.com/spreadsheets/d/11923uPwbBZFjjGgGUA6NLw09EwE0CqkOc4q9oUmW1yo/edit?usp=sharing"",""กำแพงเพชร!M275"")"),193495.59)</f>
        <v>193495.59</v>
      </c>
      <c r="O380" s="374">
        <f ca="1">+IF(L380&gt;0,N380*100/L380,0)</f>
        <v>18.813011900595029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IFERROR(__xludf.DUMMYFUNCTION("IMPORTRANGE(""https://docs.google.com/spreadsheets/d/11923uPwbBZFjjGgGUA6NLw09EwE0CqkOc4q9oUmW1yo/edit?usp=sharing"",""กำแพงเพชร!I276"")"),100)</f>
        <v>100</v>
      </c>
      <c r="J381" s="372">
        <f ca="1">IFERROR(__xludf.DUMMYFUNCTION("IMPORTRANGE(""https://docs.google.com/spreadsheets/d/11923uPwbBZFjjGgGUA6NLw09EwE0CqkOc4q9oUmW1yo/edit?usp=sharing"",""กำแพงเพชร!J276"")"),100)</f>
        <v>100</v>
      </c>
      <c r="K381" s="373">
        <f t="shared" ca="1" si="108"/>
        <v>100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IFERROR(__xludf.DUMMYFUNCTION("IMPORTRANGE(""https://docs.google.com/spreadsheets/d/11923uPwbBZFjjGgGUA6NLw09EwE0CqkOc4q9oUmW1yo/edit?usp=sharing"",""กำแพงเพชร!L277"")"),0)</f>
        <v>0</v>
      </c>
      <c r="M382" s="166"/>
      <c r="N382" s="166">
        <f ca="1">IFERROR(__xludf.DUMMYFUNCTION("IMPORTRANGE(""https://docs.google.com/spreadsheets/d/11923uPwbBZFjjGgGUA6NLw09EwE0CqkOc4q9oUmW1yo/edit?usp=sharing"",""กำแพงเพชร!M277"")"),0)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IFERROR(__xludf.DUMMYFUNCTION("IMPORTRANGE(""https://docs.google.com/spreadsheets/d/11923uPwbBZFjjGgGUA6NLw09EwE0CqkOc4q9oUmW1yo/edit?usp=sharing"",""กำแพงเพชร!L278"")"),1028520)</f>
        <v>1028520</v>
      </c>
      <c r="M383" s="167"/>
      <c r="N383" s="167">
        <f ca="1">IFERROR(__xludf.DUMMYFUNCTION("IMPORTRANGE(""https://docs.google.com/spreadsheets/d/11923uPwbBZFjjGgGUA6NLw09EwE0CqkOc4q9oUmW1yo/edit?usp=sharing"",""กำแพงเพชร!M278"")"),193495.59)</f>
        <v>193495.59</v>
      </c>
      <c r="O383" s="167">
        <f t="shared" ca="1" si="109"/>
        <v>18.813011900595029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IFERROR(__xludf.DUMMYFUNCTION("IMPORTRANGE(""https://docs.google.com/spreadsheets/d/11923uPwbBZFjjGgGUA6NLw09EwE0CqkOc4q9oUmW1yo/edit?usp=sharing"",""กำแพงเพชร!L279"")"),0)</f>
        <v>0</v>
      </c>
      <c r="M384" s="170"/>
      <c r="N384" s="170">
        <f ca="1">IFERROR(__xludf.DUMMYFUNCTION("IMPORTRANGE(""https://docs.google.com/spreadsheets/d/11923uPwbBZFjjGgGUA6NLw09EwE0CqkOc4q9oUmW1yo/edit?usp=sharing"",""กำแพงเพชร!M279"")"),0)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IFERROR(__xludf.DUMMYFUNCTION("IMPORTRANGE(""https://docs.google.com/spreadsheets/d/11923uPwbBZFjjGgGUA6NLw09EwE0CqkOc4q9oUmW1yo/edit?usp=sharing"",""กำแพงเพชร!L280"")"),1028520)</f>
        <v>1028520</v>
      </c>
      <c r="M385" s="170"/>
      <c r="N385" s="169">
        <f ca="1">IFERROR(__xludf.DUMMYFUNCTION("IMPORTRANGE(""https://docs.google.com/spreadsheets/d/11923uPwbBZFjjGgGUA6NLw09EwE0CqkOc4q9oUmW1yo/edit?usp=sharing"",""กำแพงเพชร!M280"")"),193495.59)</f>
        <v>193495.59</v>
      </c>
      <c r="O385" s="170">
        <f t="shared" ca="1" si="109"/>
        <v>18.813011900595029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IFERROR(__xludf.DUMMYFUNCTION("IMPORTRANGE(""https://docs.google.com/spreadsheets/d/11923uPwbBZFjjGgGUA6NLw09EwE0CqkOc4q9oUmW1yo/edit?usp=sharing"",""กำแพงเพชร!M281"")"),139132)</f>
        <v>139132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IFERROR(__xludf.DUMMYFUNCTION("IMPORTRANGE(""https://docs.google.com/spreadsheets/d/11923uPwbBZFjjGgGUA6NLw09EwE0CqkOc4q9oUmW1yo/edit?usp=sharing"",""กำแพงเพชร!M282"")"),0)</f>
        <v>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IFERROR(__xludf.DUMMYFUNCTION("IMPORTRANGE(""https://docs.google.com/spreadsheets/d/11923uPwbBZFjjGgGUA6NLw09EwE0CqkOc4q9oUmW1yo/edit?usp=sharing"",""กำแพงเพชร!M283"")"),51413.59)</f>
        <v>51413.59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IFERROR(__xludf.DUMMYFUNCTION("IMPORTRANGE(""https://docs.google.com/spreadsheets/d/11923uPwbBZFjjGgGUA6NLw09EwE0CqkOc4q9oUmW1yo/edit?usp=sharing"",""กำแพงเพชร!M284"")"),2950)</f>
        <v>2950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IFERROR(__xludf.DUMMYFUNCTION("IMPORTRANGE(""https://docs.google.com/spreadsheets/d/11923uPwbBZFjjGgGUA6NLw09EwE0CqkOc4q9oUmW1yo/edit?usp=sharing"",""กำแพงเพชร!J286"")"),0)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IFERROR(__xludf.DUMMYFUNCTION("IMPORTRANGE(""https://docs.google.com/spreadsheets/d/11923uPwbBZFjjGgGUA6NLw09EwE0CqkOc4q9oUmW1yo/edit?usp=sharing"",""กำแพงเพชร!J287"")"),1)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IFERROR(__xludf.DUMMYFUNCTION("IMPORTRANGE(""https://docs.google.com/spreadsheets/d/11923uPwbBZFjjGgGUA6NLw09EwE0CqkOc4q9oUmW1yo/edit?usp=sharing"",""กำแพงเพชร!J288"")"),1)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IFERROR(__xludf.DUMMYFUNCTION("IMPORTRANGE(""https://docs.google.com/spreadsheets/d/11923uPwbBZFjjGgGUA6NLw09EwE0CqkOc4q9oUmW1yo/edit?usp=sharing"",""กำแพงเพชร!J289"")"),1)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IFERROR(__xludf.DUMMYFUNCTION("IMPORTRANGE(""https://docs.google.com/spreadsheets/d/11923uPwbBZFjjGgGUA6NLw09EwE0CqkOc4q9oUmW1yo/edit?usp=sharing"",""กำแพงเพชร!I291"")"),100)</f>
        <v>100</v>
      </c>
      <c r="J396" s="199">
        <f ca="1">IFERROR(__xludf.DUMMYFUNCTION("IMPORTRANGE(""https://docs.google.com/spreadsheets/d/11923uPwbBZFjjGgGUA6NLw09EwE0CqkOc4q9oUmW1yo/edit?usp=sharing"",""กำแพงเพชร!J291"")"),100)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IFERROR(__xludf.DUMMYFUNCTION("IMPORTRANGE(""https://docs.google.com/spreadsheets/d/11923uPwbBZFjjGgGUA6NLw09EwE0CqkOc4q9oUmW1yo/edit?usp=sharing"",""กำแพงเพชร!I292"")"),1000)</f>
        <v>1000</v>
      </c>
      <c r="J397" s="199">
        <f ca="1">IFERROR(__xludf.DUMMYFUNCTION("IMPORTRANGE(""https://docs.google.com/spreadsheets/d/11923uPwbBZFjjGgGUA6NLw09EwE0CqkOc4q9oUmW1yo/edit?usp=sharing"",""กำแพงเพชร!J292"")"),0)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IFERROR(__xludf.DUMMYFUNCTION("IMPORTRANGE(""https://docs.google.com/spreadsheets/d/11923uPwbBZFjjGgGUA6NLw09EwE0CqkOc4q9oUmW1yo/edit?usp=sharing"",""กำแพงเพชร!I293"")"),100)</f>
        <v>100</v>
      </c>
      <c r="J398" s="199">
        <f ca="1">IFERROR(__xludf.DUMMYFUNCTION("IMPORTRANGE(""https://docs.google.com/spreadsheets/d/11923uPwbBZFjjGgGUA6NLw09EwE0CqkOc4q9oUmW1yo/edit?usp=sharing"",""กำแพงเพชร!J293"")"),0)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IFERROR(__xludf.DUMMYFUNCTION("IMPORTRANGE(""https://docs.google.com/spreadsheets/d/11923uPwbBZFjjGgGUA6NLw09EwE0CqkOc4q9oUmW1yo/edit?usp=sharing"",""กำแพงเพชร!J294"")"),0)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IFERROR(__xludf.DUMMYFUNCTION("IMPORTRANGE(""https://docs.google.com/spreadsheets/d/11923uPwbBZFjjGgGUA6NLw09EwE0CqkOc4q9oUmW1yo/edit?usp=sharing"",""กำแพงเพชร!J295"")"),0)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IFERROR(__xludf.DUMMYFUNCTION("IMPORTRANGE(""https://docs.google.com/spreadsheets/d/11923uPwbBZFjjGgGUA6NLw09EwE0CqkOc4q9oUmW1yo/edit?usp=sharing"",""กำแพงเพชร!I296"")"),135)</f>
        <v>135</v>
      </c>
      <c r="J401" s="372">
        <f ca="1">IFERROR(__xludf.DUMMYFUNCTION("IMPORTRANGE(""https://docs.google.com/spreadsheets/d/11923uPwbBZFjjGgGUA6NLw09EwE0CqkOc4q9oUmW1yo/edit?usp=sharing"",""กำแพงเพชร!J296"")"),105)</f>
        <v>105</v>
      </c>
      <c r="K401" s="373">
        <f t="shared" ref="K401:K402" ca="1" si="111">IF(I401&gt;0,J401*100/I401,0)</f>
        <v>77.777777777777771</v>
      </c>
      <c r="L401" s="374">
        <f ca="1">IFERROR(__xludf.DUMMYFUNCTION("IMPORTRANGE(""https://docs.google.com/spreadsheets/d/11923uPwbBZFjjGgGUA6NLw09EwE0CqkOc4q9oUmW1yo/edit?usp=sharing"",""กำแพงเพชร!L296"")"),159950)</f>
        <v>159950</v>
      </c>
      <c r="M401" s="374"/>
      <c r="N401" s="374">
        <f ca="1">IFERROR(__xludf.DUMMYFUNCTION("IMPORTRANGE(""https://docs.google.com/spreadsheets/d/11923uPwbBZFjjGgGUA6NLw09EwE0CqkOc4q9oUmW1yo/edit?usp=sharing"",""กำแพงเพชร!M296"")"),95343)</f>
        <v>95343</v>
      </c>
      <c r="O401" s="374">
        <f ca="1">+IF(L401&gt;0,N401*100/L401,0)</f>
        <v>59.608002500781495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IFERROR(__xludf.DUMMYFUNCTION("IMPORTRANGE(""https://docs.google.com/spreadsheets/d/11923uPwbBZFjjGgGUA6NLw09EwE0CqkOc4q9oUmW1yo/edit?usp=sharing"",""กำแพงเพชร!I297"")"),45)</f>
        <v>45</v>
      </c>
      <c r="J402" s="372">
        <f ca="1">IFERROR(__xludf.DUMMYFUNCTION("IMPORTRANGE(""https://docs.google.com/spreadsheets/d/11923uPwbBZFjjGgGUA6NLw09EwE0CqkOc4q9oUmW1yo/edit?usp=sharing"",""กำแพงเพชร!J297"")"),35)</f>
        <v>35</v>
      </c>
      <c r="K402" s="373">
        <f t="shared" ca="1" si="111"/>
        <v>77.777777777777771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IFERROR(__xludf.DUMMYFUNCTION("IMPORTRANGE(""https://docs.google.com/spreadsheets/d/11923uPwbBZFjjGgGUA6NLw09EwE0CqkOc4q9oUmW1yo/edit?usp=sharing"",""กำแพงเพชร!L298"")"),0)</f>
        <v>0</v>
      </c>
      <c r="M403" s="166"/>
      <c r="N403" s="170">
        <f ca="1">IFERROR(__xludf.DUMMYFUNCTION("IMPORTRANGE(""https://docs.google.com/spreadsheets/d/11923uPwbBZFjjGgGUA6NLw09EwE0CqkOc4q9oUmW1yo/edit?usp=sharing"",""กำแพงเพชร!M298"")"),0)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IFERROR(__xludf.DUMMYFUNCTION("IMPORTRANGE(""https://docs.google.com/spreadsheets/d/11923uPwbBZFjjGgGUA6NLw09EwE0CqkOc4q9oUmW1yo/edit?usp=sharing"",""กำแพงเพชร!L299"")"),159950)</f>
        <v>159950</v>
      </c>
      <c r="M404" s="167"/>
      <c r="N404" s="170">
        <f ca="1">IFERROR(__xludf.DUMMYFUNCTION("IMPORTRANGE(""https://docs.google.com/spreadsheets/d/11923uPwbBZFjjGgGUA6NLw09EwE0CqkOc4q9oUmW1yo/edit?usp=sharing"",""กำแพงเพชร!M299"")"),95343)</f>
        <v>95343</v>
      </c>
      <c r="O404" s="170">
        <f t="shared" ca="1" si="112"/>
        <v>59.608002500781495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IFERROR(__xludf.DUMMYFUNCTION("IMPORTRANGE(""https://docs.google.com/spreadsheets/d/11923uPwbBZFjjGgGUA6NLw09EwE0CqkOc4q9oUmW1yo/edit?usp=sharing"",""กำแพงเพชร!L300"")"),0)</f>
        <v>0</v>
      </c>
      <c r="M405" s="170"/>
      <c r="N405" s="170">
        <f ca="1">IFERROR(__xludf.DUMMYFUNCTION("IMPORTRANGE(""https://docs.google.com/spreadsheets/d/11923uPwbBZFjjGgGUA6NLw09EwE0CqkOc4q9oUmW1yo/edit?usp=sharing"",""กำแพงเพชร!M300"")"),0)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IFERROR(__xludf.DUMMYFUNCTION("IMPORTRANGE(""https://docs.google.com/spreadsheets/d/11923uPwbBZFjjGgGUA6NLw09EwE0CqkOc4q9oUmW1yo/edit?usp=sharing"",""กำแพงเพชร!L301"")"),159950)</f>
        <v>159950</v>
      </c>
      <c r="M406" s="170"/>
      <c r="N406" s="170">
        <f ca="1">IFERROR(__xludf.DUMMYFUNCTION("IMPORTRANGE(""https://docs.google.com/spreadsheets/d/11923uPwbBZFjjGgGUA6NLw09EwE0CqkOc4q9oUmW1yo/edit?usp=sharing"",""กำแพงเพชร!M301"")"),95343)</f>
        <v>95343</v>
      </c>
      <c r="O406" s="170">
        <f t="shared" ca="1" si="112"/>
        <v>59.608002500781495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IFERROR(__xludf.DUMMYFUNCTION("IMPORTRANGE(""https://docs.google.com/spreadsheets/d/11923uPwbBZFjjGgGUA6NLw09EwE0CqkOc4q9oUmW1yo/edit?usp=sharing"",""กำแพงเพชร!M302"")"),66573)</f>
        <v>66573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IFERROR(__xludf.DUMMYFUNCTION("IMPORTRANGE(""https://docs.google.com/spreadsheets/d/11923uPwbBZFjjGgGUA6NLw09EwE0CqkOc4q9oUmW1yo/edit?usp=sharing"",""กำแพงเพชร!M303"")"),17500)</f>
        <v>17500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IFERROR(__xludf.DUMMYFUNCTION("IMPORTRANGE(""https://docs.google.com/spreadsheets/d/11923uPwbBZFjjGgGUA6NLw09EwE0CqkOc4q9oUmW1yo/edit?usp=sharing"",""กำแพงเพชร!M304"")"),0)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IFERROR(__xludf.DUMMYFUNCTION("IMPORTRANGE(""https://docs.google.com/spreadsheets/d/11923uPwbBZFjjGgGUA6NLw09EwE0CqkOc4q9oUmW1yo/edit?usp=sharing"",""กำแพงเพชร!M305"")"),11270)</f>
        <v>11270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IFERROR(__xludf.DUMMYFUNCTION("IMPORTRANGE(""https://docs.google.com/spreadsheets/d/11923uPwbBZFjjGgGUA6NLw09EwE0CqkOc4q9oUmW1yo/edit?usp=sharing"",""กำแพงเพชร!J307"")"),0)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IFERROR(__xludf.DUMMYFUNCTION("IMPORTRANGE(""https://docs.google.com/spreadsheets/d/11923uPwbBZFjjGgGUA6NLw09EwE0CqkOc4q9oUmW1yo/edit?usp=sharing"",""กำแพงเพชร!J308"")"),1)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IFERROR(__xludf.DUMMYFUNCTION("IMPORTRANGE(""https://docs.google.com/spreadsheets/d/11923uPwbBZFjjGgGUA6NLw09EwE0CqkOc4q9oUmW1yo/edit?usp=sharing"",""กำแพงเพชร!J309"")"),1)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IFERROR(__xludf.DUMMYFUNCTION("IMPORTRANGE(""https://docs.google.com/spreadsheets/d/11923uPwbBZFjjGgGUA6NLw09EwE0CqkOc4q9oUmW1yo/edit?usp=sharing"",""กำแพงเพชร!J310"")"),1)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IFERROR(__xludf.DUMMYFUNCTION("IMPORTRANGE(""https://docs.google.com/spreadsheets/d/11923uPwbBZFjjGgGUA6NLw09EwE0CqkOc4q9oUmW1yo/edit?usp=sharing"",""กำแพงเพชร!I311"")"),45)</f>
        <v>45</v>
      </c>
      <c r="J416" s="202">
        <f ca="1">IFERROR(__xludf.DUMMYFUNCTION("IMPORTRANGE(""https://docs.google.com/spreadsheets/d/11923uPwbBZFjjGgGUA6NLw09EwE0CqkOc4q9oUmW1yo/edit?usp=sharing"",""กำแพงเพชร!J311"")"),35)</f>
        <v>35</v>
      </c>
      <c r="K416" s="203">
        <f t="shared" ref="K416:K432" ca="1" si="113">IF(I416&gt;0,J416*100/I416,0)</f>
        <v>77.777777777777771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IFERROR(__xludf.DUMMYFUNCTION("IMPORTRANGE(""https://docs.google.com/spreadsheets/d/11923uPwbBZFjjGgGUA6NLw09EwE0CqkOc4q9oUmW1yo/edit?usp=sharing"",""กำแพงเพชร!I312"")"),10)</f>
        <v>10</v>
      </c>
      <c r="J417" s="393">
        <f ca="1">IFERROR(__xludf.DUMMYFUNCTION("IMPORTRANGE(""https://docs.google.com/spreadsheets/d/11923uPwbBZFjjGgGUA6NLw09EwE0CqkOc4q9oUmW1yo/edit?usp=sharing"",""กำแพงเพชร!J312"")"),10)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IFERROR(__xludf.DUMMYFUNCTION("IMPORTRANGE(""https://docs.google.com/spreadsheets/d/11923uPwbBZFjjGgGUA6NLw09EwE0CqkOc4q9oUmW1yo/edit?usp=sharing"",""กำแพงเพชร!I313"")"),30)</f>
        <v>30</v>
      </c>
      <c r="J418" s="394">
        <f ca="1">IFERROR(__xludf.DUMMYFUNCTION("IMPORTRANGE(""https://docs.google.com/spreadsheets/d/11923uPwbBZFjjGgGUA6NLw09EwE0CqkOc4q9oUmW1yo/edit?usp=sharing"",""กำแพงเพชร!J313"")"),30)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IFERROR(__xludf.DUMMYFUNCTION("IMPORTRANGE(""https://docs.google.com/spreadsheets/d/11923uPwbBZFjjGgGUA6NLw09EwE0CqkOc4q9oUmW1yo/edit?usp=sharing"",""กำแพงเพชร!I314"")"),10)</f>
        <v>10</v>
      </c>
      <c r="J419" s="395">
        <f ca="1">IFERROR(__xludf.DUMMYFUNCTION("IMPORTRANGE(""https://docs.google.com/spreadsheets/d/11923uPwbBZFjjGgGUA6NLw09EwE0CqkOc4q9oUmW1yo/edit?usp=sharing"",""กำแพงเพชร!J314"")"),10)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IFERROR(__xludf.DUMMYFUNCTION("IMPORTRANGE(""https://docs.google.com/spreadsheets/d/11923uPwbBZFjjGgGUA6NLw09EwE0CqkOc4q9oUmW1yo/edit?usp=sharing"",""กำแพงเพชร!I315"")"),10)</f>
        <v>10</v>
      </c>
      <c r="J420" s="395">
        <f ca="1">IFERROR(__xludf.DUMMYFUNCTION("IMPORTRANGE(""https://docs.google.com/spreadsheets/d/11923uPwbBZFjjGgGUA6NLw09EwE0CqkOc4q9oUmW1yo/edit?usp=sharing"",""กำแพงเพชร!J315"")"),10)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IFERROR(__xludf.DUMMYFUNCTION("IMPORTRANGE(""https://docs.google.com/spreadsheets/d/11923uPwbBZFjjGgGUA6NLw09EwE0CqkOc4q9oUmW1yo/edit?usp=sharing"",""กำแพงเพชร!I316"")"),25)</f>
        <v>25</v>
      </c>
      <c r="J421" s="393">
        <f ca="1">IFERROR(__xludf.DUMMYFUNCTION("IMPORTRANGE(""https://docs.google.com/spreadsheets/d/11923uPwbBZFjjGgGUA6NLw09EwE0CqkOc4q9oUmW1yo/edit?usp=sharing"",""กำแพงเพชร!J316"")"),25)</f>
        <v>25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IFERROR(__xludf.DUMMYFUNCTION("IMPORTRANGE(""https://docs.google.com/spreadsheets/d/11923uPwbBZFjjGgGUA6NLw09EwE0CqkOc4q9oUmW1yo/edit?usp=sharing"",""กำแพงเพชร!I317"")"),75)</f>
        <v>75</v>
      </c>
      <c r="J422" s="394">
        <f ca="1">IFERROR(__xludf.DUMMYFUNCTION("IMPORTRANGE(""https://docs.google.com/spreadsheets/d/11923uPwbBZFjjGgGUA6NLw09EwE0CqkOc4q9oUmW1yo/edit?usp=sharing"",""กำแพงเพชร!J317"")"),75)</f>
        <v>75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IFERROR(__xludf.DUMMYFUNCTION("IMPORTRANGE(""https://docs.google.com/spreadsheets/d/11923uPwbBZFjjGgGUA6NLw09EwE0CqkOc4q9oUmW1yo/edit?usp=sharing"",""กำแพงเพชร!I318"")"),25)</f>
        <v>25</v>
      </c>
      <c r="J423" s="395">
        <f ca="1">IFERROR(__xludf.DUMMYFUNCTION("IMPORTRANGE(""https://docs.google.com/spreadsheets/d/11923uPwbBZFjjGgGUA6NLw09EwE0CqkOc4q9oUmW1yo/edit?usp=sharing"",""กำแพงเพชร!J318"")"),25)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IFERROR(__xludf.DUMMYFUNCTION("IMPORTRANGE(""https://docs.google.com/spreadsheets/d/11923uPwbBZFjjGgGUA6NLw09EwE0CqkOc4q9oUmW1yo/edit?usp=sharing"",""กำแพงเพชร!I319"")"),25)</f>
        <v>25</v>
      </c>
      <c r="J424" s="395">
        <f ca="1">IFERROR(__xludf.DUMMYFUNCTION("IMPORTRANGE(""https://docs.google.com/spreadsheets/d/11923uPwbBZFjjGgGUA6NLw09EwE0CqkOc4q9oUmW1yo/edit?usp=sharing"",""กำแพงเพชร!J319"")"),25)</f>
        <v>25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IFERROR(__xludf.DUMMYFUNCTION("IMPORTRANGE(""https://docs.google.com/spreadsheets/d/11923uPwbBZFjjGgGUA6NLw09EwE0CqkOc4q9oUmW1yo/edit?usp=sharing"",""กำแพงเพชร!I320"")"),25)</f>
        <v>25</v>
      </c>
      <c r="J425" s="395">
        <f ca="1">IFERROR(__xludf.DUMMYFUNCTION("IMPORTRANGE(""https://docs.google.com/spreadsheets/d/11923uPwbBZFjjGgGUA6NLw09EwE0CqkOc4q9oUmW1yo/edit?usp=sharing"",""กำแพงเพชร!J320"")"),25)</f>
        <v>25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IFERROR(__xludf.DUMMYFUNCTION("IMPORTRANGE(""https://docs.google.com/spreadsheets/d/11923uPwbBZFjjGgGUA6NLw09EwE0CqkOc4q9oUmW1yo/edit?usp=sharing"",""กำแพงเพชร!I321"")"),10)</f>
        <v>10</v>
      </c>
      <c r="J426" s="393">
        <f ca="1">IFERROR(__xludf.DUMMYFUNCTION("IMPORTRANGE(""https://docs.google.com/spreadsheets/d/11923uPwbBZFjjGgGUA6NLw09EwE0CqkOc4q9oUmW1yo/edit?usp=sharing"",""กำแพงเพชร!J321"")"),0)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IFERROR(__xludf.DUMMYFUNCTION("IMPORTRANGE(""https://docs.google.com/spreadsheets/d/11923uPwbBZFjjGgGUA6NLw09EwE0CqkOc4q9oUmW1yo/edit?usp=sharing"",""กำแพงเพชร!I322"")"),30)</f>
        <v>30</v>
      </c>
      <c r="J427" s="394">
        <f ca="1">IFERROR(__xludf.DUMMYFUNCTION("IMPORTRANGE(""https://docs.google.com/spreadsheets/d/11923uPwbBZFjjGgGUA6NLw09EwE0CqkOc4q9oUmW1yo/edit?usp=sharing"",""กำแพงเพชร!J322"")"),0)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IFERROR(__xludf.DUMMYFUNCTION("IMPORTRANGE(""https://docs.google.com/spreadsheets/d/11923uPwbBZFjjGgGUA6NLw09EwE0CqkOc4q9oUmW1yo/edit?usp=sharing"",""กำแพงเพชร!I323"")"),10)</f>
        <v>10</v>
      </c>
      <c r="J428" s="395">
        <f ca="1">IFERROR(__xludf.DUMMYFUNCTION("IMPORTRANGE(""https://docs.google.com/spreadsheets/d/11923uPwbBZFjjGgGUA6NLw09EwE0CqkOc4q9oUmW1yo/edit?usp=sharing"",""กำแพงเพชร!J323"")"),0)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IFERROR(__xludf.DUMMYFUNCTION("IMPORTRANGE(""https://docs.google.com/spreadsheets/d/11923uPwbBZFjjGgGUA6NLw09EwE0CqkOc4q9oUmW1yo/edit?usp=sharing"",""กำแพงเพชร!I324"")"),10)</f>
        <v>10</v>
      </c>
      <c r="J429" s="395">
        <f ca="1">IFERROR(__xludf.DUMMYFUNCTION("IMPORTRANGE(""https://docs.google.com/spreadsheets/d/11923uPwbBZFjjGgGUA6NLw09EwE0CqkOc4q9oUmW1yo/edit?usp=sharing"",""กำแพงเพชร!J324"")"),0)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IFERROR(__xludf.DUMMYFUNCTION("IMPORTRANGE(""https://docs.google.com/spreadsheets/d/11923uPwbBZFjjGgGUA6NLw09EwE0CqkOc4q9oUmW1yo/edit?usp=sharing"",""กำแพงเพชร!I325"")"),35)</f>
        <v>35</v>
      </c>
      <c r="J430" s="393">
        <f ca="1">IFERROR(__xludf.DUMMYFUNCTION("IMPORTRANGE(""https://docs.google.com/spreadsheets/d/11923uPwbBZFjjGgGUA6NLw09EwE0CqkOc4q9oUmW1yo/edit?usp=sharing"",""กำแพงเพชร!J325"")"),25)</f>
        <v>25</v>
      </c>
      <c r="K430" s="203">
        <f t="shared" ca="1" si="113"/>
        <v>71.428571428571431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IFERROR(__xludf.DUMMYFUNCTION("IMPORTRANGE(""https://docs.google.com/spreadsheets/d/11923uPwbBZFjjGgGUA6NLw09EwE0CqkOc4q9oUmW1yo/edit?usp=sharing"",""กำแพงเพชร!I326"")"),10)</f>
        <v>10</v>
      </c>
      <c r="J431" s="395">
        <f ca="1">IFERROR(__xludf.DUMMYFUNCTION("IMPORTRANGE(""https://docs.google.com/spreadsheets/d/11923uPwbBZFjjGgGUA6NLw09EwE0CqkOc4q9oUmW1yo/edit?usp=sharing"",""กำแพงเพชร!J326"")"),0)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IFERROR(__xludf.DUMMYFUNCTION("IMPORTRANGE(""https://docs.google.com/spreadsheets/d/11923uPwbBZFjjGgGUA6NLw09EwE0CqkOc4q9oUmW1yo/edit?usp=sharing"",""กำแพงเพชร!I327"")"),25)</f>
        <v>25</v>
      </c>
      <c r="J432" s="395">
        <f ca="1">IFERROR(__xludf.DUMMYFUNCTION("IMPORTRANGE(""https://docs.google.com/spreadsheets/d/11923uPwbBZFjjGgGUA6NLw09EwE0CqkOc4q9oUmW1yo/edit?usp=sharing"",""กำแพงเพชร!J327"")"),25)</f>
        <v>25</v>
      </c>
      <c r="K432" s="165">
        <f t="shared" ca="1" si="113"/>
        <v>100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IFERROR(__xludf.DUMMYFUNCTION("IMPORTRANGE(""https://docs.google.com/spreadsheets/d/11923uPwbBZFjjGgGUA6NLw09EwE0CqkOc4q9oUmW1yo/edit?usp=sharing"",""กำแพงเพชร!J328"")"),0)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IFERROR(__xludf.DUMMYFUNCTION("IMPORTRANGE(""https://docs.google.com/spreadsheets/d/11923uPwbBZFjjGgGUA6NLw09EwE0CqkOc4q9oUmW1yo/edit?usp=sharing"",""กำแพงเพชร!J329"")"),0)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IFERROR(__xludf.DUMMYFUNCTION("IMPORTRANGE(""https://docs.google.com/spreadsheets/d/11923uPwbBZFjjGgGUA6NLw09EwE0CqkOc4q9oUmW1yo/edit?usp=sharing"",""กำแพงเพชร!I330"")"),40)</f>
        <v>40</v>
      </c>
      <c r="J435" s="411">
        <f ca="1">IFERROR(__xludf.DUMMYFUNCTION("IMPORTRANGE(""https://docs.google.com/spreadsheets/d/11923uPwbBZFjjGgGUA6NLw09EwE0CqkOc4q9oUmW1yo/edit?usp=sharing"",""กำแพงเพชร!J330"")"),40)</f>
        <v>40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IFERROR(__xludf.DUMMYFUNCTION("IMPORTRANGE(""https://docs.google.com/spreadsheets/d/11923uPwbBZFjjGgGUA6NLw09EwE0CqkOc4q9oUmW1yo/edit?usp=sharing"",""กำแพงเพชร!L330"")"),139600)</f>
        <v>139600</v>
      </c>
      <c r="M435" s="413"/>
      <c r="N435" s="413">
        <f ca="1">IFERROR(__xludf.DUMMYFUNCTION("IMPORTRANGE(""https://docs.google.com/spreadsheets/d/11923uPwbBZFjjGgGUA6NLw09EwE0CqkOc4q9oUmW1yo/edit?usp=sharing"",""กำแพงเพชร!M330"")"),100699)</f>
        <v>100699</v>
      </c>
      <c r="O435" s="413">
        <f t="shared" ref="O435:O439" ca="1" si="114">+IF(L435&gt;0,N435*100/L435,0)</f>
        <v>72.133954154727789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IFERROR(__xludf.DUMMYFUNCTION("IMPORTRANGE(""https://docs.google.com/spreadsheets/d/11923uPwbBZFjjGgGUA6NLw09EwE0CqkOc4q9oUmW1yo/edit?usp=sharing"",""กำแพงเพชร!L331"")"),0)</f>
        <v>0</v>
      </c>
      <c r="M436" s="166"/>
      <c r="N436" s="170">
        <f ca="1">IFERROR(__xludf.DUMMYFUNCTION("IMPORTRANGE(""https://docs.google.com/spreadsheets/d/11923uPwbBZFjjGgGUA6NLw09EwE0CqkOc4q9oUmW1yo/edit?usp=sharing"",""กำแพงเพชร!M331"")"),0)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IFERROR(__xludf.DUMMYFUNCTION("IMPORTRANGE(""https://docs.google.com/spreadsheets/d/11923uPwbBZFjjGgGUA6NLw09EwE0CqkOc4q9oUmW1yo/edit?usp=sharing"",""กำแพงเพชร!L332"")"),139600)</f>
        <v>139600</v>
      </c>
      <c r="M437" s="167"/>
      <c r="N437" s="170">
        <f ca="1">IFERROR(__xludf.DUMMYFUNCTION("IMPORTRANGE(""https://docs.google.com/spreadsheets/d/11923uPwbBZFjjGgGUA6NLw09EwE0CqkOc4q9oUmW1yo/edit?usp=sharing"",""กำแพงเพชร!M332"")"),100699)</f>
        <v>100699</v>
      </c>
      <c r="O437" s="170">
        <f t="shared" ca="1" si="114"/>
        <v>72.133954154727789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IFERROR(__xludf.DUMMYFUNCTION("IMPORTRANGE(""https://docs.google.com/spreadsheets/d/11923uPwbBZFjjGgGUA6NLw09EwE0CqkOc4q9oUmW1yo/edit?usp=sharing"",""กำแพงเพชร!L333"")"),0)</f>
        <v>0</v>
      </c>
      <c r="M438" s="170"/>
      <c r="N438" s="170">
        <f ca="1">IFERROR(__xludf.DUMMYFUNCTION("IMPORTRANGE(""https://docs.google.com/spreadsheets/d/11923uPwbBZFjjGgGUA6NLw09EwE0CqkOc4q9oUmW1yo/edit?usp=sharing"",""กำแพงเพชร!M333"")"),0)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IFERROR(__xludf.DUMMYFUNCTION("IMPORTRANGE(""https://docs.google.com/spreadsheets/d/11923uPwbBZFjjGgGUA6NLw09EwE0CqkOc4q9oUmW1yo/edit?usp=sharing"",""กำแพงเพชร!L334"")"),139600)</f>
        <v>139600</v>
      </c>
      <c r="M439" s="170"/>
      <c r="N439" s="170">
        <f ca="1">IFERROR(__xludf.DUMMYFUNCTION("IMPORTRANGE(""https://docs.google.com/spreadsheets/d/11923uPwbBZFjjGgGUA6NLw09EwE0CqkOc4q9oUmW1yo/edit?usp=sharing"",""กำแพงเพชร!M334"")"),100699)</f>
        <v>100699</v>
      </c>
      <c r="O439" s="170">
        <f t="shared" ca="1" si="114"/>
        <v>72.133954154727789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IFERROR(__xludf.DUMMYFUNCTION("IMPORTRANGE(""https://docs.google.com/spreadsheets/d/11923uPwbBZFjjGgGUA6NLw09EwE0CqkOc4q9oUmW1yo/edit?usp=sharing"",""กำแพงเพชร!M335"")"),83359)</f>
        <v>83359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IFERROR(__xludf.DUMMYFUNCTION("IMPORTRANGE(""https://docs.google.com/spreadsheets/d/11923uPwbBZFjjGgGUA6NLw09EwE0CqkOc4q9oUmW1yo/edit?usp=sharing"",""กำแพงเพชร!M336"")"),0)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IFERROR(__xludf.DUMMYFUNCTION("IMPORTRANGE(""https://docs.google.com/spreadsheets/d/11923uPwbBZFjjGgGUA6NLw09EwE0CqkOc4q9oUmW1yo/edit?usp=sharing"",""กำแพงเพชร!M337"")"),0)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IFERROR(__xludf.DUMMYFUNCTION("IMPORTRANGE(""https://docs.google.com/spreadsheets/d/11923uPwbBZFjjGgGUA6NLw09EwE0CqkOc4q9oUmW1yo/edit?usp=sharing"",""กำแพงเพชร!M338"")"),17340)</f>
        <v>17340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IFERROR(__xludf.DUMMYFUNCTION("IMPORTRANGE(""https://docs.google.com/spreadsheets/d/11923uPwbBZFjjGgGUA6NLw09EwE0CqkOc4q9oUmW1yo/edit?usp=sharing"",""กำแพงเพชร!J340"")"),0)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IFERROR(__xludf.DUMMYFUNCTION("IMPORTRANGE(""https://docs.google.com/spreadsheets/d/11923uPwbBZFjjGgGUA6NLw09EwE0CqkOc4q9oUmW1yo/edit?usp=sharing"",""กำแพงเพชร!J341"")"),1)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IFERROR(__xludf.DUMMYFUNCTION("IMPORTRANGE(""https://docs.google.com/spreadsheets/d/11923uPwbBZFjjGgGUA6NLw09EwE0CqkOc4q9oUmW1yo/edit?usp=sharing"",""กำแพงเพชร!J342"")"),1)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IFERROR(__xludf.DUMMYFUNCTION("IMPORTRANGE(""https://docs.google.com/spreadsheets/d/11923uPwbBZFjjGgGUA6NLw09EwE0CqkOc4q9oUmW1yo/edit?usp=sharing"",""กำแพงเพชร!J343"")"),1)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IFERROR(__xludf.DUMMYFUNCTION("IMPORTRANGE(""https://docs.google.com/spreadsheets/d/11923uPwbBZFjjGgGUA6NLw09EwE0CqkOc4q9oUmW1yo/edit?usp=sharing"",""กำแพงเพชร!I344"")"),40)</f>
        <v>40</v>
      </c>
      <c r="J449" s="202">
        <f ca="1">IFERROR(__xludf.DUMMYFUNCTION("IMPORTRANGE(""https://docs.google.com/spreadsheets/d/11923uPwbBZFjjGgGUA6NLw09EwE0CqkOc4q9oUmW1yo/edit?usp=sharing"",""กำแพงเพชร!J344"")"),40)</f>
        <v>40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IFERROR(__xludf.DUMMYFUNCTION("IMPORTRANGE(""https://docs.google.com/spreadsheets/d/11923uPwbBZFjjGgGUA6NLw09EwE0CqkOc4q9oUmW1yo/edit?usp=sharing"",""กำแพงเพชร!I345"")"),20)</f>
        <v>20</v>
      </c>
      <c r="J450" s="190">
        <f ca="1">IFERROR(__xludf.DUMMYFUNCTION("IMPORTRANGE(""https://docs.google.com/spreadsheets/d/11923uPwbBZFjjGgGUA6NLw09EwE0CqkOc4q9oUmW1yo/edit?usp=sharing"",""กำแพงเพชร!J345"")"),20)</f>
        <v>20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IFERROR(__xludf.DUMMYFUNCTION("IMPORTRANGE(""https://docs.google.com/spreadsheets/d/11923uPwbBZFjjGgGUA6NLw09EwE0CqkOc4q9oUmW1yo/edit?usp=sharing"",""กำแพงเพชร!I346"")"),20)</f>
        <v>20</v>
      </c>
      <c r="J451" s="189">
        <f ca="1">IFERROR(__xludf.DUMMYFUNCTION("IMPORTRANGE(""https://docs.google.com/spreadsheets/d/11923uPwbBZFjjGgGUA6NLw09EwE0CqkOc4q9oUmW1yo/edit?usp=sharing"",""กำแพงเพชร!J346"")"),20)</f>
        <v>20</v>
      </c>
      <c r="K451" s="165">
        <f t="shared" ca="1" si="115"/>
        <v>100</v>
      </c>
      <c r="L451" s="183"/>
      <c r="M451" s="183"/>
      <c r="N451" s="183"/>
      <c r="O451" s="183"/>
      <c r="P451" s="183"/>
    </row>
    <row r="452" spans="1:16" ht="21.75" hidden="1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IFERROR(__xludf.DUMMYFUNCTION("IMPORTRANGE(""https://docs.google.com/spreadsheets/d/11923uPwbBZFjjGgGUA6NLw09EwE0CqkOc4q9oUmW1yo/edit?usp=sharing"",""กำแพงเพชร!I347"")"),0)</f>
        <v>0</v>
      </c>
      <c r="J452" s="189">
        <f ca="1">IFERROR(__xludf.DUMMYFUNCTION("IMPORTRANGE(""https://docs.google.com/spreadsheets/d/11923uPwbBZFjjGgGUA6NLw09EwE0CqkOc4q9oUmW1yo/edit?usp=sharing"",""กำแพงเพชร!J347"")"),0)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IFERROR(__xludf.DUMMYFUNCTION("IMPORTRANGE(""https://docs.google.com/spreadsheets/d/11923uPwbBZFjjGgGUA6NLw09EwE0CqkOc4q9oUmW1yo/edit?usp=sharing"",""กำแพงเพชร!J348"")"),0)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IFERROR(__xludf.DUMMYFUNCTION("IMPORTRANGE(""https://docs.google.com/spreadsheets/d/11923uPwbBZFjjGgGUA6NLw09EwE0CqkOc4q9oUmW1yo/edit?usp=sharing"",""กำแพงเพชร!J349"")"),0)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IFERROR(__xludf.DUMMYFUNCTION("IMPORTRANGE(""https://docs.google.com/spreadsheets/d/11923uPwbBZFjjGgGUA6NLw09EwE0CqkOc4q9oUmW1yo/edit?usp=sharing"",""กำแพงเพชร!I350"")"),162754)</f>
        <v>162754</v>
      </c>
      <c r="J455" s="372">
        <f ca="1">IFERROR(__xludf.DUMMYFUNCTION("IMPORTRANGE(""https://docs.google.com/spreadsheets/d/11923uPwbBZFjjGgGUA6NLw09EwE0CqkOc4q9oUmW1yo/edit?usp=sharing"",""กำแพงเพชร!J350"")"),0)</f>
        <v>0</v>
      </c>
      <c r="K455" s="373">
        <f ca="1">IF(I455&gt;0,J455*100/I455,0)</f>
        <v>0</v>
      </c>
      <c r="L455" s="374">
        <f ca="1">IFERROR(__xludf.DUMMYFUNCTION("IMPORTRANGE(""https://docs.google.com/spreadsheets/d/11923uPwbBZFjjGgGUA6NLw09EwE0CqkOc4q9oUmW1yo/edit?usp=sharing"",""กำแพงเพชร!L350"")"),1145966)</f>
        <v>1145966</v>
      </c>
      <c r="M455" s="374"/>
      <c r="N455" s="374">
        <f ca="1">IFERROR(__xludf.DUMMYFUNCTION("IMPORTRANGE(""https://docs.google.com/spreadsheets/d/11923uPwbBZFjjGgGUA6NLw09EwE0CqkOc4q9oUmW1yo/edit?usp=sharing"",""กำแพงเพชร!M350"")"),89158.67)</f>
        <v>89158.67</v>
      </c>
      <c r="O455" s="374">
        <f t="shared" ref="O455:O459" ca="1" si="116">+IF(L455&gt;0,N455*100/L455,0)</f>
        <v>7.7802194829515008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IFERROR(__xludf.DUMMYFUNCTION("IMPORTRANGE(""https://docs.google.com/spreadsheets/d/11923uPwbBZFjjGgGUA6NLw09EwE0CqkOc4q9oUmW1yo/edit?usp=sharing"",""กำแพงเพชร!L351"")"),0)</f>
        <v>0</v>
      </c>
      <c r="M456" s="166"/>
      <c r="N456" s="170">
        <f ca="1">IFERROR(__xludf.DUMMYFUNCTION("IMPORTRANGE(""https://docs.google.com/spreadsheets/d/11923uPwbBZFjjGgGUA6NLw09EwE0CqkOc4q9oUmW1yo/edit?usp=sharing"",""กำแพงเพชร!M351"")"),0)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IFERROR(__xludf.DUMMYFUNCTION("IMPORTRANGE(""https://docs.google.com/spreadsheets/d/11923uPwbBZFjjGgGUA6NLw09EwE0CqkOc4q9oUmW1yo/edit?usp=sharing"",""กำแพงเพชร!L352"")"),1145966)</f>
        <v>1145966</v>
      </c>
      <c r="M457" s="167"/>
      <c r="N457" s="170">
        <f ca="1">IFERROR(__xludf.DUMMYFUNCTION("IMPORTRANGE(""https://docs.google.com/spreadsheets/d/11923uPwbBZFjjGgGUA6NLw09EwE0CqkOc4q9oUmW1yo/edit?usp=sharing"",""กำแพงเพชร!M352"")"),89158.67)</f>
        <v>89158.67</v>
      </c>
      <c r="O457" s="170">
        <f t="shared" ca="1" si="116"/>
        <v>7.7802194829515008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IFERROR(__xludf.DUMMYFUNCTION("IMPORTRANGE(""https://docs.google.com/spreadsheets/d/11923uPwbBZFjjGgGUA6NLw09EwE0CqkOc4q9oUmW1yo/edit?usp=sharing"",""กำแพงเพชร!L353"")"),0)</f>
        <v>0</v>
      </c>
      <c r="M458" s="170"/>
      <c r="N458" s="170">
        <f ca="1">IFERROR(__xludf.DUMMYFUNCTION("IMPORTRANGE(""https://docs.google.com/spreadsheets/d/11923uPwbBZFjjGgGUA6NLw09EwE0CqkOc4q9oUmW1yo/edit?usp=sharing"",""กำแพงเพชร!M353"")"),0)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IFERROR(__xludf.DUMMYFUNCTION("IMPORTRANGE(""https://docs.google.com/spreadsheets/d/11923uPwbBZFjjGgGUA6NLw09EwE0CqkOc4q9oUmW1yo/edit?usp=sharing"",""กำแพงเพชร!L354"")"),1145966)</f>
        <v>1145966</v>
      </c>
      <c r="M459" s="170"/>
      <c r="N459" s="170">
        <f ca="1">IFERROR(__xludf.DUMMYFUNCTION("IMPORTRANGE(""https://docs.google.com/spreadsheets/d/11923uPwbBZFjjGgGUA6NLw09EwE0CqkOc4q9oUmW1yo/edit?usp=sharing"",""กำแพงเพชร!M354"")"),89158.67)</f>
        <v>89158.67</v>
      </c>
      <c r="O459" s="170">
        <f t="shared" ca="1" si="116"/>
        <v>7.7802194829515008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IFERROR(__xludf.DUMMYFUNCTION("IMPORTRANGE(""https://docs.google.com/spreadsheets/d/11923uPwbBZFjjGgGUA6NLw09EwE0CqkOc4q9oUmW1yo/edit?usp=sharing"",""กำแพงเพชร!M355"")"),0)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IFERROR(__xludf.DUMMYFUNCTION("IMPORTRANGE(""https://docs.google.com/spreadsheets/d/11923uPwbBZFjjGgGUA6NLw09EwE0CqkOc4q9oUmW1yo/edit?usp=sharing"",""กำแพงเพชร!M356"")"),0)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IFERROR(__xludf.DUMMYFUNCTION("IMPORTRANGE(""https://docs.google.com/spreadsheets/d/11923uPwbBZFjjGgGUA6NLw09EwE0CqkOc4q9oUmW1yo/edit?usp=sharing"",""กำแพงเพชร!M357"")"),54266.67)</f>
        <v>54266.67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IFERROR(__xludf.DUMMYFUNCTION("IMPORTRANGE(""https://docs.google.com/spreadsheets/d/11923uPwbBZFjjGgGUA6NLw09EwE0CqkOc4q9oUmW1yo/edit?usp=sharing"",""กำแพงเพชร!M358"")"),34892)</f>
        <v>34892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IFERROR(__xludf.DUMMYFUNCTION("IMPORTRANGE(""https://docs.google.com/spreadsheets/d/11923uPwbBZFjjGgGUA6NLw09EwE0CqkOc4q9oUmW1yo/edit?usp=sharing"",""กำแพงเพชร!I359"")"),162754)</f>
        <v>162754</v>
      </c>
      <c r="J464" s="268">
        <f ca="1">IFERROR(__xludf.DUMMYFUNCTION("IMPORTRANGE(""https://docs.google.com/spreadsheets/d/11923uPwbBZFjjGgGUA6NLw09EwE0CqkOc4q9oUmW1yo/edit?usp=sharing"",""กำแพงเพชร!J359"")"),0)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IFERROR(__xludf.DUMMYFUNCTION("IMPORTRANGE(""https://docs.google.com/spreadsheets/d/11923uPwbBZFjjGgGUA6NLw09EwE0CqkOc4q9oUmW1yo/edit?usp=sharing"",""กำแพงเพชร!I360"")"),162754)</f>
        <v>162754</v>
      </c>
      <c r="J465" s="422">
        <f ca="1">IFERROR(__xludf.DUMMYFUNCTION("IMPORTRANGE(""https://docs.google.com/spreadsheets/d/11923uPwbBZFjjGgGUA6NLw09EwE0CqkOc4q9oUmW1yo/edit?usp=sharing"",""กำแพงเพชร!J360"")"),162754)</f>
        <v>162754</v>
      </c>
      <c r="K465" s="203">
        <f t="shared" ca="1" si="117"/>
        <v>100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IFERROR(__xludf.DUMMYFUNCTION("IMPORTRANGE(""https://docs.google.com/spreadsheets/d/11923uPwbBZFjjGgGUA6NLw09EwE0CqkOc4q9oUmW1yo/edit?usp=sharing"",""กำแพงเพชร!I361"")"),12870)</f>
        <v>12870</v>
      </c>
      <c r="J466" s="422">
        <f ca="1">IFERROR(__xludf.DUMMYFUNCTION("IMPORTRANGE(""https://docs.google.com/spreadsheets/d/11923uPwbBZFjjGgGUA6NLw09EwE0CqkOc4q9oUmW1yo/edit?usp=sharing"",""กำแพงเพชร!J361"")"),12870)</f>
        <v>12870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IFERROR(__xludf.DUMMYFUNCTION("IMPORTRANGE(""https://docs.google.com/spreadsheets/d/11923uPwbBZFjjGgGUA6NLw09EwE0CqkOc4q9oUmW1yo/edit?usp=sharing"",""กำแพงเพชร!I362"")"),0)</f>
        <v>0</v>
      </c>
      <c r="J467" s="190">
        <f ca="1">IFERROR(__xludf.DUMMYFUNCTION("IMPORTRANGE(""https://docs.google.com/spreadsheets/d/11923uPwbBZFjjGgGUA6NLw09EwE0CqkOc4q9oUmW1yo/edit?usp=sharing"",""กำแพงเพชร!J362"")"),120898)</f>
        <v>120898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IFERROR(__xludf.DUMMYFUNCTION("IMPORTRANGE(""https://docs.google.com/spreadsheets/d/11923uPwbBZFjjGgGUA6NLw09EwE0CqkOc4q9oUmW1yo/edit?usp=sharing"",""กำแพงเพชร!I363"")"),0)</f>
        <v>0</v>
      </c>
      <c r="J468" s="190">
        <f ca="1">IFERROR(__xludf.DUMMYFUNCTION("IMPORTRANGE(""https://docs.google.com/spreadsheets/d/11923uPwbBZFjjGgGUA6NLw09EwE0CqkOc4q9oUmW1yo/edit?usp=sharing"",""กำแพงเพชร!J363"")"),10340)</f>
        <v>10340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IFERROR(__xludf.DUMMYFUNCTION("IMPORTRANGE(""https://docs.google.com/spreadsheets/d/11923uPwbBZFjjGgGUA6NLw09EwE0CqkOc4q9oUmW1yo/edit?usp=sharing"",""กำแพงเพชร!I364"")"),0)</f>
        <v>0</v>
      </c>
      <c r="J469" s="190">
        <f ca="1">IFERROR(__xludf.DUMMYFUNCTION("IMPORTRANGE(""https://docs.google.com/spreadsheets/d/11923uPwbBZFjjGgGUA6NLw09EwE0CqkOc4q9oUmW1yo/edit?usp=sharing"",""กำแพงเพชร!J364"")"),39441)</f>
        <v>39441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IFERROR(__xludf.DUMMYFUNCTION("IMPORTRANGE(""https://docs.google.com/spreadsheets/d/11923uPwbBZFjjGgGUA6NLw09EwE0CqkOc4q9oUmW1yo/edit?usp=sharing"",""กำแพงเพชร!I365"")"),0)</f>
        <v>0</v>
      </c>
      <c r="J470" s="190">
        <f ca="1">IFERROR(__xludf.DUMMYFUNCTION("IMPORTRANGE(""https://docs.google.com/spreadsheets/d/11923uPwbBZFjjGgGUA6NLw09EwE0CqkOc4q9oUmW1yo/edit?usp=sharing"",""กำแพงเพชร!J365"")"),2301)</f>
        <v>2301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IFERROR(__xludf.DUMMYFUNCTION("IMPORTRANGE(""https://docs.google.com/spreadsheets/d/11923uPwbBZFjjGgGUA6NLw09EwE0CqkOc4q9oUmW1yo/edit?usp=sharing"",""กำแพงเพชร!I366"")"),0)</f>
        <v>0</v>
      </c>
      <c r="J471" s="190">
        <f ca="1">IFERROR(__xludf.DUMMYFUNCTION("IMPORTRANGE(""https://docs.google.com/spreadsheets/d/11923uPwbBZFjjGgGUA6NLw09EwE0CqkOc4q9oUmW1yo/edit?usp=sharing"",""กำแพงเพชร!J366"")"),2415)</f>
        <v>2415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IFERROR(__xludf.DUMMYFUNCTION("IMPORTRANGE(""https://docs.google.com/spreadsheets/d/11923uPwbBZFjjGgGUA6NLw09EwE0CqkOc4q9oUmW1yo/edit?usp=sharing"",""กำแพงเพชร!I367"")"),0)</f>
        <v>0</v>
      </c>
      <c r="J472" s="190">
        <f ca="1">IFERROR(__xludf.DUMMYFUNCTION("IMPORTRANGE(""https://docs.google.com/spreadsheets/d/11923uPwbBZFjjGgGUA6NLw09EwE0CqkOc4q9oUmW1yo/edit?usp=sharing"",""กำแพงเพชร!J367"")"),229)</f>
        <v>229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IFERROR(__xludf.DUMMYFUNCTION("IMPORTRANGE(""https://docs.google.com/spreadsheets/d/11923uPwbBZFjjGgGUA6NLw09EwE0CqkOc4q9oUmW1yo/edit?usp=sharing"",""กำแพงเพชร!I368"")"),162754)</f>
        <v>162754</v>
      </c>
      <c r="J473" s="422">
        <f ca="1">IFERROR(__xludf.DUMMYFUNCTION("IMPORTRANGE(""https://docs.google.com/spreadsheets/d/11923uPwbBZFjjGgGUA6NLw09EwE0CqkOc4q9oUmW1yo/edit?usp=sharing"",""กำแพงเพชร!J368"")"),162754)</f>
        <v>162754</v>
      </c>
      <c r="K473" s="203">
        <f t="shared" ca="1" si="117"/>
        <v>100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IFERROR(__xludf.DUMMYFUNCTION("IMPORTRANGE(""https://docs.google.com/spreadsheets/d/11923uPwbBZFjjGgGUA6NLw09EwE0CqkOc4q9oUmW1yo/edit?usp=sharing"",""กำแพงเพชร!I369"")"),12870)</f>
        <v>12870</v>
      </c>
      <c r="J474" s="422">
        <f ca="1">IFERROR(__xludf.DUMMYFUNCTION("IMPORTRANGE(""https://docs.google.com/spreadsheets/d/11923uPwbBZFjjGgGUA6NLw09EwE0CqkOc4q9oUmW1yo/edit?usp=sharing"",""กำแพงเพชร!J369"")"),12870)</f>
        <v>12870</v>
      </c>
      <c r="K474" s="203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IFERROR(__xludf.DUMMYFUNCTION("IMPORTRANGE(""https://docs.google.com/spreadsheets/d/11923uPwbBZFjjGgGUA6NLw09EwE0CqkOc4q9oUmW1yo/edit?usp=sharing"",""กำแพงเพชร!I370"")"),0)</f>
        <v>0</v>
      </c>
      <c r="J475" s="190">
        <f ca="1">IFERROR(__xludf.DUMMYFUNCTION("IMPORTRANGE(""https://docs.google.com/spreadsheets/d/11923uPwbBZFjjGgGUA6NLw09EwE0CqkOc4q9oUmW1yo/edit?usp=sharing"",""กำแพงเพชร!J370"")"),142162)</f>
        <v>142162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IFERROR(__xludf.DUMMYFUNCTION("IMPORTRANGE(""https://docs.google.com/spreadsheets/d/11923uPwbBZFjjGgGUA6NLw09EwE0CqkOc4q9oUmW1yo/edit?usp=sharing"",""กำแพงเพชร!I371"")"),0)</f>
        <v>0</v>
      </c>
      <c r="J476" s="190">
        <f ca="1">IFERROR(__xludf.DUMMYFUNCTION("IMPORTRANGE(""https://docs.google.com/spreadsheets/d/11923uPwbBZFjjGgGUA6NLw09EwE0CqkOc4q9oUmW1yo/edit?usp=sharing"",""กำแพงเพชร!J371"")"),11553)</f>
        <v>11553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IFERROR(__xludf.DUMMYFUNCTION("IMPORTRANGE(""https://docs.google.com/spreadsheets/d/11923uPwbBZFjjGgGUA6NLw09EwE0CqkOc4q9oUmW1yo/edit?usp=sharing"",""กำแพงเพชร!I372"")"),0)</f>
        <v>0</v>
      </c>
      <c r="J477" s="190">
        <f ca="1">IFERROR(__xludf.DUMMYFUNCTION("IMPORTRANGE(""https://docs.google.com/spreadsheets/d/11923uPwbBZFjjGgGUA6NLw09EwE0CqkOc4q9oUmW1yo/edit?usp=sharing"",""กำแพงเพชร!J372"")"),17316)</f>
        <v>17316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IFERROR(__xludf.DUMMYFUNCTION("IMPORTRANGE(""https://docs.google.com/spreadsheets/d/11923uPwbBZFjjGgGUA6NLw09EwE0CqkOc4q9oUmW1yo/edit?usp=sharing"",""กำแพงเพชร!I373"")"),0)</f>
        <v>0</v>
      </c>
      <c r="J478" s="190">
        <f ca="1">IFERROR(__xludf.DUMMYFUNCTION("IMPORTRANGE(""https://docs.google.com/spreadsheets/d/11923uPwbBZFjjGgGUA6NLw09EwE0CqkOc4q9oUmW1yo/edit?usp=sharing"",""กำแพงเพชร!J373"")"),1045)</f>
        <v>1045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IFERROR(__xludf.DUMMYFUNCTION("IMPORTRANGE(""https://docs.google.com/spreadsheets/d/11923uPwbBZFjjGgGUA6NLw09EwE0CqkOc4q9oUmW1yo/edit?usp=sharing"",""กำแพงเพชร!I374"")"),0)</f>
        <v>0</v>
      </c>
      <c r="J479" s="190">
        <f ca="1">IFERROR(__xludf.DUMMYFUNCTION("IMPORTRANGE(""https://docs.google.com/spreadsheets/d/11923uPwbBZFjjGgGUA6NLw09EwE0CqkOc4q9oUmW1yo/edit?usp=sharing"",""กำแพงเพชร!J374"")"),3276)</f>
        <v>3276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IFERROR(__xludf.DUMMYFUNCTION("IMPORTRANGE(""https://docs.google.com/spreadsheets/d/11923uPwbBZFjjGgGUA6NLw09EwE0CqkOc4q9oUmW1yo/edit?usp=sharing"",""กำแพงเพชร!I375"")"),0)</f>
        <v>0</v>
      </c>
      <c r="J480" s="190">
        <f ca="1">IFERROR(__xludf.DUMMYFUNCTION("IMPORTRANGE(""https://docs.google.com/spreadsheets/d/11923uPwbBZFjjGgGUA6NLw09EwE0CqkOc4q9oUmW1yo/edit?usp=sharing"",""กำแพงเพชร!J375"")"),272)</f>
        <v>272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IFERROR(__xludf.DUMMYFUNCTION("IMPORTRANGE(""https://docs.google.com/spreadsheets/d/11923uPwbBZFjjGgGUA6NLw09EwE0CqkOc4q9oUmW1yo/edit?usp=sharing"",""กำแพงเพชร!I376"")"),162754)</f>
        <v>162754</v>
      </c>
      <c r="J481" s="422">
        <f ca="1">IFERROR(__xludf.DUMMYFUNCTION("IMPORTRANGE(""https://docs.google.com/spreadsheets/d/11923uPwbBZFjjGgGUA6NLw09EwE0CqkOc4q9oUmW1yo/edit?usp=sharing"",""กำแพงเพชร!J376"")"),0)</f>
        <v>0</v>
      </c>
      <c r="K481" s="203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IFERROR(__xludf.DUMMYFUNCTION("IMPORTRANGE(""https://docs.google.com/spreadsheets/d/11923uPwbBZFjjGgGUA6NLw09EwE0CqkOc4q9oUmW1yo/edit?usp=sharing"",""กำแพงเพชร!I377"")"),12870)</f>
        <v>12870</v>
      </c>
      <c r="J482" s="422">
        <f ca="1">IFERROR(__xludf.DUMMYFUNCTION("IMPORTRANGE(""https://docs.google.com/spreadsheets/d/11923uPwbBZFjjGgGUA6NLw09EwE0CqkOc4q9oUmW1yo/edit?usp=sharing"",""กำแพงเพชร!J377"")"),0)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IFERROR(__xludf.DUMMYFUNCTION("IMPORTRANGE(""https://docs.google.com/spreadsheets/d/11923uPwbBZFjjGgGUA6NLw09EwE0CqkOc4q9oUmW1yo/edit?usp=sharing"",""กำแพงเพชร!I378"")"),0)</f>
        <v>0</v>
      </c>
      <c r="J483" s="190">
        <f ca="1">IFERROR(__xludf.DUMMYFUNCTION("IMPORTRANGE(""https://docs.google.com/spreadsheets/d/11923uPwbBZFjjGgGUA6NLw09EwE0CqkOc4q9oUmW1yo/edit?usp=sharing"",""กำแพงเพชร!J378"")"),0)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IFERROR(__xludf.DUMMYFUNCTION("IMPORTRANGE(""https://docs.google.com/spreadsheets/d/11923uPwbBZFjjGgGUA6NLw09EwE0CqkOc4q9oUmW1yo/edit?usp=sharing"",""กำแพงเพชร!I379"")"),0)</f>
        <v>0</v>
      </c>
      <c r="J484" s="190">
        <f ca="1">IFERROR(__xludf.DUMMYFUNCTION("IMPORTRANGE(""https://docs.google.com/spreadsheets/d/11923uPwbBZFjjGgGUA6NLw09EwE0CqkOc4q9oUmW1yo/edit?usp=sharing"",""กำแพงเพชร!J379"")"),0)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IFERROR(__xludf.DUMMYFUNCTION("IMPORTRANGE(""https://docs.google.com/spreadsheets/d/11923uPwbBZFjjGgGUA6NLw09EwE0CqkOc4q9oUmW1yo/edit?usp=sharing"",""กำแพงเพชร!I380"")"),0)</f>
        <v>0</v>
      </c>
      <c r="J485" s="190">
        <f ca="1">IFERROR(__xludf.DUMMYFUNCTION("IMPORTRANGE(""https://docs.google.com/spreadsheets/d/11923uPwbBZFjjGgGUA6NLw09EwE0CqkOc4q9oUmW1yo/edit?usp=sharing"",""กำแพงเพชร!J380"")"),0)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IFERROR(__xludf.DUMMYFUNCTION("IMPORTRANGE(""https://docs.google.com/spreadsheets/d/11923uPwbBZFjjGgGUA6NLw09EwE0CqkOc4q9oUmW1yo/edit?usp=sharing"",""กำแพงเพชร!I381"")"),0)</f>
        <v>0</v>
      </c>
      <c r="J486" s="190">
        <f ca="1">IFERROR(__xludf.DUMMYFUNCTION("IMPORTRANGE(""https://docs.google.com/spreadsheets/d/11923uPwbBZFjjGgGUA6NLw09EwE0CqkOc4q9oUmW1yo/edit?usp=sharing"",""กำแพงเพชร!J381"")"),0)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IFERROR(__xludf.DUMMYFUNCTION("IMPORTRANGE(""https://docs.google.com/spreadsheets/d/11923uPwbBZFjjGgGUA6NLw09EwE0CqkOc4q9oUmW1yo/edit?usp=sharing"",""กำแพงเพชร!I382"")"),0)</f>
        <v>0</v>
      </c>
      <c r="J487" s="422">
        <f ca="1">IFERROR(__xludf.DUMMYFUNCTION("IMPORTRANGE(""https://docs.google.com/spreadsheets/d/11923uPwbBZFjjGgGUA6NLw09EwE0CqkOc4q9oUmW1yo/edit?usp=sharing"",""กำแพงเพชร!J382"")"),0)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IFERROR(__xludf.DUMMYFUNCTION("IMPORTRANGE(""https://docs.google.com/spreadsheets/d/11923uPwbBZFjjGgGUA6NLw09EwE0CqkOc4q9oUmW1yo/edit?usp=sharing"",""กำแพงเพชร!I383"")"),0)</f>
        <v>0</v>
      </c>
      <c r="J488" s="422">
        <f ca="1">IFERROR(__xludf.DUMMYFUNCTION("IMPORTRANGE(""https://docs.google.com/spreadsheets/d/11923uPwbBZFjjGgGUA6NLw09EwE0CqkOc4q9oUmW1yo/edit?usp=sharing"",""กำแพงเพชร!J383"")"),0)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IFERROR(__xludf.DUMMYFUNCTION("IMPORTRANGE(""https://docs.google.com/spreadsheets/d/11923uPwbBZFjjGgGUA6NLw09EwE0CqkOc4q9oUmW1yo/edit?usp=sharing"",""กำแพงเพชร!I384"")"),0)</f>
        <v>0</v>
      </c>
      <c r="J489" s="190">
        <f ca="1">IFERROR(__xludf.DUMMYFUNCTION("IMPORTRANGE(""https://docs.google.com/spreadsheets/d/11923uPwbBZFjjGgGUA6NLw09EwE0CqkOc4q9oUmW1yo/edit?usp=sharing"",""กำแพงเพชร!J384"")"),0)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IFERROR(__xludf.DUMMYFUNCTION("IMPORTRANGE(""https://docs.google.com/spreadsheets/d/11923uPwbBZFjjGgGUA6NLw09EwE0CqkOc4q9oUmW1yo/edit?usp=sharing"",""กำแพงเพชร!I385"")"),0)</f>
        <v>0</v>
      </c>
      <c r="J490" s="190">
        <f ca="1">IFERROR(__xludf.DUMMYFUNCTION("IMPORTRANGE(""https://docs.google.com/spreadsheets/d/11923uPwbBZFjjGgGUA6NLw09EwE0CqkOc4q9oUmW1yo/edit?usp=sharing"",""กำแพงเพชร!J385"")"),0)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IFERROR(__xludf.DUMMYFUNCTION("IMPORTRANGE(""https://docs.google.com/spreadsheets/d/11923uPwbBZFjjGgGUA6NLw09EwE0CqkOc4q9oUmW1yo/edit?usp=sharing"",""กำแพงเพชร!I386"")"),0)</f>
        <v>0</v>
      </c>
      <c r="J491" s="190">
        <f ca="1">IFERROR(__xludf.DUMMYFUNCTION("IMPORTRANGE(""https://docs.google.com/spreadsheets/d/11923uPwbBZFjjGgGUA6NLw09EwE0CqkOc4q9oUmW1yo/edit?usp=sharing"",""กำแพงเพชร!J386"")"),0)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IFERROR(__xludf.DUMMYFUNCTION("IMPORTRANGE(""https://docs.google.com/spreadsheets/d/11923uPwbBZFjjGgGUA6NLw09EwE0CqkOc4q9oUmW1yo/edit?usp=sharing"",""กำแพงเพชร!I387"")"),0)</f>
        <v>0</v>
      </c>
      <c r="J492" s="190">
        <f ca="1">IFERROR(__xludf.DUMMYFUNCTION("IMPORTRANGE(""https://docs.google.com/spreadsheets/d/11923uPwbBZFjjGgGUA6NLw09EwE0CqkOc4q9oUmW1yo/edit?usp=sharing"",""กำแพงเพชร!J387"")"),0)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IFERROR(__xludf.DUMMYFUNCTION("IMPORTRANGE(""https://docs.google.com/spreadsheets/d/11923uPwbBZFjjGgGUA6NLw09EwE0CqkOc4q9oUmW1yo/edit?usp=sharing"",""กำแพงเพชร!I388"")"),0)</f>
        <v>0</v>
      </c>
      <c r="J493" s="190">
        <f ca="1">IFERROR(__xludf.DUMMYFUNCTION("IMPORTRANGE(""https://docs.google.com/spreadsheets/d/11923uPwbBZFjjGgGUA6NLw09EwE0CqkOc4q9oUmW1yo/edit?usp=sharing"",""กำแพงเพชร!J388"")"),0)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IFERROR(__xludf.DUMMYFUNCTION("IMPORTRANGE(""https://docs.google.com/spreadsheets/d/11923uPwbBZFjjGgGUA6NLw09EwE0CqkOc4q9oUmW1yo/edit?usp=sharing"",""กำแพงเพชร!I389"")"),0)</f>
        <v>0</v>
      </c>
      <c r="J494" s="438">
        <f ca="1">IFERROR(__xludf.DUMMYFUNCTION("IMPORTRANGE(""https://docs.google.com/spreadsheets/d/11923uPwbBZFjjGgGUA6NLw09EwE0CqkOc4q9oUmW1yo/edit?usp=sharing"",""กำแพงเพชร!J389"")"),0)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IFERROR(__xludf.DUMMYFUNCTION("IMPORTRANGE(""https://docs.google.com/spreadsheets/d/11923uPwbBZFjjGgGUA6NLw09EwE0CqkOc4q9oUmW1yo/edit?usp=sharing"",""กำแพงเพชร!I390"")"),0)</f>
        <v>0</v>
      </c>
      <c r="J495" s="438">
        <f ca="1">IFERROR(__xludf.DUMMYFUNCTION("IMPORTRANGE(""https://docs.google.com/spreadsheets/d/11923uPwbBZFjjGgGUA6NLw09EwE0CqkOc4q9oUmW1yo/edit?usp=sharing"",""กำแพงเพชร!J390"")"),0)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IFERROR(__xludf.DUMMYFUNCTION("IMPORTRANGE(""https://docs.google.com/spreadsheets/d/11923uPwbBZFjjGgGUA6NLw09EwE0CqkOc4q9oUmW1yo/edit?usp=sharing"",""กำแพงเพชร!I391"")"),0)</f>
        <v>0</v>
      </c>
      <c r="J496" s="438">
        <f ca="1">IFERROR(__xludf.DUMMYFUNCTION("IMPORTRANGE(""https://docs.google.com/spreadsheets/d/11923uPwbBZFjjGgGUA6NLw09EwE0CqkOc4q9oUmW1yo/edit?usp=sharing"",""กำแพงเพชร!J391"")"),0)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IFERROR(__xludf.DUMMYFUNCTION("IMPORTRANGE(""https://docs.google.com/spreadsheets/d/11923uPwbBZFjjGgGUA6NLw09EwE0CqkOc4q9oUmW1yo/edit?usp=sharing"",""กำแพงเพชร!I392"")"),6340)</f>
        <v>6340</v>
      </c>
      <c r="J497" s="445">
        <f ca="1">IFERROR(__xludf.DUMMYFUNCTION("IMPORTRANGE(""https://docs.google.com/spreadsheets/d/11923uPwbBZFjjGgGUA6NLw09EwE0CqkOc4q9oUmW1yo/edit?usp=sharing"",""กำแพงเพชร!J392"")"),0)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IFERROR(__xludf.DUMMYFUNCTION("IMPORTRANGE(""https://docs.google.com/spreadsheets/d/11923uPwbBZFjjGgGUA6NLw09EwE0CqkOc4q9oUmW1yo/edit?usp=sharing"",""กำแพงเพชร!I393"")"),6340)</f>
        <v>6340</v>
      </c>
      <c r="J498" s="422">
        <f ca="1">IFERROR(__xludf.DUMMYFUNCTION("IMPORTRANGE(""https://docs.google.com/spreadsheets/d/11923uPwbBZFjjGgGUA6NLw09EwE0CqkOc4q9oUmW1yo/edit?usp=sharing"",""กำแพงเพชร!J393"")"),0)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IFERROR(__xludf.DUMMYFUNCTION("IMPORTRANGE(""https://docs.google.com/spreadsheets/d/11923uPwbBZFjjGgGUA6NLw09EwE0CqkOc4q9oUmW1yo/edit?usp=sharing"",""กำแพงเพชร!I394"")"),600)</f>
        <v>600</v>
      </c>
      <c r="J499" s="422">
        <f ca="1">IFERROR(__xludf.DUMMYFUNCTION("IMPORTRANGE(""https://docs.google.com/spreadsheets/d/11923uPwbBZFjjGgGUA6NLw09EwE0CqkOc4q9oUmW1yo/edit?usp=sharing"",""กำแพงเพชร!J394"")"),0)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IFERROR(__xludf.DUMMYFUNCTION("IMPORTRANGE(""https://docs.google.com/spreadsheets/d/11923uPwbBZFjjGgGUA6NLw09EwE0CqkOc4q9oUmW1yo/edit?usp=sharing"",""กำแพงเพชร!I395"")"),0)</f>
        <v>0</v>
      </c>
      <c r="J500" s="164">
        <f ca="1">IFERROR(__xludf.DUMMYFUNCTION("IMPORTRANGE(""https://docs.google.com/spreadsheets/d/11923uPwbBZFjjGgGUA6NLw09EwE0CqkOc4q9oUmW1yo/edit?usp=sharing"",""กำแพงเพชร!J395"")"),0)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IFERROR(__xludf.DUMMYFUNCTION("IMPORTRANGE(""https://docs.google.com/spreadsheets/d/11923uPwbBZFjjGgGUA6NLw09EwE0CqkOc4q9oUmW1yo/edit?usp=sharing"",""กำแพงเพชร!I396"")"),0)</f>
        <v>0</v>
      </c>
      <c r="J501" s="164">
        <f ca="1">IFERROR(__xludf.DUMMYFUNCTION("IMPORTRANGE(""https://docs.google.com/spreadsheets/d/11923uPwbBZFjjGgGUA6NLw09EwE0CqkOc4q9oUmW1yo/edit?usp=sharing"",""กำแพงเพชร!J396"")"),0)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IFERROR(__xludf.DUMMYFUNCTION("IMPORTRANGE(""https://docs.google.com/spreadsheets/d/11923uPwbBZFjjGgGUA6NLw09EwE0CqkOc4q9oUmW1yo/edit?usp=sharing"",""กำแพงเพชร!I397"")"),0)</f>
        <v>0</v>
      </c>
      <c r="J502" s="190">
        <f ca="1">IFERROR(__xludf.DUMMYFUNCTION("IMPORTRANGE(""https://docs.google.com/spreadsheets/d/11923uPwbBZFjjGgGUA6NLw09EwE0CqkOc4q9oUmW1yo/edit?usp=sharing"",""กำแพงเพชร!J397"")"),0)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IFERROR(__xludf.DUMMYFUNCTION("IMPORTRANGE(""https://docs.google.com/spreadsheets/d/11923uPwbBZFjjGgGUA6NLw09EwE0CqkOc4q9oUmW1yo/edit?usp=sharing"",""กำแพงเพชร!I398"")"),0)</f>
        <v>0</v>
      </c>
      <c r="J503" s="199">
        <f ca="1">IFERROR(__xludf.DUMMYFUNCTION("IMPORTRANGE(""https://docs.google.com/spreadsheets/d/11923uPwbBZFjjGgGUA6NLw09EwE0CqkOc4q9oUmW1yo/edit?usp=sharing"",""กำแพงเพชร!J398"")"),0)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IFERROR(__xludf.DUMMYFUNCTION("IMPORTRANGE(""https://docs.google.com/spreadsheets/d/11923uPwbBZFjjGgGUA6NLw09EwE0CqkOc4q9oUmW1yo/edit?usp=sharing"",""กำแพงเพชร!I399"")"),0)</f>
        <v>0</v>
      </c>
      <c r="J504" s="190">
        <f ca="1">IFERROR(__xludf.DUMMYFUNCTION("IMPORTRANGE(""https://docs.google.com/spreadsheets/d/11923uPwbBZFjjGgGUA6NLw09EwE0CqkOc4q9oUmW1yo/edit?usp=sharing"",""กำแพงเพชร!J399"")"),0)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IFERROR(__xludf.DUMMYFUNCTION("IMPORTRANGE(""https://docs.google.com/spreadsheets/d/11923uPwbBZFjjGgGUA6NLw09EwE0CqkOc4q9oUmW1yo/edit?usp=sharing"",""กำแพงเพชร!I400"")"),0)</f>
        <v>0</v>
      </c>
      <c r="J505" s="199">
        <f ca="1">IFERROR(__xludf.DUMMYFUNCTION("IMPORTRANGE(""https://docs.google.com/spreadsheets/d/11923uPwbBZFjjGgGUA6NLw09EwE0CqkOc4q9oUmW1yo/edit?usp=sharing"",""กำแพงเพชร!J400"")"),0)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IFERROR(__xludf.DUMMYFUNCTION("IMPORTRANGE(""https://docs.google.com/spreadsheets/d/11923uPwbBZFjjGgGUA6NLw09EwE0CqkOc4q9oUmW1yo/edit?usp=sharing"",""กำแพงเพชร!I401"")"),0)</f>
        <v>0</v>
      </c>
      <c r="J506" s="190">
        <f ca="1">IFERROR(__xludf.DUMMYFUNCTION("IMPORTRANGE(""https://docs.google.com/spreadsheets/d/11923uPwbBZFjjGgGUA6NLw09EwE0CqkOc4q9oUmW1yo/edit?usp=sharing"",""กำแพงเพชร!J401"")"),0)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IFERROR(__xludf.DUMMYFUNCTION("IMPORTRANGE(""https://docs.google.com/spreadsheets/d/11923uPwbBZFjjGgGUA6NLw09EwE0CqkOc4q9oUmW1yo/edit?usp=sharing"",""กำแพงเพชร!I402"")"),0)</f>
        <v>0</v>
      </c>
      <c r="J507" s="199">
        <f ca="1">IFERROR(__xludf.DUMMYFUNCTION("IMPORTRANGE(""https://docs.google.com/spreadsheets/d/11923uPwbBZFjjGgGUA6NLw09EwE0CqkOc4q9oUmW1yo/edit?usp=sharing"",""กำแพงเพชร!J402"")"),0)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IFERROR(__xludf.DUMMYFUNCTION("IMPORTRANGE(""https://docs.google.com/spreadsheets/d/11923uPwbBZFjjGgGUA6NLw09EwE0CqkOc4q9oUmW1yo/edit?usp=sharing"",""กำแพงเพชร!I403"")"),0)</f>
        <v>0</v>
      </c>
      <c r="J508" s="164">
        <f ca="1">IFERROR(__xludf.DUMMYFUNCTION("IMPORTRANGE(""https://docs.google.com/spreadsheets/d/11923uPwbBZFjjGgGUA6NLw09EwE0CqkOc4q9oUmW1yo/edit?usp=sharing"",""กำแพงเพชร!J403"")"),0)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IFERROR(__xludf.DUMMYFUNCTION("IMPORTRANGE(""https://docs.google.com/spreadsheets/d/11923uPwbBZFjjGgGUA6NLw09EwE0CqkOc4q9oUmW1yo/edit?usp=sharing"",""กำแพงเพชร!I404"")"),0)</f>
        <v>0</v>
      </c>
      <c r="J509" s="164">
        <f ca="1">IFERROR(__xludf.DUMMYFUNCTION("IMPORTRANGE(""https://docs.google.com/spreadsheets/d/11923uPwbBZFjjGgGUA6NLw09EwE0CqkOc4q9oUmW1yo/edit?usp=sharing"",""กำแพงเพชร!J404"")"),0)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IFERROR(__xludf.DUMMYFUNCTION("IMPORTRANGE(""https://docs.google.com/spreadsheets/d/11923uPwbBZFjjGgGUA6NLw09EwE0CqkOc4q9oUmW1yo/edit?usp=sharing"",""กำแพงเพชร!I405"")"),0)</f>
        <v>0</v>
      </c>
      <c r="J510" s="199">
        <f ca="1">IFERROR(__xludf.DUMMYFUNCTION("IMPORTRANGE(""https://docs.google.com/spreadsheets/d/11923uPwbBZFjjGgGUA6NLw09EwE0CqkOc4q9oUmW1yo/edit?usp=sharing"",""กำแพงเพชร!J405"")"),0)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IFERROR(__xludf.DUMMYFUNCTION("IMPORTRANGE(""https://docs.google.com/spreadsheets/d/11923uPwbBZFjjGgGUA6NLw09EwE0CqkOc4q9oUmW1yo/edit?usp=sharing"",""กำแพงเพชร!I406"")"),0)</f>
        <v>0</v>
      </c>
      <c r="J511" s="199">
        <f ca="1">IFERROR(__xludf.DUMMYFUNCTION("IMPORTRANGE(""https://docs.google.com/spreadsheets/d/11923uPwbBZFjjGgGUA6NLw09EwE0CqkOc4q9oUmW1yo/edit?usp=sharing"",""กำแพงเพชร!J406"")"),0)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IFERROR(__xludf.DUMMYFUNCTION("IMPORTRANGE(""https://docs.google.com/spreadsheets/d/11923uPwbBZFjjGgGUA6NLw09EwE0CqkOc4q9oUmW1yo/edit?usp=sharing"",""กำแพงเพชร!I407"")"),0)</f>
        <v>0</v>
      </c>
      <c r="J512" s="199">
        <f ca="1">IFERROR(__xludf.DUMMYFUNCTION("IMPORTRANGE(""https://docs.google.com/spreadsheets/d/11923uPwbBZFjjGgGUA6NLw09EwE0CqkOc4q9oUmW1yo/edit?usp=sharing"",""กำแพงเพชร!J407"")"),0)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IFERROR(__xludf.DUMMYFUNCTION("IMPORTRANGE(""https://docs.google.com/spreadsheets/d/11923uPwbBZFjjGgGUA6NLw09EwE0CqkOc4q9oUmW1yo/edit?usp=sharing"",""กำแพงเพชร!I408"")"),0)</f>
        <v>0</v>
      </c>
      <c r="J513" s="199">
        <f ca="1">IFERROR(__xludf.DUMMYFUNCTION("IMPORTRANGE(""https://docs.google.com/spreadsheets/d/11923uPwbBZFjjGgGUA6NLw09EwE0CqkOc4q9oUmW1yo/edit?usp=sharing"",""กำแพงเพชร!J408"")"),0)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IFERROR(__xludf.DUMMYFUNCTION("IMPORTRANGE(""https://docs.google.com/spreadsheets/d/11923uPwbBZFjjGgGUA6NLw09EwE0CqkOc4q9oUmW1yo/edit?usp=sharing"",""กำแพงเพชร!I409"")"),0)</f>
        <v>0</v>
      </c>
      <c r="J514" s="199">
        <f ca="1">IFERROR(__xludf.DUMMYFUNCTION("IMPORTRANGE(""https://docs.google.com/spreadsheets/d/11923uPwbBZFjjGgGUA6NLw09EwE0CqkOc4q9oUmW1yo/edit?usp=sharing"",""กำแพงเพชร!J409"")"),0)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IFERROR(__xludf.DUMMYFUNCTION("IMPORTRANGE(""https://docs.google.com/spreadsheets/d/11923uPwbBZFjjGgGUA6NLw09EwE0CqkOc4q9oUmW1yo/edit?usp=sharing"",""กำแพงเพชร!I410"")"),0)</f>
        <v>0</v>
      </c>
      <c r="J515" s="199">
        <f ca="1">IFERROR(__xludf.DUMMYFUNCTION("IMPORTRANGE(""https://docs.google.com/spreadsheets/d/11923uPwbBZFjjGgGUA6NLw09EwE0CqkOc4q9oUmW1yo/edit?usp=sharing"",""กำแพงเพชร!J410"")"),0)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IFERROR(__xludf.DUMMYFUNCTION("IMPORTRANGE(""https://docs.google.com/spreadsheets/d/11923uPwbBZFjjGgGUA6NLw09EwE0CqkOc4q9oUmW1yo/edit?usp=sharing"",""กำแพงเพชร!I411"")"),0)</f>
        <v>0</v>
      </c>
      <c r="J516" s="268">
        <f ca="1">IFERROR(__xludf.DUMMYFUNCTION("IMPORTRANGE(""https://docs.google.com/spreadsheets/d/11923uPwbBZFjjGgGUA6NLw09EwE0CqkOc4q9oUmW1yo/edit?usp=sharing"",""กำแพงเพชร!J411"")"),0)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IFERROR(__xludf.DUMMYFUNCTION("IMPORTRANGE(""https://docs.google.com/spreadsheets/d/11923uPwbBZFjjGgGUA6NLw09EwE0CqkOc4q9oUmW1yo/edit?usp=sharing"",""กำแพงเพชร!I412"")"),0)</f>
        <v>0</v>
      </c>
      <c r="J517" s="285">
        <f ca="1">IFERROR(__xludf.DUMMYFUNCTION("IMPORTRANGE(""https://docs.google.com/spreadsheets/d/11923uPwbBZFjjGgGUA6NLw09EwE0CqkOc4q9oUmW1yo/edit?usp=sharing"",""กำแพงเพชร!J412"")"),0)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IFERROR(__xludf.DUMMYFUNCTION("IMPORTRANGE(""https://docs.google.com/spreadsheets/d/11923uPwbBZFjjGgGUA6NLw09EwE0CqkOc4q9oUmW1yo/edit?usp=sharing"",""กำแพงเพชร!I413"")"),0)</f>
        <v>0</v>
      </c>
      <c r="J518" s="285">
        <f ca="1">IFERROR(__xludf.DUMMYFUNCTION("IMPORTRANGE(""https://docs.google.com/spreadsheets/d/11923uPwbBZFjjGgGUA6NLw09EwE0CqkOc4q9oUmW1yo/edit?usp=sharing"",""กำแพงเพชร!J413"")"),0)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IFERROR(__xludf.DUMMYFUNCTION("IMPORTRANGE(""https://docs.google.com/spreadsheets/d/11923uPwbBZFjjGgGUA6NLw09EwE0CqkOc4q9oUmW1yo/edit?usp=sharing"",""กำแพงเพชร!I414"")"),0)</f>
        <v>0</v>
      </c>
      <c r="J519" s="189">
        <f ca="1">IFERROR(__xludf.DUMMYFUNCTION("IMPORTRANGE(""https://docs.google.com/spreadsheets/d/11923uPwbBZFjjGgGUA6NLw09EwE0CqkOc4q9oUmW1yo/edit?usp=sharing"",""กำแพงเพชร!J414"")"),0)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IFERROR(__xludf.DUMMYFUNCTION("IMPORTRANGE(""https://docs.google.com/spreadsheets/d/11923uPwbBZFjjGgGUA6NLw09EwE0CqkOc4q9oUmW1yo/edit?usp=sharing"",""กำแพงเพชร!I415"")"),0)</f>
        <v>0</v>
      </c>
      <c r="J520" s="189">
        <f ca="1">IFERROR(__xludf.DUMMYFUNCTION("IMPORTRANGE(""https://docs.google.com/spreadsheets/d/11923uPwbBZFjjGgGUA6NLw09EwE0CqkOc4q9oUmW1yo/edit?usp=sharing"",""กำแพงเพชร!J415"")"),0)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IFERROR(__xludf.DUMMYFUNCTION("IMPORTRANGE(""https://docs.google.com/spreadsheets/d/11923uPwbBZFjjGgGUA6NLw09EwE0CqkOc4q9oUmW1yo/edit?usp=sharing"",""กำแพงเพชร!I416"")"),0)</f>
        <v>0</v>
      </c>
      <c r="J521" s="189">
        <f ca="1">IFERROR(__xludf.DUMMYFUNCTION("IMPORTRANGE(""https://docs.google.com/spreadsheets/d/11923uPwbBZFjjGgGUA6NLw09EwE0CqkOc4q9oUmW1yo/edit?usp=sharing"",""กำแพงเพชร!J416"")"),0)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IFERROR(__xludf.DUMMYFUNCTION("IMPORTRANGE(""https://docs.google.com/spreadsheets/d/11923uPwbBZFjjGgGUA6NLw09EwE0CqkOc4q9oUmW1yo/edit?usp=sharing"",""กำแพงเพชร!I417"")"),0)</f>
        <v>0</v>
      </c>
      <c r="J522" s="189">
        <f ca="1">IFERROR(__xludf.DUMMYFUNCTION("IMPORTRANGE(""https://docs.google.com/spreadsheets/d/11923uPwbBZFjjGgGUA6NLw09EwE0CqkOc4q9oUmW1yo/edit?usp=sharing"",""กำแพงเพชร!J417"")"),0)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IFERROR(__xludf.DUMMYFUNCTION("IMPORTRANGE(""https://docs.google.com/spreadsheets/d/11923uPwbBZFjjGgGUA6NLw09EwE0CqkOc4q9oUmW1yo/edit?usp=sharing"",""กำแพงเพชร!I418"")"),0)</f>
        <v>0</v>
      </c>
      <c r="J523" s="189">
        <f ca="1">IFERROR(__xludf.DUMMYFUNCTION("IMPORTRANGE(""https://docs.google.com/spreadsheets/d/11923uPwbBZFjjGgGUA6NLw09EwE0CqkOc4q9oUmW1yo/edit?usp=sharing"",""กำแพงเพชร!J418"")"),2168)</f>
        <v>2168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IFERROR(__xludf.DUMMYFUNCTION("IMPORTRANGE(""https://docs.google.com/spreadsheets/d/11923uPwbBZFjjGgGUA6NLw09EwE0CqkOc4q9oUmW1yo/edit?usp=sharing"",""กำแพงเพชร!I419"")"),0)</f>
        <v>0</v>
      </c>
      <c r="J524" s="189">
        <f ca="1">IFERROR(__xludf.DUMMYFUNCTION("IMPORTRANGE(""https://docs.google.com/spreadsheets/d/11923uPwbBZFjjGgGUA6NLw09EwE0CqkOc4q9oUmW1yo/edit?usp=sharing"",""กำแพงเพชร!J419"")"),106)</f>
        <v>106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IFERROR(__xludf.DUMMYFUNCTION("IMPORTRANGE(""https://docs.google.com/spreadsheets/d/11923uPwbBZFjjGgGUA6NLw09EwE0CqkOc4q9oUmW1yo/edit?usp=sharing"",""กำแพงเพชร!I420"")"),2168)</f>
        <v>2168</v>
      </c>
      <c r="J525" s="285">
        <f ca="1">IFERROR(__xludf.DUMMYFUNCTION("IMPORTRANGE(""https://docs.google.com/spreadsheets/d/11923uPwbBZFjjGgGUA6NLw09EwE0CqkOc4q9oUmW1yo/edit?usp=sharing"",""กำแพงเพชร!J420"")"),0)</f>
        <v>0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IFERROR(__xludf.DUMMYFUNCTION("IMPORTRANGE(""https://docs.google.com/spreadsheets/d/11923uPwbBZFjjGgGUA6NLw09EwE0CqkOc4q9oUmW1yo/edit?usp=sharing"",""กำแพงเพชร!I421"")"),106)</f>
        <v>106</v>
      </c>
      <c r="J526" s="285">
        <f ca="1">IFERROR(__xludf.DUMMYFUNCTION("IMPORTRANGE(""https://docs.google.com/spreadsheets/d/11923uPwbBZFjjGgGUA6NLw09EwE0CqkOc4q9oUmW1yo/edit?usp=sharing"",""กำแพงเพชร!J421"")"),0)</f>
        <v>0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IFERROR(__xludf.DUMMYFUNCTION("IMPORTRANGE(""https://docs.google.com/spreadsheets/d/11923uPwbBZFjjGgGUA6NLw09EwE0CqkOc4q9oUmW1yo/edit?usp=sharing"",""กำแพงเพชร!I422"")"),0)</f>
        <v>0</v>
      </c>
      <c r="J527" s="199">
        <f ca="1">IFERROR(__xludf.DUMMYFUNCTION("IMPORTRANGE(""https://docs.google.com/spreadsheets/d/11923uPwbBZFjjGgGUA6NLw09EwE0CqkOc4q9oUmW1yo/edit?usp=sharing"",""กำแพงเพชร!J422"")"),0)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IFERROR(__xludf.DUMMYFUNCTION("IMPORTRANGE(""https://docs.google.com/spreadsheets/d/11923uPwbBZFjjGgGUA6NLw09EwE0CqkOc4q9oUmW1yo/edit?usp=sharing"",""กำแพงเพชร!I423"")"),0)</f>
        <v>0</v>
      </c>
      <c r="J528" s="199">
        <f ca="1">IFERROR(__xludf.DUMMYFUNCTION("IMPORTRANGE(""https://docs.google.com/spreadsheets/d/11923uPwbBZFjjGgGUA6NLw09EwE0CqkOc4q9oUmW1yo/edit?usp=sharing"",""กำแพงเพชร!J423"")"),0)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IFERROR(__xludf.DUMMYFUNCTION("IMPORTRANGE(""https://docs.google.com/spreadsheets/d/11923uPwbBZFjjGgGUA6NLw09EwE0CqkOc4q9oUmW1yo/edit?usp=sharing"",""กำแพงเพชร!I424"")"),0)</f>
        <v>0</v>
      </c>
      <c r="J529" s="199">
        <f ca="1">IFERROR(__xludf.DUMMYFUNCTION("IMPORTRANGE(""https://docs.google.com/spreadsheets/d/11923uPwbBZFjjGgGUA6NLw09EwE0CqkOc4q9oUmW1yo/edit?usp=sharing"",""กำแพงเพชร!J424"")"),0)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IFERROR(__xludf.DUMMYFUNCTION("IMPORTRANGE(""https://docs.google.com/spreadsheets/d/11923uPwbBZFjjGgGUA6NLw09EwE0CqkOc4q9oUmW1yo/edit?usp=sharing"",""กำแพงเพชร!I425"")"),0)</f>
        <v>0</v>
      </c>
      <c r="J530" s="199">
        <f ca="1">IFERROR(__xludf.DUMMYFUNCTION("IMPORTRANGE(""https://docs.google.com/spreadsheets/d/11923uPwbBZFjjGgGUA6NLw09EwE0CqkOc4q9oUmW1yo/edit?usp=sharing"",""กำแพงเพชร!J425"")"),0)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IFERROR(__xludf.DUMMYFUNCTION("IMPORTRANGE(""https://docs.google.com/spreadsheets/d/11923uPwbBZFjjGgGUA6NLw09EwE0CqkOc4q9oUmW1yo/edit?usp=sharing"",""กำแพงเพชร!I426"")"),0)</f>
        <v>0</v>
      </c>
      <c r="J531" s="199">
        <f ca="1">IFERROR(__xludf.DUMMYFUNCTION("IMPORTRANGE(""https://docs.google.com/spreadsheets/d/11923uPwbBZFjjGgGUA6NLw09EwE0CqkOc4q9oUmW1yo/edit?usp=sharing"",""กำแพงเพชร!J426"")"),0)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IFERROR(__xludf.DUMMYFUNCTION("IMPORTRANGE(""https://docs.google.com/spreadsheets/d/11923uPwbBZFjjGgGUA6NLw09EwE0CqkOc4q9oUmW1yo/edit?usp=sharing"",""กำแพงเพชร!I427"")"),0)</f>
        <v>0</v>
      </c>
      <c r="J532" s="468">
        <f ca="1">IFERROR(__xludf.DUMMYFUNCTION("IMPORTRANGE(""https://docs.google.com/spreadsheets/d/11923uPwbBZFjjGgGUA6NLw09EwE0CqkOc4q9oUmW1yo/edit?usp=sharing"",""กำแพงเพชร!J427"")"),0)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IFERROR(__xludf.DUMMYFUNCTION("IMPORTRANGE(""https://docs.google.com/spreadsheets/d/11923uPwbBZFjjGgGUA6NLw09EwE0CqkOc4q9oUmW1yo/edit?usp=sharing"",""กำแพงเพชร!I428"")"),22)</f>
        <v>22</v>
      </c>
      <c r="J533" s="411">
        <f ca="1">IFERROR(__xludf.DUMMYFUNCTION("IMPORTRANGE(""https://docs.google.com/spreadsheets/d/11923uPwbBZFjjGgGUA6NLw09EwE0CqkOc4q9oUmW1yo/edit?usp=sharing"",""กำแพงเพชร!J428"")"),22)</f>
        <v>22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IFERROR(__xludf.DUMMYFUNCTION("IMPORTRANGE(""https://docs.google.com/spreadsheets/d/11923uPwbBZFjjGgGUA6NLw09EwE0CqkOc4q9oUmW1yo/edit?usp=sharing"",""กำแพงเพชร!L428"")"),34350)</f>
        <v>34350</v>
      </c>
      <c r="M533" s="413"/>
      <c r="N533" s="413">
        <f ca="1">IFERROR(__xludf.DUMMYFUNCTION("IMPORTRANGE(""https://docs.google.com/spreadsheets/d/11923uPwbBZFjjGgGUA6NLw09EwE0CqkOc4q9oUmW1yo/edit?usp=sharing"",""กำแพงเพชร!M428"")"),29825)</f>
        <v>29825</v>
      </c>
      <c r="O533" s="413">
        <f t="shared" ref="O533:O537" ca="1" si="118">+IF(L533&gt;0,N533*100/L533,0)</f>
        <v>86.826783114992722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IFERROR(__xludf.DUMMYFUNCTION("IMPORTRANGE(""https://docs.google.com/spreadsheets/d/11923uPwbBZFjjGgGUA6NLw09EwE0CqkOc4q9oUmW1yo/edit?usp=sharing"",""กำแพงเพชร!L429"")"),0)</f>
        <v>0</v>
      </c>
      <c r="M534" s="166"/>
      <c r="N534" s="170">
        <f ca="1">IFERROR(__xludf.DUMMYFUNCTION("IMPORTRANGE(""https://docs.google.com/spreadsheets/d/11923uPwbBZFjjGgGUA6NLw09EwE0CqkOc4q9oUmW1yo/edit?usp=sharing"",""กำแพงเพชร!M429"")"),0)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IFERROR(__xludf.DUMMYFUNCTION("IMPORTRANGE(""https://docs.google.com/spreadsheets/d/11923uPwbBZFjjGgGUA6NLw09EwE0CqkOc4q9oUmW1yo/edit?usp=sharing"",""กำแพงเพชร!L430"")"),34350)</f>
        <v>34350</v>
      </c>
      <c r="M535" s="167"/>
      <c r="N535" s="170">
        <f ca="1">IFERROR(__xludf.DUMMYFUNCTION("IMPORTRANGE(""https://docs.google.com/spreadsheets/d/11923uPwbBZFjjGgGUA6NLw09EwE0CqkOc4q9oUmW1yo/edit?usp=sharing"",""กำแพงเพชร!M430"")"),29825)</f>
        <v>29825</v>
      </c>
      <c r="O535" s="170">
        <f t="shared" ca="1" si="118"/>
        <v>86.826783114992722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IFERROR(__xludf.DUMMYFUNCTION("IMPORTRANGE(""https://docs.google.com/spreadsheets/d/11923uPwbBZFjjGgGUA6NLw09EwE0CqkOc4q9oUmW1yo/edit?usp=sharing"",""กำแพงเพชร!L431"")"),0)</f>
        <v>0</v>
      </c>
      <c r="M536" s="170"/>
      <c r="N536" s="170">
        <f ca="1">IFERROR(__xludf.DUMMYFUNCTION("IMPORTRANGE(""https://docs.google.com/spreadsheets/d/11923uPwbBZFjjGgGUA6NLw09EwE0CqkOc4q9oUmW1yo/edit?usp=sharing"",""กำแพงเพชร!M431"")"),0)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IFERROR(__xludf.DUMMYFUNCTION("IMPORTRANGE(""https://docs.google.com/spreadsheets/d/11923uPwbBZFjjGgGUA6NLw09EwE0CqkOc4q9oUmW1yo/edit?usp=sharing"",""กำแพงเพชร!L432"")"),34350)</f>
        <v>34350</v>
      </c>
      <c r="M537" s="170"/>
      <c r="N537" s="170">
        <f ca="1">IFERROR(__xludf.DUMMYFUNCTION("IMPORTRANGE(""https://docs.google.com/spreadsheets/d/11923uPwbBZFjjGgGUA6NLw09EwE0CqkOc4q9oUmW1yo/edit?usp=sharing"",""กำแพงเพชร!M432"")"),29825)</f>
        <v>29825</v>
      </c>
      <c r="O537" s="170">
        <f t="shared" ca="1" si="118"/>
        <v>86.826783114992722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IFERROR(__xludf.DUMMYFUNCTION("IMPORTRANGE(""https://docs.google.com/spreadsheets/d/11923uPwbBZFjjGgGUA6NLw09EwE0CqkOc4q9oUmW1yo/edit?usp=sharing"",""กำแพงเพชร!M433"")"),20160)</f>
        <v>20160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IFERROR(__xludf.DUMMYFUNCTION("IMPORTRANGE(""https://docs.google.com/spreadsheets/d/11923uPwbBZFjjGgGUA6NLw09EwE0CqkOc4q9oUmW1yo/edit?usp=sharing"",""กำแพงเพชร!M434"")"),0)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IFERROR(__xludf.DUMMYFUNCTION("IMPORTRANGE(""https://docs.google.com/spreadsheets/d/11923uPwbBZFjjGgGUA6NLw09EwE0CqkOc4q9oUmW1yo/edit?usp=sharing"",""กำแพงเพชร!M435"")"),0)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IFERROR(__xludf.DUMMYFUNCTION("IMPORTRANGE(""https://docs.google.com/spreadsheets/d/11923uPwbBZFjjGgGUA6NLw09EwE0CqkOc4q9oUmW1yo/edit?usp=sharing"",""กำแพงเพชร!M436"")"),9665)</f>
        <v>9665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IFERROR(__xludf.DUMMYFUNCTION("IMPORTRANGE(""https://docs.google.com/spreadsheets/d/11923uPwbBZFjjGgGUA6NLw09EwE0CqkOc4q9oUmW1yo/edit?usp=sharing"",""กำแพงเพชร!J438"")"),0)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IFERROR(__xludf.DUMMYFUNCTION("IMPORTRANGE(""https://docs.google.com/spreadsheets/d/11923uPwbBZFjjGgGUA6NLw09EwE0CqkOc4q9oUmW1yo/edit?usp=sharing"",""กำแพงเพชร!J439"")"),1)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IFERROR(__xludf.DUMMYFUNCTION("IMPORTRANGE(""https://docs.google.com/spreadsheets/d/11923uPwbBZFjjGgGUA6NLw09EwE0CqkOc4q9oUmW1yo/edit?usp=sharing"",""กำแพงเพชร!J440"")"),1)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IFERROR(__xludf.DUMMYFUNCTION("IMPORTRANGE(""https://docs.google.com/spreadsheets/d/11923uPwbBZFjjGgGUA6NLw09EwE0CqkOc4q9oUmW1yo/edit?usp=sharing"",""กำแพงเพชร!J441"")"),1)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IFERROR(__xludf.DUMMYFUNCTION("IMPORTRANGE(""https://docs.google.com/spreadsheets/d/11923uPwbBZFjjGgGUA6NLw09EwE0CqkOc4q9oUmW1yo/edit?usp=sharing"",""กำแพงเพชร!I442"")"),22)</f>
        <v>22</v>
      </c>
      <c r="J547" s="190">
        <f ca="1">IFERROR(__xludf.DUMMYFUNCTION("IMPORTRANGE(""https://docs.google.com/spreadsheets/d/11923uPwbBZFjjGgGUA6NLw09EwE0CqkOc4q9oUmW1yo/edit?usp=sharing"",""กำแพงเพชร!J442"")"),22)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IFERROR(__xludf.DUMMYFUNCTION("IMPORTRANGE(""https://docs.google.com/spreadsheets/d/11923uPwbBZFjjGgGUA6NLw09EwE0CqkOc4q9oUmW1yo/edit?usp=sharing"",""กำแพงเพชร!J166"")"),0)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IFERROR(__xludf.DUMMYFUNCTION("IMPORTRANGE(""https://docs.google.com/spreadsheets/d/11923uPwbBZFjjGgGUA6NLw09EwE0CqkOc4q9oUmW1yo/edit?usp=sharing"",""กำแพงเพชร!J444"")"),0)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IFERROR(__xludf.DUMMYFUNCTION("IMPORTRANGE(""https://docs.google.com/spreadsheets/d/11923uPwbBZFjjGgGUA6NLw09EwE0CqkOc4q9oUmW1yo/edit?usp=sharing"",""กำแพงเพชร!J445"")"),0)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IFERROR(__xludf.DUMMYFUNCTION("IMPORTRANGE(""https://docs.google.com/spreadsheets/d/11923uPwbBZFjjGgGUA6NLw09EwE0CqkOc4q9oUmW1yo/edit?usp=sharing"",""กำแพงเพชร!I446"")"),5000)</f>
        <v>5000</v>
      </c>
      <c r="J551" s="411">
        <f ca="1">IFERROR(__xludf.DUMMYFUNCTION("IMPORTRANGE(""https://docs.google.com/spreadsheets/d/11923uPwbBZFjjGgGUA6NLw09EwE0CqkOc4q9oUmW1yo/edit?usp=sharing"",""กำแพงเพชร!J446"")"),3706)</f>
        <v>3706</v>
      </c>
      <c r="K551" s="412">
        <f ca="1">IF(I551&gt;0,J551*100/I551,0)</f>
        <v>74.12</v>
      </c>
      <c r="L551" s="413">
        <f ca="1">IFERROR(__xludf.DUMMYFUNCTION("IMPORTRANGE(""https://docs.google.com/spreadsheets/d/11923uPwbBZFjjGgGUA6NLw09EwE0CqkOc4q9oUmW1yo/edit?usp=sharing"",""กำแพงเพชร!L446"")"),320000)</f>
        <v>320000</v>
      </c>
      <c r="M551" s="413"/>
      <c r="N551" s="413">
        <f ca="1">IFERROR(__xludf.DUMMYFUNCTION("IMPORTRANGE(""https://docs.google.com/spreadsheets/d/11923uPwbBZFjjGgGUA6NLw09EwE0CqkOc4q9oUmW1yo/edit?usp=sharing"",""กำแพงเพชร!M446"")"),118260.65)</f>
        <v>118260.65</v>
      </c>
      <c r="O551" s="413">
        <f t="shared" ref="O551:O555" ca="1" si="120">+IF(L551&gt;0,N551*100/L551,0)</f>
        <v>36.956453125000003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IFERROR(__xludf.DUMMYFUNCTION("IMPORTRANGE(""https://docs.google.com/spreadsheets/d/11923uPwbBZFjjGgGUA6NLw09EwE0CqkOc4q9oUmW1yo/edit?usp=sharing"",""กำแพงเพชร!L447"")"),0)</f>
        <v>0</v>
      </c>
      <c r="M552" s="166"/>
      <c r="N552" s="170">
        <f ca="1">IFERROR(__xludf.DUMMYFUNCTION("IMPORTRANGE(""https://docs.google.com/spreadsheets/d/11923uPwbBZFjjGgGUA6NLw09EwE0CqkOc4q9oUmW1yo/edit?usp=sharing"",""กำแพงเพชร!M447"")"),0)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IFERROR(__xludf.DUMMYFUNCTION("IMPORTRANGE(""https://docs.google.com/spreadsheets/d/11923uPwbBZFjjGgGUA6NLw09EwE0CqkOc4q9oUmW1yo/edit?usp=sharing"",""กำแพงเพชร!L448"")"),320000)</f>
        <v>320000</v>
      </c>
      <c r="M553" s="167"/>
      <c r="N553" s="170">
        <f ca="1">IFERROR(__xludf.DUMMYFUNCTION("IMPORTRANGE(""https://docs.google.com/spreadsheets/d/11923uPwbBZFjjGgGUA6NLw09EwE0CqkOc4q9oUmW1yo/edit?usp=sharing"",""กำแพงเพชร!M448"")"),118260.65)</f>
        <v>118260.65</v>
      </c>
      <c r="O553" s="170">
        <f t="shared" ca="1" si="120"/>
        <v>36.956453125000003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IFERROR(__xludf.DUMMYFUNCTION("IMPORTRANGE(""https://docs.google.com/spreadsheets/d/11923uPwbBZFjjGgGUA6NLw09EwE0CqkOc4q9oUmW1yo/edit?usp=sharing"",""กำแพงเพชร!L449"")"),0)</f>
        <v>0</v>
      </c>
      <c r="M554" s="170"/>
      <c r="N554" s="170">
        <f ca="1">IFERROR(__xludf.DUMMYFUNCTION("IMPORTRANGE(""https://docs.google.com/spreadsheets/d/11923uPwbBZFjjGgGUA6NLw09EwE0CqkOc4q9oUmW1yo/edit?usp=sharing"",""กำแพงเพชร!M449"")"),0)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IFERROR(__xludf.DUMMYFUNCTION("IMPORTRANGE(""https://docs.google.com/spreadsheets/d/11923uPwbBZFjjGgGUA6NLw09EwE0CqkOc4q9oUmW1yo/edit?usp=sharing"",""กำแพงเพชร!L450"")"),320000)</f>
        <v>320000</v>
      </c>
      <c r="M555" s="170"/>
      <c r="N555" s="170">
        <f ca="1">IFERROR(__xludf.DUMMYFUNCTION("IMPORTRANGE(""https://docs.google.com/spreadsheets/d/11923uPwbBZFjjGgGUA6NLw09EwE0CqkOc4q9oUmW1yo/edit?usp=sharing"",""กำแพงเพชร!M450"")"),118260.65)</f>
        <v>118260.65</v>
      </c>
      <c r="O555" s="170">
        <f t="shared" ca="1" si="120"/>
        <v>36.956453125000003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IFERROR(__xludf.DUMMYFUNCTION("IMPORTRANGE(""https://docs.google.com/spreadsheets/d/11923uPwbBZFjjGgGUA6NLw09EwE0CqkOc4q9oUmW1yo/edit?usp=sharing"",""กำแพงเพชร!M451"")"),0)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IFERROR(__xludf.DUMMYFUNCTION("IMPORTRANGE(""https://docs.google.com/spreadsheets/d/11923uPwbBZFjjGgGUA6NLw09EwE0CqkOc4q9oUmW1yo/edit?usp=sharing"",""กำแพงเพชร!M452"")"),0)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IFERROR(__xludf.DUMMYFUNCTION("IMPORTRANGE(""https://docs.google.com/spreadsheets/d/11923uPwbBZFjjGgGUA6NLw09EwE0CqkOc4q9oUmW1yo/edit?usp=sharing"",""กำแพงเพชร!M453"")"),26400)</f>
        <v>26400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IFERROR(__xludf.DUMMYFUNCTION("IMPORTRANGE(""https://docs.google.com/spreadsheets/d/11923uPwbBZFjjGgGUA6NLw09EwE0CqkOc4q9oUmW1yo/edit?usp=sharing"",""กำแพงเพชร!M454"")"),91860.65)</f>
        <v>91860.65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IFERROR(__xludf.DUMMYFUNCTION("IMPORTRANGE(""https://docs.google.com/spreadsheets/d/11923uPwbBZFjjGgGUA6NLw09EwE0CqkOc4q9oUmW1yo/edit?usp=sharing"",""กำแพงเพชร!I455"")"),5000)</f>
        <v>5000</v>
      </c>
      <c r="J560" s="164">
        <f ca="1">IFERROR(__xludf.DUMMYFUNCTION("IMPORTRANGE(""https://docs.google.com/spreadsheets/d/11923uPwbBZFjjGgGUA6NLw09EwE0CqkOc4q9oUmW1yo/edit?usp=sharing"",""กำแพงเพชร!J455"")"),3706)</f>
        <v>3706</v>
      </c>
      <c r="K560" s="225">
        <f t="shared" ref="K560:K561" ca="1" si="121">IF(I560&gt;0,J560*100/I560,0)</f>
        <v>74.12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IFERROR(__xludf.DUMMYFUNCTION("IMPORTRANGE(""https://docs.google.com/spreadsheets/d/11923uPwbBZFjjGgGUA6NLw09EwE0CqkOc4q9oUmW1yo/edit?usp=sharing"",""กำแพงเพชร!I456"")"),0)</f>
        <v>0</v>
      </c>
      <c r="J561" s="205">
        <f ca="1">IFERROR(__xludf.DUMMYFUNCTION("IMPORTRANGE(""https://docs.google.com/spreadsheets/d/11923uPwbBZFjjGgGUA6NLw09EwE0CqkOc4q9oUmW1yo/edit?usp=sharing"",""กำแพงเพชร!J456"")"),260)</f>
        <v>260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IFERROR(__xludf.DUMMYFUNCTION("IMPORTRANGE(""https://docs.google.com/spreadsheets/d/11923uPwbBZFjjGgGUA6NLw09EwE0CqkOc4q9oUmW1yo/edit?usp=sharing"",""กำแพงเพชร!I459"")"),4900)</f>
        <v>4900</v>
      </c>
      <c r="J564" s="372">
        <f ca="1">IFERROR(__xludf.DUMMYFUNCTION("IMPORTRANGE(""https://docs.google.com/spreadsheets/d/11923uPwbBZFjjGgGUA6NLw09EwE0CqkOc4q9oUmW1yo/edit?usp=sharing"",""กำแพงเพชร!J459"")"),2353)</f>
        <v>2353</v>
      </c>
      <c r="K564" s="373">
        <f ca="1">IF(I564&gt;0,J564*100/I564,0)</f>
        <v>48.020408163265309</v>
      </c>
      <c r="L564" s="374">
        <f ca="1">IFERROR(__xludf.DUMMYFUNCTION("IMPORTRANGE(""https://docs.google.com/spreadsheets/d/11923uPwbBZFjjGgGUA6NLw09EwE0CqkOc4q9oUmW1yo/edit?usp=sharing"",""กำแพงเพชร!L459"")"),168000)</f>
        <v>168000</v>
      </c>
      <c r="M564" s="374"/>
      <c r="N564" s="374">
        <f ca="1">IFERROR(__xludf.DUMMYFUNCTION("IMPORTRANGE(""https://docs.google.com/spreadsheets/d/11923uPwbBZFjjGgGUA6NLw09EwE0CqkOc4q9oUmW1yo/edit?usp=sharing"",""กำแพงเพชร!M459"")"),52964.13)</f>
        <v>52964.13</v>
      </c>
      <c r="O564" s="374">
        <f t="shared" ref="O564:O568" ca="1" si="122">+IF(L564&gt;0,N564*100/L564,0)</f>
        <v>31.526267857142859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IFERROR(__xludf.DUMMYFUNCTION("IMPORTRANGE(""https://docs.google.com/spreadsheets/d/11923uPwbBZFjjGgGUA6NLw09EwE0CqkOc4q9oUmW1yo/edit?usp=sharing"",""กำแพงเพชร!L460"")"),0)</f>
        <v>0</v>
      </c>
      <c r="M565" s="166"/>
      <c r="N565" s="170">
        <f ca="1">IFERROR(__xludf.DUMMYFUNCTION("IMPORTRANGE(""https://docs.google.com/spreadsheets/d/11923uPwbBZFjjGgGUA6NLw09EwE0CqkOc4q9oUmW1yo/edit?usp=sharing"",""กำแพงเพชร!M460"")"),0)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IFERROR(__xludf.DUMMYFUNCTION("IMPORTRANGE(""https://docs.google.com/spreadsheets/d/11923uPwbBZFjjGgGUA6NLw09EwE0CqkOc4q9oUmW1yo/edit?usp=sharing"",""กำแพงเพชร!L461"")"),168000)</f>
        <v>168000</v>
      </c>
      <c r="M566" s="167"/>
      <c r="N566" s="170">
        <f ca="1">IFERROR(__xludf.DUMMYFUNCTION("IMPORTRANGE(""https://docs.google.com/spreadsheets/d/11923uPwbBZFjjGgGUA6NLw09EwE0CqkOc4q9oUmW1yo/edit?usp=sharing"",""กำแพงเพชร!M461"")"),52964.13)</f>
        <v>52964.13</v>
      </c>
      <c r="O566" s="170">
        <f t="shared" ca="1" si="122"/>
        <v>31.526267857142859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IFERROR(__xludf.DUMMYFUNCTION("IMPORTRANGE(""https://docs.google.com/spreadsheets/d/11923uPwbBZFjjGgGUA6NLw09EwE0CqkOc4q9oUmW1yo/edit?usp=sharing"",""กำแพงเพชร!L462"")"),0)</f>
        <v>0</v>
      </c>
      <c r="M567" s="170"/>
      <c r="N567" s="170">
        <f ca="1">IFERROR(__xludf.DUMMYFUNCTION("IMPORTRANGE(""https://docs.google.com/spreadsheets/d/11923uPwbBZFjjGgGUA6NLw09EwE0CqkOc4q9oUmW1yo/edit?usp=sharing"",""กำแพงเพชร!M462"")"),0)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IFERROR(__xludf.DUMMYFUNCTION("IMPORTRANGE(""https://docs.google.com/spreadsheets/d/11923uPwbBZFjjGgGUA6NLw09EwE0CqkOc4q9oUmW1yo/edit?usp=sharing"",""กำแพงเพชร!L463"")"),168000)</f>
        <v>168000</v>
      </c>
      <c r="M568" s="170"/>
      <c r="N568" s="170">
        <f ca="1">IFERROR(__xludf.DUMMYFUNCTION("IMPORTRANGE(""https://docs.google.com/spreadsheets/d/11923uPwbBZFjjGgGUA6NLw09EwE0CqkOc4q9oUmW1yo/edit?usp=sharing"",""กำแพงเพชร!M463"")"),52964.13)</f>
        <v>52964.13</v>
      </c>
      <c r="O568" s="170">
        <f t="shared" ca="1" si="122"/>
        <v>31.526267857142859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IFERROR(__xludf.DUMMYFUNCTION("IMPORTRANGE(""https://docs.google.com/spreadsheets/d/11923uPwbBZFjjGgGUA6NLw09EwE0CqkOc4q9oUmW1yo/edit?usp=sharing"",""กำแพงเพชร!M464"")"),0)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IFERROR(__xludf.DUMMYFUNCTION("IMPORTRANGE(""https://docs.google.com/spreadsheets/d/11923uPwbBZFjjGgGUA6NLw09EwE0CqkOc4q9oUmW1yo/edit?usp=sharing"",""กำแพงเพชร!M465"")"),0)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IFERROR(__xludf.DUMMYFUNCTION("IMPORTRANGE(""https://docs.google.com/spreadsheets/d/11923uPwbBZFjjGgGUA6NLw09EwE0CqkOc4q9oUmW1yo/edit?usp=sharing"",""กำแพงเพชร!M466"")"),40000)</f>
        <v>40000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IFERROR(__xludf.DUMMYFUNCTION("IMPORTRANGE(""https://docs.google.com/spreadsheets/d/11923uPwbBZFjjGgGUA6NLw09EwE0CqkOc4q9oUmW1yo/edit?usp=sharing"",""กำแพงเพชร!M467"")"),12964.13)</f>
        <v>12964.13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IFERROR(__xludf.DUMMYFUNCTION("IMPORTRANGE(""https://docs.google.com/spreadsheets/d/11923uPwbBZFjjGgGUA6NLw09EwE0CqkOc4q9oUmW1yo/edit?usp=sharing"",""กำแพงเพชร!I468"")"),4900)</f>
        <v>4900</v>
      </c>
      <c r="J573" s="422">
        <f ca="1">IFERROR(__xludf.DUMMYFUNCTION("IMPORTRANGE(""https://docs.google.com/spreadsheets/d/11923uPwbBZFjjGgGUA6NLw09EwE0CqkOc4q9oUmW1yo/edit?usp=sharing"",""กำแพงเพชร!J468"")"),2353)</f>
        <v>2353</v>
      </c>
      <c r="K573" s="203">
        <f ca="1">IF(I573&gt;0,J573*100/I573,0)</f>
        <v>48.020408163265309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IFERROR(__xludf.DUMMYFUNCTION("IMPORTRANGE(""https://docs.google.com/spreadsheets/d/11923uPwbBZFjjGgGUA6NLw09EwE0CqkOc4q9oUmW1yo/edit?usp=sharing"",""กำแพงเพชร!I470"")"),0)</f>
        <v>0</v>
      </c>
      <c r="J575" s="199">
        <f ca="1">IFERROR(__xludf.DUMMYFUNCTION("IMPORTRANGE(""https://docs.google.com/spreadsheets/d/11923uPwbBZFjjGgGUA6NLw09EwE0CqkOc4q9oUmW1yo/edit?usp=sharing"",""กำแพงเพชร!J470"")"),3)</f>
        <v>3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IFERROR(__xludf.DUMMYFUNCTION("IMPORTRANGE(""https://docs.google.com/spreadsheets/d/11923uPwbBZFjjGgGUA6NLw09EwE0CqkOc4q9oUmW1yo/edit?usp=sharing"",""กำแพงเพชร!I471"")"),0)</f>
        <v>0</v>
      </c>
      <c r="J576" s="199">
        <f ca="1">IFERROR(__xludf.DUMMYFUNCTION("IMPORTRANGE(""https://docs.google.com/spreadsheets/d/11923uPwbBZFjjGgGUA6NLw09EwE0CqkOc4q9oUmW1yo/edit?usp=sharing"",""กำแพงเพชร!J471"")"),83)</f>
        <v>83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IFERROR(__xludf.DUMMYFUNCTION("IMPORTRANGE(""https://docs.google.com/spreadsheets/d/11923uPwbBZFjjGgGUA6NLw09EwE0CqkOc4q9oUmW1yo/edit?usp=sharing"",""กำแพงเพชร!I472"")"),0)</f>
        <v>0</v>
      </c>
      <c r="J577" s="190">
        <f ca="1">IFERROR(__xludf.DUMMYFUNCTION("IMPORTRANGE(""https://docs.google.com/spreadsheets/d/11923uPwbBZFjjGgGUA6NLw09EwE0CqkOc4q9oUmW1yo/edit?usp=sharing"",""กำแพงเพชร!J472"")"),2270)</f>
        <v>2270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IFERROR(__xludf.DUMMYFUNCTION("IMPORTRANGE(""https://docs.google.com/spreadsheets/d/11923uPwbBZFjjGgGUA6NLw09EwE0CqkOc4q9oUmW1yo/edit?usp=sharing"",""กำแพงเพชร!I473"")"),0)</f>
        <v>0</v>
      </c>
      <c r="J578" s="199">
        <f ca="1">IFERROR(__xludf.DUMMYFUNCTION("IMPORTRANGE(""https://docs.google.com/spreadsheets/d/11923uPwbBZFjjGgGUA6NLw09EwE0CqkOc4q9oUmW1yo/edit?usp=sharing"",""กำแพงเพชร!J473"")"),0)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IFERROR(__xludf.DUMMYFUNCTION("IMPORTRANGE(""https://docs.google.com/spreadsheets/d/11923uPwbBZFjjGgGUA6NLw09EwE0CqkOc4q9oUmW1yo/edit?usp=sharing"",""กำแพงเพชร!I474"")"),0)</f>
        <v>0</v>
      </c>
      <c r="J579" s="199">
        <f ca="1">IFERROR(__xludf.DUMMYFUNCTION("IMPORTRANGE(""https://docs.google.com/spreadsheets/d/11923uPwbBZFjjGgGUA6NLw09EwE0CqkOc4q9oUmW1yo/edit?usp=sharing"",""กำแพงเพชร!J474"")"),0)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IFERROR(__xludf.DUMMYFUNCTION("IMPORTRANGE(""https://docs.google.com/spreadsheets/d/11923uPwbBZFjjGgGUA6NLw09EwE0CqkOc4q9oUmW1yo/edit?usp=sharing"",""กำแพงเพชร!I475"")"),500)</f>
        <v>500</v>
      </c>
      <c r="J580" s="372">
        <f ca="1">IFERROR(__xludf.DUMMYFUNCTION("IMPORTRANGE(""https://docs.google.com/spreadsheets/d/11923uPwbBZFjjGgGUA6NLw09EwE0CqkOc4q9oUmW1yo/edit?usp=sharing"",""กำแพงเพชร!J475"")"),0)</f>
        <v>0</v>
      </c>
      <c r="K580" s="373">
        <f ca="1">IF(I580&gt;0,J580*100/I580,0)</f>
        <v>0</v>
      </c>
      <c r="L580" s="374">
        <f ca="1">IFERROR(__xludf.DUMMYFUNCTION("IMPORTRANGE(""https://docs.google.com/spreadsheets/d/11923uPwbBZFjjGgGUA6NLw09EwE0CqkOc4q9oUmW1yo/edit?usp=sharing"",""กำแพงเพชร!L475"")"),395350)</f>
        <v>395350</v>
      </c>
      <c r="M580" s="374"/>
      <c r="N580" s="374">
        <f ca="1">IFERROR(__xludf.DUMMYFUNCTION("IMPORTRANGE(""https://docs.google.com/spreadsheets/d/11923uPwbBZFjjGgGUA6NLw09EwE0CqkOc4q9oUmW1yo/edit?usp=sharing"",""กำแพงเพชร!M475"")"),0)</f>
        <v>0</v>
      </c>
      <c r="O580" s="374">
        <f t="shared" ref="O580:O584" ca="1" si="124">+IF(L580&gt;0,N580*100/L580,0)</f>
        <v>0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IFERROR(__xludf.DUMMYFUNCTION("IMPORTRANGE(""https://docs.google.com/spreadsheets/d/11923uPwbBZFjjGgGUA6NLw09EwE0CqkOc4q9oUmW1yo/edit?usp=sharing"",""กำแพงเพชร!L476"")"),0)</f>
        <v>0</v>
      </c>
      <c r="M581" s="166"/>
      <c r="N581" s="170">
        <f ca="1">IFERROR(__xludf.DUMMYFUNCTION("IMPORTRANGE(""https://docs.google.com/spreadsheets/d/11923uPwbBZFjjGgGUA6NLw09EwE0CqkOc4q9oUmW1yo/edit?usp=sharing"",""กำแพงเพชร!M476"")"),0)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IFERROR(__xludf.DUMMYFUNCTION("IMPORTRANGE(""https://docs.google.com/spreadsheets/d/11923uPwbBZFjjGgGUA6NLw09EwE0CqkOc4q9oUmW1yo/edit?usp=sharing"",""กำแพงเพชร!L477"")"),395350)</f>
        <v>395350</v>
      </c>
      <c r="M582" s="167"/>
      <c r="N582" s="170">
        <f ca="1">IFERROR(__xludf.DUMMYFUNCTION("IMPORTRANGE(""https://docs.google.com/spreadsheets/d/11923uPwbBZFjjGgGUA6NLw09EwE0CqkOc4q9oUmW1yo/edit?usp=sharing"",""กำแพงเพชร!M477"")"),0)</f>
        <v>0</v>
      </c>
      <c r="O582" s="170">
        <f t="shared" ca="1" si="124"/>
        <v>0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IFERROR(__xludf.DUMMYFUNCTION("IMPORTRANGE(""https://docs.google.com/spreadsheets/d/11923uPwbBZFjjGgGUA6NLw09EwE0CqkOc4q9oUmW1yo/edit?usp=sharing"",""กำแพงเพชร!L478"")"),0)</f>
        <v>0</v>
      </c>
      <c r="M583" s="170"/>
      <c r="N583" s="170">
        <f ca="1">IFERROR(__xludf.DUMMYFUNCTION("IMPORTRANGE(""https://docs.google.com/spreadsheets/d/11923uPwbBZFjjGgGUA6NLw09EwE0CqkOc4q9oUmW1yo/edit?usp=sharing"",""กำแพงเพชร!M478"")"),0)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IFERROR(__xludf.DUMMYFUNCTION("IMPORTRANGE(""https://docs.google.com/spreadsheets/d/11923uPwbBZFjjGgGUA6NLw09EwE0CqkOc4q9oUmW1yo/edit?usp=sharing"",""กำแพงเพชร!L479"")"),395350)</f>
        <v>395350</v>
      </c>
      <c r="M584" s="170"/>
      <c r="N584" s="170">
        <f ca="1">IFERROR(__xludf.DUMMYFUNCTION("IMPORTRANGE(""https://docs.google.com/spreadsheets/d/11923uPwbBZFjjGgGUA6NLw09EwE0CqkOc4q9oUmW1yo/edit?usp=sharing"",""กำแพงเพชร!M479"")"),0)</f>
        <v>0</v>
      </c>
      <c r="O584" s="170">
        <f t="shared" ca="1" si="124"/>
        <v>0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IFERROR(__xludf.DUMMYFUNCTION("IMPORTRANGE(""https://docs.google.com/spreadsheets/d/11923uPwbBZFjjGgGUA6NLw09EwE0CqkOc4q9oUmW1yo/edit?usp=sharing"",""กำแพงเพชร!M480"")"),0)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IFERROR(__xludf.DUMMYFUNCTION("IMPORTRANGE(""https://docs.google.com/spreadsheets/d/11923uPwbBZFjjGgGUA6NLw09EwE0CqkOc4q9oUmW1yo/edit?usp=sharing"",""กำแพงเพชร!M481"")"),0)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IFERROR(__xludf.DUMMYFUNCTION("IMPORTRANGE(""https://docs.google.com/spreadsheets/d/11923uPwbBZFjjGgGUA6NLw09EwE0CqkOc4q9oUmW1yo/edit?usp=sharing"",""กำแพงเพชร!M482"")"),0)</f>
        <v>0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IFERROR(__xludf.DUMMYFUNCTION("IMPORTRANGE(""https://docs.google.com/spreadsheets/d/11923uPwbBZFjjGgGUA6NLw09EwE0CqkOc4q9oUmW1yo/edit?usp=sharing"",""กำแพงเพชร!M483"")"),0)</f>
        <v>0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IFERROR(__xludf.DUMMYFUNCTION("IMPORTRANGE(""https://docs.google.com/spreadsheets/d/11923uPwbBZFjjGgGUA6NLw09EwE0CqkOc4q9oUmW1yo/edit?usp=sharing"",""กำแพงเพชร!I484"")"),500)</f>
        <v>500</v>
      </c>
      <c r="J589" s="189">
        <f ca="1">IFERROR(__xludf.DUMMYFUNCTION("IMPORTRANGE(""https://docs.google.com/spreadsheets/d/11923uPwbBZFjjGgGUA6NLw09EwE0CqkOc4q9oUmW1yo/edit?usp=sharing"",""กำแพงเพชร!J484"")"),26)</f>
        <v>26</v>
      </c>
      <c r="K589" s="165">
        <f t="shared" ref="K589:K596" ca="1" si="125">IF(I589&gt;0,J589*100/I589,0)</f>
        <v>5.2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IFERROR(__xludf.DUMMYFUNCTION("IMPORTRANGE(""https://docs.google.com/spreadsheets/d/11923uPwbBZFjjGgGUA6NLw09EwE0CqkOc4q9oUmW1yo/edit?usp=sharing"",""กำแพงเพชร!I485"")"),0)</f>
        <v>0</v>
      </c>
      <c r="J590" s="189">
        <f ca="1">IFERROR(__xludf.DUMMYFUNCTION("IMPORTRANGE(""https://docs.google.com/spreadsheets/d/11923uPwbBZFjjGgGUA6NLw09EwE0CqkOc4q9oUmW1yo/edit?usp=sharing"",""กำแพงเพชร!J485"")"),34.53)</f>
        <v>34.53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IFERROR(__xludf.DUMMYFUNCTION("IMPORTRANGE(""https://docs.google.com/spreadsheets/d/11923uPwbBZFjjGgGUA6NLw09EwE0CqkOc4q9oUmW1yo/edit?usp=sharing"",""กำแพงเพชร!I486"")"),500)</f>
        <v>500</v>
      </c>
      <c r="J591" s="189">
        <f ca="1">IFERROR(__xludf.DUMMYFUNCTION("IMPORTRANGE(""https://docs.google.com/spreadsheets/d/11923uPwbBZFjjGgGUA6NLw09EwE0CqkOc4q9oUmW1yo/edit?usp=sharing"",""กำแพงเพชร!J486"")"),0)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IFERROR(__xludf.DUMMYFUNCTION("IMPORTRANGE(""https://docs.google.com/spreadsheets/d/11923uPwbBZFjjGgGUA6NLw09EwE0CqkOc4q9oUmW1yo/edit?usp=sharing"",""กำแพงเพชร!I487"")"),0)</f>
        <v>0</v>
      </c>
      <c r="J592" s="189">
        <f ca="1">IFERROR(__xludf.DUMMYFUNCTION("IMPORTRANGE(""https://docs.google.com/spreadsheets/d/11923uPwbBZFjjGgGUA6NLw09EwE0CqkOc4q9oUmW1yo/edit?usp=sharing"",""กำแพงเพชร!J487"")"),0)</f>
        <v>0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IFERROR(__xludf.DUMMYFUNCTION("IMPORTRANGE(""https://docs.google.com/spreadsheets/d/11923uPwbBZFjjGgGUA6NLw09EwE0CqkOc4q9oUmW1yo/edit?usp=sharing"",""กำแพงเพชร!I488"")"),500)</f>
        <v>500</v>
      </c>
      <c r="J593" s="189">
        <f ca="1">IFERROR(__xludf.DUMMYFUNCTION("IMPORTRANGE(""https://docs.google.com/spreadsheets/d/11923uPwbBZFjjGgGUA6NLw09EwE0CqkOc4q9oUmW1yo/edit?usp=sharing"",""กำแพงเพชร!J488"")"),0)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IFERROR(__xludf.DUMMYFUNCTION("IMPORTRANGE(""https://docs.google.com/spreadsheets/d/11923uPwbBZFjjGgGUA6NLw09EwE0CqkOc4q9oUmW1yo/edit?usp=sharing"",""กำแพงเพชร!I489"")"),0)</f>
        <v>0</v>
      </c>
      <c r="J594" s="189">
        <f ca="1">IFERROR(__xludf.DUMMYFUNCTION("IMPORTRANGE(""https://docs.google.com/spreadsheets/d/11923uPwbBZFjjGgGUA6NLw09EwE0CqkOc4q9oUmW1yo/edit?usp=sharing"",""กำแพงเพชร!J489"")"),0)</f>
        <v>0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IFERROR(__xludf.DUMMYFUNCTION("IMPORTRANGE(""https://docs.google.com/spreadsheets/d/11923uPwbBZFjjGgGUA6NLw09EwE0CqkOc4q9oUmW1yo/edit?usp=sharing"",""กำแพงเพชร!I490"")"),500)</f>
        <v>500</v>
      </c>
      <c r="J595" s="189">
        <f ca="1">IFERROR(__xludf.DUMMYFUNCTION("IMPORTRANGE(""https://docs.google.com/spreadsheets/d/11923uPwbBZFjjGgGUA6NLw09EwE0CqkOc4q9oUmW1yo/edit?usp=sharing"",""กำแพงเพชร!J490"")"),0)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IFERROR(__xludf.DUMMYFUNCTION("IMPORTRANGE(""https://docs.google.com/spreadsheets/d/11923uPwbBZFjjGgGUA6NLw09EwE0CqkOc4q9oUmW1yo/edit?usp=sharing"",""กำแพงเพชร!I491"")"),0)</f>
        <v>0</v>
      </c>
      <c r="J596" s="242">
        <f ca="1">IFERROR(__xludf.DUMMYFUNCTION("IMPORTRANGE(""https://docs.google.com/spreadsheets/d/11923uPwbBZFjjGgGUA6NLw09EwE0CqkOc4q9oUmW1yo/edit?usp=sharing"",""กำแพงเพชร!J491"")"),0)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IFERROR(__xludf.DUMMYFUNCTION("IMPORTRANGE(""https://docs.google.com/spreadsheets/d/11923uPwbBZFjjGgGUA6NLw09EwE0CqkOc4q9oUmW1yo/edit?usp=sharing"",""กำแพงเพชร!I492"")"),100)</f>
        <v>100</v>
      </c>
      <c r="J597" s="489">
        <f ca="1">IFERROR(__xludf.DUMMYFUNCTION("IMPORTRANGE(""https://docs.google.com/spreadsheets/d/11923uPwbBZFjjGgGUA6NLw09EwE0CqkOc4q9oUmW1yo/edit?usp=sharing"",""กำแพงเพชร!J492"")"),0)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IFERROR(__xludf.DUMMYFUNCTION("IMPORTRANGE(""https://docs.google.com/spreadsheets/d/11923uPwbBZFjjGgGUA6NLw09EwE0CqkOc4q9oUmW1yo/edit?usp=sharing"",""กำแพงเพชร!L492"")"),8900)</f>
        <v>8900</v>
      </c>
      <c r="M597" s="413"/>
      <c r="N597" s="413">
        <f ca="1">IFERROR(__xludf.DUMMYFUNCTION("IMPORTRANGE(""https://docs.google.com/spreadsheets/d/11923uPwbBZFjjGgGUA6NLw09EwE0CqkOc4q9oUmW1yo/edit?usp=sharing"",""กำแพงเพชร!M492"")"),1200)</f>
        <v>1200</v>
      </c>
      <c r="O597" s="413">
        <f t="shared" ref="O597:O601" ca="1" si="126">+IF(L597&gt;0,N597*100/L597,0)</f>
        <v>13.48314606741573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IFERROR(__xludf.DUMMYFUNCTION("IMPORTRANGE(""https://docs.google.com/spreadsheets/d/11923uPwbBZFjjGgGUA6NLw09EwE0CqkOc4q9oUmW1yo/edit?usp=sharing"",""กำแพงเพชร!L493"")"),0)</f>
        <v>0</v>
      </c>
      <c r="M598" s="166"/>
      <c r="N598" s="170">
        <f ca="1">IFERROR(__xludf.DUMMYFUNCTION("IMPORTRANGE(""https://docs.google.com/spreadsheets/d/11923uPwbBZFjjGgGUA6NLw09EwE0CqkOc4q9oUmW1yo/edit?usp=sharing"",""กำแพงเพชร!M493"")"),0)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IFERROR(__xludf.DUMMYFUNCTION("IMPORTRANGE(""https://docs.google.com/spreadsheets/d/11923uPwbBZFjjGgGUA6NLw09EwE0CqkOc4q9oUmW1yo/edit?usp=sharing"",""กำแพงเพชร!L494"")"),8900)</f>
        <v>8900</v>
      </c>
      <c r="M599" s="167"/>
      <c r="N599" s="170">
        <f ca="1">IFERROR(__xludf.DUMMYFUNCTION("IMPORTRANGE(""https://docs.google.com/spreadsheets/d/11923uPwbBZFjjGgGUA6NLw09EwE0CqkOc4q9oUmW1yo/edit?usp=sharing"",""กำแพงเพชร!M494"")"),1200)</f>
        <v>1200</v>
      </c>
      <c r="O599" s="170">
        <f t="shared" ca="1" si="126"/>
        <v>13.48314606741573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IFERROR(__xludf.DUMMYFUNCTION("IMPORTRANGE(""https://docs.google.com/spreadsheets/d/11923uPwbBZFjjGgGUA6NLw09EwE0CqkOc4q9oUmW1yo/edit?usp=sharing"",""กำแพงเพชร!L495"")"),0)</f>
        <v>0</v>
      </c>
      <c r="M600" s="170"/>
      <c r="N600" s="170">
        <f ca="1">IFERROR(__xludf.DUMMYFUNCTION("IMPORTRANGE(""https://docs.google.com/spreadsheets/d/11923uPwbBZFjjGgGUA6NLw09EwE0CqkOc4q9oUmW1yo/edit?usp=sharing"",""กำแพงเพชร!M495"")"),0)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IFERROR(__xludf.DUMMYFUNCTION("IMPORTRANGE(""https://docs.google.com/spreadsheets/d/11923uPwbBZFjjGgGUA6NLw09EwE0CqkOc4q9oUmW1yo/edit?usp=sharing"",""กำแพงเพชร!L496"")"),8900)</f>
        <v>8900</v>
      </c>
      <c r="M601" s="170"/>
      <c r="N601" s="170">
        <f ca="1">IFERROR(__xludf.DUMMYFUNCTION("IMPORTRANGE(""https://docs.google.com/spreadsheets/d/11923uPwbBZFjjGgGUA6NLw09EwE0CqkOc4q9oUmW1yo/edit?usp=sharing"",""กำแพงเพชร!M496"")"),1200)</f>
        <v>1200</v>
      </c>
      <c r="O601" s="170">
        <f t="shared" ca="1" si="126"/>
        <v>13.48314606741573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IFERROR(__xludf.DUMMYFUNCTION("IMPORTRANGE(""https://docs.google.com/spreadsheets/d/11923uPwbBZFjjGgGUA6NLw09EwE0CqkOc4q9oUmW1yo/edit?usp=sharing"",""กำแพงเพชร!M497"")"),0)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IFERROR(__xludf.DUMMYFUNCTION("IMPORTRANGE(""https://docs.google.com/spreadsheets/d/11923uPwbBZFjjGgGUA6NLw09EwE0CqkOc4q9oUmW1yo/edit?usp=sharing"",""กำแพงเพชร!M498"")"),0)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IFERROR(__xludf.DUMMYFUNCTION("IMPORTRANGE(""https://docs.google.com/spreadsheets/d/11923uPwbBZFjjGgGUA6NLw09EwE0CqkOc4q9oUmW1yo/edit?usp=sharing"",""กำแพงเพชร!M499"")"),1200)</f>
        <v>1200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IFERROR(__xludf.DUMMYFUNCTION("IMPORTRANGE(""https://docs.google.com/spreadsheets/d/11923uPwbBZFjjGgGUA6NLw09EwE0CqkOc4q9oUmW1yo/edit?usp=sharing"",""กำแพงเพชร!M500"")"),0)</f>
        <v>0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IFERROR(__xludf.DUMMYFUNCTION("IMPORTRANGE(""https://docs.google.com/spreadsheets/d/11923uPwbBZFjjGgGUA6NLw09EwE0CqkOc4q9oUmW1yo/edit?usp=sharing"",""กำแพงเพชร!J502"")"),0)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IFERROR(__xludf.DUMMYFUNCTION("IMPORTRANGE(""https://docs.google.com/spreadsheets/d/11923uPwbBZFjjGgGUA6NLw09EwE0CqkOc4q9oUmW1yo/edit?usp=sharing"",""กำแพงเพชร!J503"")"),1)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IFERROR(__xludf.DUMMYFUNCTION("IMPORTRANGE(""https://docs.google.com/spreadsheets/d/11923uPwbBZFjjGgGUA6NLw09EwE0CqkOc4q9oUmW1yo/edit?usp=sharing"",""กำแพงเพชร!J166"")"),0)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IFERROR(__xludf.DUMMYFUNCTION("IMPORTRANGE(""https://docs.google.com/spreadsheets/d/11923uPwbBZFjjGgGUA6NLw09EwE0CqkOc4q9oUmW1yo/edit?usp=sharing"",""กำแพงเพชร!J166"")"),0)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IFERROR(__xludf.DUMMYFUNCTION("IMPORTRANGE(""https://docs.google.com/spreadsheets/d/11923uPwbBZFjjGgGUA6NLw09EwE0CqkOc4q9oUmW1yo/edit?usp=sharing"",""กำแพงเพชร!I506"")"),100)</f>
        <v>100</v>
      </c>
      <c r="J611" s="164">
        <f ca="1">IFERROR(__xludf.DUMMYFUNCTION("IMPORTRANGE(""https://docs.google.com/spreadsheets/d/11923uPwbBZFjjGgGUA6NLw09EwE0CqkOc4q9oUmW1yo/edit?usp=sharing"",""กำแพงเพชร!J506"")"),0)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IFERROR(__xludf.DUMMYFUNCTION("IMPORTRANGE(""https://docs.google.com/spreadsheets/d/11923uPwbBZFjjGgGUA6NLw09EwE0CqkOc4q9oUmW1yo/edit?usp=sharing"",""กำแพงเพชร!I507"")"),0)</f>
        <v>0</v>
      </c>
      <c r="J612" s="199">
        <f ca="1">IFERROR(__xludf.DUMMYFUNCTION("IMPORTRANGE(""https://docs.google.com/spreadsheets/d/11923uPwbBZFjjGgGUA6NLw09EwE0CqkOc4q9oUmW1yo/edit?usp=sharing"",""กำแพงเพชร!J507"")"),0)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IFERROR(__xludf.DUMMYFUNCTION("IMPORTRANGE(""https://docs.google.com/spreadsheets/d/11923uPwbBZFjjGgGUA6NLw09EwE0CqkOc4q9oUmW1yo/edit?usp=sharing"",""กำแพงเพชร!I508"")"),0)</f>
        <v>0</v>
      </c>
      <c r="J613" s="199">
        <f ca="1">IFERROR(__xludf.DUMMYFUNCTION("IMPORTRANGE(""https://docs.google.com/spreadsheets/d/11923uPwbBZFjjGgGUA6NLw09EwE0CqkOc4q9oUmW1yo/edit?usp=sharing"",""กำแพงเพชร!J508"")"),0)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IFERROR(__xludf.DUMMYFUNCTION("IMPORTRANGE(""https://docs.google.com/spreadsheets/d/11923uPwbBZFjjGgGUA6NLw09EwE0CqkOc4q9oUmW1yo/edit?usp=sharing"",""กำแพงเพชร!I509"")"),0)</f>
        <v>0</v>
      </c>
      <c r="J614" s="199">
        <f ca="1">IFERROR(__xludf.DUMMYFUNCTION("IMPORTRANGE(""https://docs.google.com/spreadsheets/d/11923uPwbBZFjjGgGUA6NLw09EwE0CqkOc4q9oUmW1yo/edit?usp=sharing"",""กำแพงเพชร!J509"")"),0)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IFERROR(__xludf.DUMMYFUNCTION("IMPORTRANGE(""https://docs.google.com/spreadsheets/d/11923uPwbBZFjjGgGUA6NLw09EwE0CqkOc4q9oUmW1yo/edit?usp=sharing"",""กำแพงเพชร!I510"")"),0)</f>
        <v>0</v>
      </c>
      <c r="J615" s="199">
        <f ca="1">IFERROR(__xludf.DUMMYFUNCTION("IMPORTRANGE(""https://docs.google.com/spreadsheets/d/11923uPwbBZFjjGgGUA6NLw09EwE0CqkOc4q9oUmW1yo/edit?usp=sharing"",""กำแพงเพชร!J510"")"),0)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IFERROR(__xludf.DUMMYFUNCTION("IMPORTRANGE(""https://docs.google.com/spreadsheets/d/11923uPwbBZFjjGgGUA6NLw09EwE0CqkOc4q9oUmW1yo/edit?usp=sharing"",""กำแพงเพชร!I511"")"),0)</f>
        <v>0</v>
      </c>
      <c r="J616" s="199">
        <f ca="1">IFERROR(__xludf.DUMMYFUNCTION("IMPORTRANGE(""https://docs.google.com/spreadsheets/d/11923uPwbBZFjjGgGUA6NLw09EwE0CqkOc4q9oUmW1yo/edit?usp=sharing"",""กำแพงเพชร!J511"")"),0)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IFERROR(__xludf.DUMMYFUNCTION("IMPORTRANGE(""https://docs.google.com/spreadsheets/d/11923uPwbBZFjjGgGUA6NLw09EwE0CqkOc4q9oUmW1yo/edit?usp=sharing"",""กำแพงเพชร!I512"")"),0)</f>
        <v>0</v>
      </c>
      <c r="J617" s="189">
        <f ca="1">IFERROR(__xludf.DUMMYFUNCTION("IMPORTRANGE(""https://docs.google.com/spreadsheets/d/11923uPwbBZFjjGgGUA6NLw09EwE0CqkOc4q9oUmW1yo/edit?usp=sharing"",""กำแพงเพชร!J512"")"),0)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IFERROR(__xludf.DUMMYFUNCTION("IMPORTRANGE(""https://docs.google.com/spreadsheets/d/11923uPwbBZFjjGgGUA6NLw09EwE0CqkOc4q9oUmW1yo/edit?usp=sharing"",""กำแพงเพชร!I513"")"),0)</f>
        <v>0</v>
      </c>
      <c r="J618" s="190">
        <f ca="1">IFERROR(__xludf.DUMMYFUNCTION("IMPORTRANGE(""https://docs.google.com/spreadsheets/d/11923uPwbBZFjjGgGUA6NLw09EwE0CqkOc4q9oUmW1yo/edit?usp=sharing"",""กำแพงเพชร!J513"")"),0)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IFERROR(__xludf.DUMMYFUNCTION("IMPORTRANGE(""https://docs.google.com/spreadsheets/d/11923uPwbBZFjjGgGUA6NLw09EwE0CqkOc4q9oUmW1yo/edit?usp=sharing"",""กำแพงเพชร!I514"")"),0)</f>
        <v>0</v>
      </c>
      <c r="J619" s="190">
        <f ca="1">IFERROR(__xludf.DUMMYFUNCTION("IMPORTRANGE(""https://docs.google.com/spreadsheets/d/11923uPwbBZFjjGgGUA6NLw09EwE0CqkOc4q9oUmW1yo/edit?usp=sharing"",""กำแพงเพชร!J514"")"),0)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IFERROR(__xludf.DUMMYFUNCTION("IMPORTRANGE(""https://docs.google.com/spreadsheets/d/11923uPwbBZFjjGgGUA6NLw09EwE0CqkOc4q9oUmW1yo/edit?usp=sharing"",""กำแพงเพชร!I515"")"),0)</f>
        <v>0</v>
      </c>
      <c r="J620" s="204">
        <f ca="1">IFERROR(__xludf.DUMMYFUNCTION("IMPORTRANGE(""https://docs.google.com/spreadsheets/d/11923uPwbBZFjjGgGUA6NLw09EwE0CqkOc4q9oUmW1yo/edit?usp=sharing"",""กำแพงเพชร!J515"")"),0)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IFERROR(__xludf.DUMMYFUNCTION("IMPORTRANGE(""https://docs.google.com/spreadsheets/d/11923uPwbBZFjjGgGUA6NLw09EwE0CqkOc4q9oUmW1yo/edit?usp=sharing"",""กำแพงเพชร!I516"")"),0)</f>
        <v>0</v>
      </c>
      <c r="J621" s="204">
        <f ca="1">IFERROR(__xludf.DUMMYFUNCTION("IMPORTRANGE(""https://docs.google.com/spreadsheets/d/11923uPwbBZFjjGgGUA6NLw09EwE0CqkOc4q9oUmW1yo/edit?usp=sharing"",""กำแพงเพชร!J516"")"),0)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IFERROR(__xludf.DUMMYFUNCTION("IMPORTRANGE(""https://docs.google.com/spreadsheets/d/11923uPwbBZFjjGgGUA6NLw09EwE0CqkOc4q9oUmW1yo/edit?usp=sharing"",""กำแพงเพชร!I517"")"),0)</f>
        <v>0</v>
      </c>
      <c r="J622" s="190">
        <f ca="1">IFERROR(__xludf.DUMMYFUNCTION("IMPORTRANGE(""https://docs.google.com/spreadsheets/d/11923uPwbBZFjjGgGUA6NLw09EwE0CqkOc4q9oUmW1yo/edit?usp=sharing"",""กำแพงเพชร!J517"")"),0)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IFERROR(__xludf.DUMMYFUNCTION("IMPORTRANGE(""https://docs.google.com/spreadsheets/d/11923uPwbBZFjjGgGUA6NLw09EwE0CqkOc4q9oUmW1yo/edit?usp=sharing"",""กำแพงเพชร!I518"")"),0)</f>
        <v>0</v>
      </c>
      <c r="J623" s="190">
        <f ca="1">IFERROR(__xludf.DUMMYFUNCTION("IMPORTRANGE(""https://docs.google.com/spreadsheets/d/11923uPwbBZFjjGgGUA6NLw09EwE0CqkOc4q9oUmW1yo/edit?usp=sharing"",""กำแพงเพชร!J518"")"),0)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IFERROR(__xludf.DUMMYFUNCTION("IMPORTRANGE(""https://docs.google.com/spreadsheets/d/11923uPwbBZFjjGgGUA6NLw09EwE0CqkOc4q9oUmW1yo/edit?usp=sharing"",""กำแพงเพชร!I519"")"),0)</f>
        <v>0</v>
      </c>
      <c r="J624" s="189">
        <f ca="1">IFERROR(__xludf.DUMMYFUNCTION("IMPORTRANGE(""https://docs.google.com/spreadsheets/d/11923uPwbBZFjjGgGUA6NLw09EwE0CqkOc4q9oUmW1yo/edit?usp=sharing"",""กำแพงเพชร!J519"")"),0)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IFERROR(__xludf.DUMMYFUNCTION("IMPORTRANGE(""https://docs.google.com/spreadsheets/d/11923uPwbBZFjjGgGUA6NLw09EwE0CqkOc4q9oUmW1yo/edit?usp=sharing"",""กำแพงเพชร!I520"")"),0)</f>
        <v>0</v>
      </c>
      <c r="J625" s="190">
        <f ca="1">IFERROR(__xludf.DUMMYFUNCTION("IMPORTRANGE(""https://docs.google.com/spreadsheets/d/11923uPwbBZFjjGgGUA6NLw09EwE0CqkOc4q9oUmW1yo/edit?usp=sharing"",""กำแพงเพชร!J520"")"),0)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IFERROR(__xludf.DUMMYFUNCTION("IMPORTRANGE(""https://docs.google.com/spreadsheets/d/11923uPwbBZFjjGgGUA6NLw09EwE0CqkOc4q9oUmW1yo/edit?usp=sharing"",""กำแพงเพชร!I521"")"),0)</f>
        <v>0</v>
      </c>
      <c r="J626" s="190">
        <f ca="1">IFERROR(__xludf.DUMMYFUNCTION("IMPORTRANGE(""https://docs.google.com/spreadsheets/d/11923uPwbBZFjjGgGUA6NLw09EwE0CqkOc4q9oUmW1yo/edit?usp=sharing"",""กำแพงเพชร!J521"")"),0)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IFERROR(__xludf.DUMMYFUNCTION("IMPORTRANGE(""https://docs.google.com/spreadsheets/d/11923uPwbBZFjjGgGUA6NLw09EwE0CqkOc4q9oUmW1yo/edit?usp=sharing"",""กำแพงเพชร!I523"")"),5000000)</f>
        <v>5000000</v>
      </c>
      <c r="J628" s="342">
        <f ca="1">IFERROR(__xludf.DUMMYFUNCTION("IMPORTRANGE(""https://docs.google.com/spreadsheets/d/11923uPwbBZFjjGgGUA6NLw09EwE0CqkOc4q9oUmW1yo/edit?usp=sharing"",""กำแพงเพชร!J523"")"),540000)</f>
        <v>540000</v>
      </c>
      <c r="K628" s="343">
        <f t="shared" ref="K628:K635" ca="1" si="129">IF(I628&gt;0,J628*100/I628,0)</f>
        <v>10.8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IFERROR(__xludf.DUMMYFUNCTION("IMPORTRANGE(""https://docs.google.com/spreadsheets/d/11923uPwbBZFjjGgGUA6NLw09EwE0CqkOc4q9oUmW1yo/edit?usp=sharing"",""กำแพงเพชร!I524"")"),161)</f>
        <v>161</v>
      </c>
      <c r="J629" s="342">
        <f ca="1">IFERROR(__xludf.DUMMYFUNCTION("IMPORTRANGE(""https://docs.google.com/spreadsheets/d/11923uPwbBZFjjGgGUA6NLw09EwE0CqkOc4q9oUmW1yo/edit?usp=sharing"",""กำแพงเพชร!J524"")"),18)</f>
        <v>18</v>
      </c>
      <c r="K629" s="343">
        <f t="shared" ca="1" si="129"/>
        <v>11.180124223602485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42">
        <f ca="1">IFERROR(__xludf.DUMMYFUNCTION("IMPORTRANGE(""https://docs.google.com/spreadsheets/d/11923uPwbBZFjjGgGUA6NLw09EwE0CqkOc4q9oUmW1yo/edit?usp=sharing"",""กำแพงเพชร!J525"")"),923825.83)</f>
        <v>923825.83</v>
      </c>
      <c r="K630" s="343">
        <f t="shared" ca="1" si="129"/>
        <v>18.588283450020377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IFERROR(__xludf.DUMMYFUNCTION("IMPORTRANGE(""https://docs.google.com/spreadsheets/d/11923uPwbBZFjjGgGUA6NLw09EwE0CqkOc4q9oUmW1yo/edit?usp=sharing"",""กำแพงเพชร!I526"")"),126)</f>
        <v>126</v>
      </c>
      <c r="J631" s="342">
        <f ca="1">IFERROR(__xludf.DUMMYFUNCTION("IMPORTRANGE(""https://docs.google.com/spreadsheets/d/11923uPwbBZFjjGgGUA6NLw09EwE0CqkOc4q9oUmW1yo/edit?usp=sharing"",""กำแพงเพชร!J526"")"),48)</f>
        <v>48</v>
      </c>
      <c r="K631" s="343">
        <f t="shared" ca="1" si="129"/>
        <v>38.095238095238095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42">
        <f ca="1">IFERROR(__xludf.DUMMYFUNCTION("IMPORTRANGE(""https://docs.google.com/spreadsheets/d/11923uPwbBZFjjGgGUA6NLw09EwE0CqkOc4q9oUmW1yo/edit?usp=sharing"",""กำแพงเพชร!J527"")"),952781.66)</f>
        <v>952781.66</v>
      </c>
      <c r="K632" s="343">
        <f t="shared" ca="1" si="129"/>
        <v>37.789149422969643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IFERROR(__xludf.DUMMYFUNCTION("IMPORTRANGE(""https://docs.google.com/spreadsheets/d/11923uPwbBZFjjGgGUA6NLw09EwE0CqkOc4q9oUmW1yo/edit?usp=sharing"",""กำแพงเพชร!I528"")"),293)</f>
        <v>293</v>
      </c>
      <c r="J633" s="342">
        <f ca="1">IFERROR(__xludf.DUMMYFUNCTION("IMPORTRANGE(""https://docs.google.com/spreadsheets/d/11923uPwbBZFjjGgGUA6NLw09EwE0CqkOc4q9oUmW1yo/edit?usp=sharing"",""กำแพงเพชร!J528"")"),175)</f>
        <v>175</v>
      </c>
      <c r="K633" s="343">
        <f t="shared" ca="1" si="129"/>
        <v>59.726962457337883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IFERROR(__xludf.DUMMYFUNCTION("IMPORTRANGE(""https://docs.google.com/spreadsheets/d/11923uPwbBZFjjGgGUA6NLw09EwE0CqkOc4q9oUmW1yo/edit?usp=sharing"",""กำแพงเพชร!I529"")"),5000000)</f>
        <v>5000000</v>
      </c>
      <c r="J634" s="342">
        <f ca="1">IFERROR(__xludf.DUMMYFUNCTION("IMPORTRANGE(""https://docs.google.com/spreadsheets/d/11923uPwbBZFjjGgGUA6NLw09EwE0CqkOc4q9oUmW1yo/edit?usp=sharing"",""กำแพงเพชร!J529"")"),2400000)</f>
        <v>2400000</v>
      </c>
      <c r="K634" s="343">
        <f t="shared" ca="1" si="129"/>
        <v>48</v>
      </c>
      <c r="L634" s="343"/>
      <c r="M634" s="343"/>
      <c r="N634" s="343"/>
      <c r="O634" s="170"/>
      <c r="P634" s="170"/>
    </row>
    <row r="635" spans="1:16" ht="21.75" customHeight="1">
      <c r="A635" s="558"/>
      <c r="B635" s="559"/>
      <c r="C635" s="559"/>
      <c r="D635" s="560"/>
      <c r="E635" s="561"/>
      <c r="F635" s="561"/>
      <c r="G635" s="562"/>
      <c r="H635" s="505" t="s">
        <v>37</v>
      </c>
      <c r="I635" s="506">
        <f ca="1">IFERROR(__xludf.DUMMYFUNCTION("IMPORTRANGE(""https://docs.google.com/spreadsheets/d/11923uPwbBZFjjGgGUA6NLw09EwE0CqkOc4q9oUmW1yo/edit?usp=sharing"",""กำแพงเพชร!I530"")"),164)</f>
        <v>164</v>
      </c>
      <c r="J635" s="506">
        <f ca="1">IFERROR(__xludf.DUMMYFUNCTION("IMPORTRANGE(""https://docs.google.com/spreadsheets/d/11923uPwbBZFjjGgGUA6NLw09EwE0CqkOc4q9oUmW1yo/edit?usp=sharing"",""กำแพงเพชร!J530"")"),80)</f>
        <v>80</v>
      </c>
      <c r="K635" s="488">
        <f t="shared" ca="1" si="129"/>
        <v>48.780487804878049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IFERROR(__xludf.DUMMYFUNCTION("IMPORTRANGE(""https://docs.google.com/spreadsheets/d/11923uPwbBZFjjGgGUA6NLw09EwE0CqkOc4q9oUmW1yo/edit?usp=sharing"",""กำแพงเพชร!J541"")"),0)</f>
        <v>0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IFERROR(__xludf.DUMMYFUNCTION("IMPORTRANGE(""https://docs.google.com/spreadsheets/d/11923uPwbBZFjjGgGUA6NLw09EwE0CqkOc4q9oUmW1yo/edit?usp=sharing"",""กำแพงเพชร!J542"")"),0)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IFERROR(__xludf.DUMMYFUNCTION("IMPORTRANGE(""https://docs.google.com/spreadsheets/d/11923uPwbBZFjjGgGUA6NLw09EwE0CqkOc4q9oUmW1yo/edit?usp=sharing"",""กำแพงเพชร!I543"")"),0)</f>
        <v>0</v>
      </c>
      <c r="J648" s="537">
        <f ca="1">IFERROR(__xludf.DUMMYFUNCTION("IMPORTRANGE(""https://docs.google.com/spreadsheets/d/11923uPwbBZFjjGgGUA6NLw09EwE0CqkOc4q9oUmW1yo/edit?usp=sharing"",""กำแพงเพชร!J543"")"),0)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IFERROR(__xludf.DUMMYFUNCTION("IMPORTRANGE(""https://docs.google.com/spreadsheets/d/11923uPwbBZFjjGgGUA6NLw09EwE0CqkOc4q9oUmW1yo/edit?usp=sharing"",""กำแพงเพชร!L543"")"),0)</f>
        <v>0</v>
      </c>
      <c r="M648" s="522"/>
      <c r="N648" s="539">
        <f ca="1">IFERROR(__xludf.DUMMYFUNCTION("IMPORTRANGE(""https://docs.google.com/spreadsheets/d/11923uPwbBZFjjGgGUA6NLw09EwE0CqkOc4q9oUmW1yo/edit?usp=sharing"",""กำแพงเพชร!M543"")"),0)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IFERROR(__xludf.DUMMYFUNCTION("IMPORTRANGE(""https://docs.google.com/spreadsheets/d/11923uPwbBZFjjGgGUA6NLw09EwE0CqkOc4q9oUmW1yo/edit?usp=sharing"",""กำแพงเพชร!I544"")"),0)</f>
        <v>0</v>
      </c>
      <c r="J649" s="537">
        <f ca="1">IFERROR(__xludf.DUMMYFUNCTION("IMPORTRANGE(""https://docs.google.com/spreadsheets/d/11923uPwbBZFjjGgGUA6NLw09EwE0CqkOc4q9oUmW1yo/edit?usp=sharing"",""กำแพงเพชร!J544"")"),0)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IFERROR(__xludf.DUMMYFUNCTION("IMPORTRANGE(""https://docs.google.com/spreadsheets/d/11923uPwbBZFjjGgGUA6NLw09EwE0CqkOc4q9oUmW1yo/edit?usp=sharing"",""กำแพงเพชร!L544"")"),0)</f>
        <v>0</v>
      </c>
      <c r="M649" s="522"/>
      <c r="N649" s="539">
        <f ca="1">IFERROR(__xludf.DUMMYFUNCTION("IMPORTRANGE(""https://docs.google.com/spreadsheets/d/11923uPwbBZFjjGgGUA6NLw09EwE0CqkOc4q9oUmW1yo/edit?usp=sharing"",""กำแพงเพชร!M544"")"),0)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IFERROR(__xludf.DUMMYFUNCTION("IMPORTRANGE(""https://docs.google.com/spreadsheets/d/11923uPwbBZFjjGgGUA6NLw09EwE0CqkOc4q9oUmW1yo/edit?usp=sharing"",""กำแพงเพชร!I545"")"),0)</f>
        <v>0</v>
      </c>
      <c r="J650" s="537">
        <f ca="1">IFERROR(__xludf.DUMMYFUNCTION("IMPORTRANGE(""https://docs.google.com/spreadsheets/d/11923uPwbBZFjjGgGUA6NLw09EwE0CqkOc4q9oUmW1yo/edit?usp=sharing"",""กำแพงเพชร!J545"")"),0)</f>
        <v>0</v>
      </c>
      <c r="K650" s="538">
        <f t="shared" ca="1" si="131"/>
        <v>0</v>
      </c>
      <c r="L650" s="523">
        <f ca="1">IFERROR(__xludf.DUMMYFUNCTION("IMPORTRANGE(""https://docs.google.com/spreadsheets/d/11923uPwbBZFjjGgGUA6NLw09EwE0CqkOc4q9oUmW1yo/edit?usp=sharing"",""กำแพงเพชร!L545"")"),0)</f>
        <v>0</v>
      </c>
      <c r="M650" s="522"/>
      <c r="N650" s="539">
        <f ca="1">IFERROR(__xludf.DUMMYFUNCTION("IMPORTRANGE(""https://docs.google.com/spreadsheets/d/11923uPwbBZFjjGgGUA6NLw09EwE0CqkOc4q9oUmW1yo/edit?usp=sharing"",""กำแพงเพชร!M545"")"),0)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IFERROR(__xludf.DUMMYFUNCTION("IMPORTRANGE(""https://docs.google.com/spreadsheets/d/11923uPwbBZFjjGgGUA6NLw09EwE0CqkOc4q9oUmW1yo/edit?usp=sharing"",""กำแพงเพชร!I546"")"),0)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IFERROR(__xludf.DUMMYFUNCTION("IMPORTRANGE(""https://docs.google.com/spreadsheets/d/11923uPwbBZFjjGgGUA6NLw09EwE0CqkOc4q9oUmW1yo/edit?usp=sharing"",""กำแพงเพชร!L546"")"),0)</f>
        <v>0</v>
      </c>
      <c r="M651" s="522"/>
      <c r="N651" s="539">
        <f ca="1">IFERROR(__xludf.DUMMYFUNCTION("IMPORTRANGE(""https://docs.google.com/spreadsheets/d/11923uPwbBZFjjGgGUA6NLw09EwE0CqkOc4q9oUmW1yo/edit?usp=sharing"",""กำแพงเพชร!M546"")"),0)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IFERROR(__xludf.DUMMYFUNCTION("IMPORTRANGE(""https://docs.google.com/spreadsheets/d/11923uPwbBZFjjGgGUA6NLw09EwE0CqkOc4q9oUmW1yo/edit?usp=sharing"",""กำแพงเพชร!J547"")"),0)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IFERROR(__xludf.DUMMYFUNCTION("IMPORTRANGE(""https://docs.google.com/spreadsheets/d/11923uPwbBZFjjGgGUA6NLw09EwE0CqkOc4q9oUmW1yo/edit?usp=sharing"",""กำแพงเพชร!J548"")"),0)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IFERROR(__xludf.DUMMYFUNCTION("IMPORTRANGE(""https://docs.google.com/spreadsheets/d/11923uPwbBZFjjGgGUA6NLw09EwE0CqkOc4q9oUmW1yo/edit?usp=sharing"",""กำแพงเพชร!J550"")"),0)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IFERROR(__xludf.DUMMYFUNCTION("IMPORTRANGE(""https://docs.google.com/spreadsheets/d/11923uPwbBZFjjGgGUA6NLw09EwE0CqkOc4q9oUmW1yo/edit?usp=sharing"",""กำแพงเพชร!J551"")"),0)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IFERROR(__xludf.DUMMYFUNCTION("IMPORTRANGE(""https://docs.google.com/spreadsheets/d/11923uPwbBZFjjGgGUA6NLw09EwE0CqkOc4q9oUmW1yo/edit?usp=sharing"",""กำแพงเพชร!J552"")"),0)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IFERROR(__xludf.DUMMYFUNCTION("IMPORTRANGE(""https://docs.google.com/spreadsheets/d/11923uPwbBZFjjGgGUA6NLw09EwE0CqkOc4q9oUmW1yo/edit?usp=sharing"",""กำแพงเพชร!J553"")"),0)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IFERROR(__xludf.DUMMYFUNCTION("IMPORTRANGE(""https://docs.google.com/spreadsheets/d/11923uPwbBZFjjGgGUA6NLw09EwE0CqkOc4q9oUmW1yo/edit?usp=sharing"",""กำแพงเพชร!J554"")"),0)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IFERROR(__xludf.DUMMYFUNCTION("IMPORTRANGE(""https://docs.google.com/spreadsheets/d/11923uPwbBZFjjGgGUA6NLw09EwE0CqkOc4q9oUmW1yo/edit?usp=sharing"",""กำแพงเพชร!J555"")"),0)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IFERROR(__xludf.DUMMYFUNCTION("IMPORTRANGE(""https://docs.google.com/spreadsheets/d/11923uPwbBZFjjGgGUA6NLw09EwE0CqkOc4q9oUmW1yo/edit?usp=sharing"",""กำแพงเพชร!J556"")"),0)</f>
        <v>0</v>
      </c>
      <c r="K661" s="538"/>
      <c r="L661" s="523">
        <f ca="1">IFERROR(__xludf.DUMMYFUNCTION("IMPORTRANGE(""https://docs.google.com/spreadsheets/d/11923uPwbBZFjjGgGUA6NLw09EwE0CqkOc4q9oUmW1yo/edit?usp=sharing"",""กำแพงเพชร!L556"")"),0)</f>
        <v>0</v>
      </c>
      <c r="M661" s="522"/>
      <c r="N661" s="539">
        <f ca="1">IFERROR(__xludf.DUMMYFUNCTION("IMPORTRANGE(""https://docs.google.com/spreadsheets/d/11923uPwbBZFjjGgGUA6NLw09EwE0CqkOc4q9oUmW1yo/edit?usp=sharing"",""กำแพงเพชร!M556"")"),0)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IFERROR(__xludf.DUMMYFUNCTION("IMPORTRANGE(""https://docs.google.com/spreadsheets/d/11923uPwbBZFjjGgGUA6NLw09EwE0CqkOc4q9oUmW1yo/edit?usp=sharing"",""กำแพงเพชร!J557"")"),0)</f>
        <v>0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IFERROR(__xludf.DUMMYFUNCTION("IMPORTRANGE(""https://docs.google.com/spreadsheets/d/11923uPwbBZFjjGgGUA6NLw09EwE0CqkOc4q9oUmW1yo/edit?usp=sharing"",""กำแพงเพชร!I558"")"),0)</f>
        <v>0</v>
      </c>
      <c r="J663" s="537">
        <f ca="1">IFERROR(__xludf.DUMMYFUNCTION("IMPORTRANGE(""https://docs.google.com/spreadsheets/d/11923uPwbBZFjjGgGUA6NLw09EwE0CqkOc4q9oUmW1yo/edit?usp=sharing"",""กำแพงเพชร!J558"")"),0)</f>
        <v>0</v>
      </c>
      <c r="K663" s="538">
        <f ca="1">IF(I663&gt;0,J663*100/I663,0)</f>
        <v>0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IFERROR(__xludf.DUMMYFUNCTION("IMPORTRANGE(""https://docs.google.com/spreadsheets/d/11923uPwbBZFjjGgGUA6NLw09EwE0CqkOc4q9oUmW1yo/edit?usp=sharing"",""กำแพงเพชร!I560"")"),0)</f>
        <v>0</v>
      </c>
      <c r="J665" s="537">
        <f ca="1">IFERROR(__xludf.DUMMYFUNCTION("IMPORTRANGE(""https://docs.google.com/spreadsheets/d/11923uPwbBZFjjGgGUA6NLw09EwE0CqkOc4q9oUmW1yo/edit?usp=sharing"",""กำแพงเพชร!J560"")"),0)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IFERROR(__xludf.DUMMYFUNCTION("IMPORTRANGE(""https://docs.google.com/spreadsheets/d/11923uPwbBZFjjGgGUA6NLw09EwE0CqkOc4q9oUmW1yo/edit?usp=sharing"",""กำแพงเพชร!L560"")"),0)</f>
        <v>0</v>
      </c>
      <c r="M665" s="522"/>
      <c r="N665" s="539">
        <f ca="1">IFERROR(__xludf.DUMMYFUNCTION("IMPORTRANGE(""https://docs.google.com/spreadsheets/d/11923uPwbBZFjjGgGUA6NLw09EwE0CqkOc4q9oUmW1yo/edit?usp=sharing"",""กำแพงเพชร!M560"")"),0)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IFERROR(__xludf.DUMMYFUNCTION("IMPORTRANGE(""https://docs.google.com/spreadsheets/d/11923uPwbBZFjjGgGUA6NLw09EwE0CqkOc4q9oUmW1yo/edit?usp=sharing"",""กำแพงเพชร!J561"")"),0)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IFERROR(__xludf.DUMMYFUNCTION("IMPORTRANGE(""https://docs.google.com/spreadsheets/d/11923uPwbBZFjjGgGUA6NLw09EwE0CqkOc4q9oUmW1yo/edit?usp=sharing"",""กำแพงเพชร!J562"")"),0)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IFERROR(__xludf.DUMMYFUNCTION("IMPORTRANGE(""https://docs.google.com/spreadsheets/d/11923uPwbBZFjjGgGUA6NLw09EwE0CqkOc4q9oUmW1yo/edit?usp=sharing"",""กำแพงเพชร!I563"")"),0)</f>
        <v>0</v>
      </c>
      <c r="J668" s="537">
        <f ca="1">IFERROR(__xludf.DUMMYFUNCTION("IMPORTRANGE(""https://docs.google.com/spreadsheets/d/11923uPwbBZFjjGgGUA6NLw09EwE0CqkOc4q9oUmW1yo/edit?usp=sharing"",""กำแพงเพชร!J563"")"),0)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IFERROR(__xludf.DUMMYFUNCTION("IMPORTRANGE(""https://docs.google.com/spreadsheets/d/11923uPwbBZFjjGgGUA6NLw09EwE0CqkOc4q9oUmW1yo/edit?usp=sharing"",""กำแพงเพชร!L563"")"),0)</f>
        <v>0</v>
      </c>
      <c r="M668" s="522"/>
      <c r="N668" s="539">
        <f ca="1">IFERROR(__xludf.DUMMYFUNCTION("IMPORTRANGE(""https://docs.google.com/spreadsheets/d/11923uPwbBZFjjGgGUA6NLw09EwE0CqkOc4q9oUmW1yo/edit?usp=sharing"",""กำแพงเพชร!M563"")"),0)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IFERROR(__xludf.DUMMYFUNCTION("IMPORTRANGE(""https://docs.google.com/spreadsheets/d/11923uPwbBZFjjGgGUA6NLw09EwE0CqkOc4q9oUmW1yo/edit?usp=sharing"",""กำแพงเพชร!J564"")"),0)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IFERROR(__xludf.DUMMYFUNCTION("IMPORTRANGE(""https://docs.google.com/spreadsheets/d/11923uPwbBZFjjGgGUA6NLw09EwE0CqkOc4q9oUmW1yo/edit?usp=sharing"",""กำแพงเพชร!J565"")"),0)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IFERROR(__xludf.DUMMYFUNCTION("IMPORTRANGE(""https://docs.google.com/spreadsheets/d/11923uPwbBZFjjGgGUA6NLw09EwE0CqkOc4q9oUmW1yo/edit?usp=sharing"",""กำแพงเพชร!I566"")"),0)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IFERROR(__xludf.DUMMYFUNCTION("IMPORTRANGE(""https://docs.google.com/spreadsheets/d/11923uPwbBZFjjGgGUA6NLw09EwE0CqkOc4q9oUmW1yo/edit?usp=sharing"",""กำแพงเพชร!L566"")"),0)</f>
        <v>0</v>
      </c>
      <c r="M671" s="522"/>
      <c r="N671" s="539">
        <f ca="1">IFERROR(__xludf.DUMMYFUNCTION("IMPORTRANGE(""https://docs.google.com/spreadsheets/d/11923uPwbBZFjjGgGUA6NLw09EwE0CqkOc4q9oUmW1yo/edit?usp=sharing"",""กำแพงเพชร!M566"")"),0)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IFERROR(__xludf.DUMMYFUNCTION("IMPORTRANGE(""https://docs.google.com/spreadsheets/d/11923uPwbBZFjjGgGUA6NLw09EwE0CqkOc4q9oUmW1yo/edit?usp=sharing"",""กำแพงเพชร!J567"")"),0)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IFERROR(__xludf.DUMMYFUNCTION("IMPORTRANGE(""https://docs.google.com/spreadsheets/d/11923uPwbBZFjjGgGUA6NLw09EwE0CqkOc4q9oUmW1yo/edit?usp=sharing"",""กำแพงเพชร!J568"")"),0)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IFERROR(__xludf.DUMMYFUNCTION("IMPORTRANGE(""https://docs.google.com/spreadsheets/d/11923uPwbBZFjjGgGUA6NLw09EwE0CqkOc4q9oUmW1yo/edit?usp=sharing"",""กำแพงเพชร!J569"")"),0)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IFERROR(__xludf.DUMMYFUNCTION("IMPORTRANGE(""https://docs.google.com/spreadsheets/d/11923uPwbBZFjjGgGUA6NLw09EwE0CqkOc4q9oUmW1yo/edit?usp=sharing"",""กำแพงเพชร!J570"")"),0)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IFERROR(__xludf.DUMMYFUNCTION("IMPORTRANGE(""https://docs.google.com/spreadsheets/d/11923uPwbBZFjjGgGUA6NLw09EwE0CqkOc4q9oUmW1yo/edit?usp=sharing"",""กำแพงเพชร!J571"")"),0)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IFERROR(__xludf.DUMMYFUNCTION("IMPORTRANGE(""https://docs.google.com/spreadsheets/d/11923uPwbBZFjjGgGUA6NLw09EwE0CqkOc4q9oUmW1yo/edit?usp=sharing"",""กำแพงเพชร!J572"")"),0)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61"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262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7104559</v>
      </c>
      <c r="M8" s="25">
        <f t="shared" ca="1" si="0"/>
        <v>3709957</v>
      </c>
      <c r="N8" s="25">
        <f t="shared" ca="1" si="0"/>
        <v>3808343.55</v>
      </c>
      <c r="O8" s="24">
        <f t="shared" ref="O8:O16" ca="1" si="1">IF(L8&gt;0,N8*100/L8,0)</f>
        <v>53.604221599116848</v>
      </c>
      <c r="P8" s="24">
        <f t="shared" ref="P8:P16" ca="1" si="2">IF(M8&gt;0,N8*100/M8,0)</f>
        <v>102.65195930842326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7104559</v>
      </c>
      <c r="M10" s="32">
        <f t="shared" ca="1" si="4"/>
        <v>3709957</v>
      </c>
      <c r="N10" s="32">
        <f t="shared" ca="1" si="4"/>
        <v>3808343.55</v>
      </c>
      <c r="O10" s="31">
        <f t="shared" ca="1" si="1"/>
        <v>53.604221599116848</v>
      </c>
      <c r="P10" s="31">
        <f t="shared" ca="1" si="2"/>
        <v>102.65195930842326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6919759</v>
      </c>
      <c r="M12" s="41">
        <f t="shared" ca="1" si="6"/>
        <v>3525157</v>
      </c>
      <c r="N12" s="41">
        <f t="shared" ca="1" si="6"/>
        <v>3623543.55</v>
      </c>
      <c r="O12" s="41">
        <f t="shared" ca="1" si="1"/>
        <v>52.365169798543562</v>
      </c>
      <c r="P12" s="41">
        <f t="shared" ca="1" si="2"/>
        <v>102.79098349378482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2745700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4174059</v>
      </c>
      <c r="M14" s="41">
        <f t="shared" si="8"/>
        <v>0</v>
      </c>
      <c r="N14" s="41">
        <f t="shared" ca="1" si="8"/>
        <v>1093725.95</v>
      </c>
      <c r="O14" s="41">
        <f t="shared" ca="1" si="1"/>
        <v>26.202934601547319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184800</v>
      </c>
      <c r="M16" s="41">
        <f t="shared" ca="1" si="10"/>
        <v>184800</v>
      </c>
      <c r="N16" s="41">
        <f t="shared" ca="1" si="10"/>
        <v>184800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4633740</v>
      </c>
      <c r="M18" s="25">
        <f t="shared" ca="1" si="11"/>
        <v>3709957</v>
      </c>
      <c r="N18" s="25">
        <f t="shared" ca="1" si="11"/>
        <v>2714617.6</v>
      </c>
      <c r="O18" s="24">
        <f t="shared" ref="O18:O20" ca="1" si="12">IF(L18&gt;0,N18*100/L18,0)</f>
        <v>58.58372718365726</v>
      </c>
      <c r="P18" s="24">
        <f t="shared" ref="P18:P26" ca="1" si="13">IF(M18&gt;0,N18*100/M18,0)</f>
        <v>73.171133789421276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4633740</v>
      </c>
      <c r="M20" s="32">
        <f t="shared" ca="1" si="15"/>
        <v>3709957</v>
      </c>
      <c r="N20" s="32">
        <f t="shared" ca="1" si="15"/>
        <v>2714617.6</v>
      </c>
      <c r="O20" s="31">
        <f t="shared" ca="1" si="12"/>
        <v>58.58372718365726</v>
      </c>
      <c r="P20" s="31">
        <f t="shared" ca="1" si="13"/>
        <v>73.171133789421276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4448940</v>
      </c>
      <c r="M22" s="44">
        <f t="shared" ca="1" si="18"/>
        <v>3525157</v>
      </c>
      <c r="N22" s="41">
        <f t="shared" ca="1" si="18"/>
        <v>2529817.6000000001</v>
      </c>
      <c r="O22" s="41">
        <f t="shared" ca="1" si="17"/>
        <v>56.863378692452585</v>
      </c>
      <c r="P22" s="41">
        <f t="shared" ca="1" si="13"/>
        <v>71.764678849764707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2745700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1703240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184800</v>
      </c>
      <c r="M26" s="52">
        <f t="shared" ca="1" si="22"/>
        <v>184800</v>
      </c>
      <c r="N26" s="52">
        <f t="shared" ca="1" si="22"/>
        <v>184800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2470819</v>
      </c>
      <c r="M28" s="25">
        <f t="shared" si="23"/>
        <v>0</v>
      </c>
      <c r="N28" s="25">
        <f t="shared" ca="1" si="23"/>
        <v>1093725.95</v>
      </c>
      <c r="O28" s="24">
        <f t="shared" ref="O28:O30" ca="1" si="24">IF(L28&gt;0,N28*100/L28,0)</f>
        <v>44.265725251424733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2470819</v>
      </c>
      <c r="M30" s="32">
        <f t="shared" si="27"/>
        <v>0</v>
      </c>
      <c r="N30" s="32">
        <f t="shared" ca="1" si="27"/>
        <v>1093725.95</v>
      </c>
      <c r="O30" s="31">
        <f t="shared" ca="1" si="24"/>
        <v>44.265725251424733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2470819</v>
      </c>
      <c r="M32" s="41">
        <f t="shared" si="30"/>
        <v>0</v>
      </c>
      <c r="N32" s="41">
        <f t="shared" ca="1" si="30"/>
        <v>1093725.95</v>
      </c>
      <c r="O32" s="41">
        <f t="shared" ca="1" si="29"/>
        <v>44.265725251424733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2470819</v>
      </c>
      <c r="M34" s="41">
        <f t="shared" si="32"/>
        <v>0</v>
      </c>
      <c r="N34" s="41">
        <f t="shared" ca="1" si="32"/>
        <v>1093725.95</v>
      </c>
      <c r="O34" s="41">
        <f t="shared" ca="1" si="29"/>
        <v>44.265725251424733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4633740</v>
      </c>
      <c r="M37" s="57">
        <f t="shared" ca="1" si="33"/>
        <v>3709957</v>
      </c>
      <c r="N37" s="57">
        <f t="shared" ca="1" si="33"/>
        <v>2714617.6</v>
      </c>
      <c r="O37" s="58">
        <f t="shared" ca="1" si="29"/>
        <v>58.58372718365726</v>
      </c>
      <c r="P37" s="58">
        <f t="shared" ca="1" si="25"/>
        <v>73.171133789421276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750700</v>
      </c>
      <c r="M41" s="81">
        <f t="shared" ca="1" si="34"/>
        <v>563100</v>
      </c>
      <c r="N41" s="81">
        <f t="shared" ca="1" si="34"/>
        <v>466112.41</v>
      </c>
      <c r="O41" s="80">
        <f t="shared" ref="O41:O43" ca="1" si="35">IF(L41&gt;0,N41*100/L41,0)</f>
        <v>62.090370321033703</v>
      </c>
      <c r="P41" s="80">
        <f t="shared" ref="P41:P43" ca="1" si="36">IF(M41&gt;0,N41*100/M41,0)</f>
        <v>82.776133901616049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750700</v>
      </c>
      <c r="M43" s="81">
        <f t="shared" ca="1" si="38"/>
        <v>563100</v>
      </c>
      <c r="N43" s="81">
        <f t="shared" ca="1" si="38"/>
        <v>466112.41</v>
      </c>
      <c r="O43" s="80">
        <f t="shared" ca="1" si="35"/>
        <v>62.090370321033703</v>
      </c>
      <c r="P43" s="80">
        <f t="shared" ca="1" si="36"/>
        <v>82.776133901616049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750700</v>
      </c>
      <c r="M45" s="52">
        <f ca="1">IFERROR(__xludf.DUMMYFUNCTION("IMPORTRANGE(""https://docs.google.com/spreadsheets/d/1Yj_ptqi66GCucihVvJfMjLAmec39IyEx_6qawtMGysU/edit?usp=sharing"",""สบก!Q21"")"),563100)</f>
        <v>563100</v>
      </c>
      <c r="N45" s="52">
        <f ca="1">IFERROR(__xludf.DUMMYFUNCTION("IMPORTRANGE(""https://docs.google.com/spreadsheets/d/1Yj_ptqi66GCucihVvJfMjLAmec39IyEx_6qawtMGysU/edit?usp=sharing"",""สบก!R21"")"),466112.41)</f>
        <v>466112.41</v>
      </c>
      <c r="O45" s="41">
        <f ca="1">IF(L45&gt;0,N45*100/L45,0)</f>
        <v>62.090370321033703</v>
      </c>
      <c r="P45" s="41">
        <f ca="1">IF(M45&gt;0,N45*100/M45,0)</f>
        <v>82.776133901616049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IFERROR(__xludf.DUMMYFUNCTION("IMPORTRANGE(""https://docs.google.com/spreadsheets/d/1Yj_ptqi66GCucihVvJfMjLAmec39IyEx_6qawtMGysU/edit?usp=sharing"",""สบก!M21"")"),750700)</f>
        <v>750700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IFERROR(__xludf.DUMMYFUNCTION("IMPORTRANGE(""https://docs.google.com/spreadsheets/d/1Yj_ptqi66GCucihVvJfMjLAmec39IyEx_6qawtMGysU/edit?usp=sharing"",""สบก!N21"")"),0)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IFERROR(__xludf.DUMMYFUNCTION("IMPORTRANGE(""https://docs.google.com/spreadsheets/d/1Yj_ptqi66GCucihVvJfMjLAmec39IyEx_6qawtMGysU/edit?usp=sharing"",""สบก!O21"")"),0)</f>
        <v>0</v>
      </c>
      <c r="M49" s="52"/>
      <c r="N49" s="52">
        <f ca="1">IFERROR(__xludf.DUMMYFUNCTION("IMPORTRANGE(""https://docs.google.com/spreadsheets/d/1Yj_ptqi66GCucihVvJfMjLAmec39IyEx_6qawtMGysU/edit?usp=sharing"",""สบก!S21"")"),0)</f>
        <v>0</v>
      </c>
      <c r="O49" s="52">
        <f ca="1">IF(L49&gt;0,N49*100/L49,0)</f>
        <v>0</v>
      </c>
      <c r="P49" s="52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700000</v>
      </c>
      <c r="M53" s="123">
        <f t="shared" ca="1" si="39"/>
        <v>552872</v>
      </c>
      <c r="N53" s="123">
        <f t="shared" ca="1" si="39"/>
        <v>406208.39</v>
      </c>
      <c r="O53" s="122">
        <f t="shared" ref="O53:O55" ca="1" si="40">IF(L53&gt;0,N53*100/L53,0)</f>
        <v>58.029769999999999</v>
      </c>
      <c r="P53" s="122">
        <f t="shared" ref="P53:P55" ca="1" si="41">IF(M53&gt;0,N53*100/M53,0)</f>
        <v>73.472411335716046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700000</v>
      </c>
      <c r="M55" s="123">
        <f t="shared" ca="1" si="43"/>
        <v>552872</v>
      </c>
      <c r="N55" s="123">
        <f t="shared" ca="1" si="43"/>
        <v>406208.39</v>
      </c>
      <c r="O55" s="122">
        <f t="shared" ca="1" si="40"/>
        <v>58.029769999999999</v>
      </c>
      <c r="P55" s="122">
        <f t="shared" ca="1" si="41"/>
        <v>73.472411335716046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700000</v>
      </c>
      <c r="M57" s="52">
        <f ca="1">IFERROR(__xludf.DUMMYFUNCTION("IMPORTRANGE(""https://docs.google.com/spreadsheets/d/1Yj_ptqi66GCucihVvJfMjLAmec39IyEx_6qawtMGysU/edit?usp=sharing"",""สบก!Z21"")"),552872)</f>
        <v>552872</v>
      </c>
      <c r="N57" s="52">
        <f ca="1">IFERROR(__xludf.DUMMYFUNCTION("IMPORTRANGE(""https://docs.google.com/spreadsheets/d/1Yj_ptqi66GCucihVvJfMjLAmec39IyEx_6qawtMGysU/edit?usp=sharing"",""สบก!AA21"")"),406208.39)</f>
        <v>406208.39</v>
      </c>
      <c r="O57" s="41">
        <f ca="1">IF(L57&gt;0,N57*100/L57,0)</f>
        <v>58.029769999999999</v>
      </c>
      <c r="P57" s="41">
        <f ca="1">IF(M57&gt;0,N57*100/M57,0)</f>
        <v>73.472411335716046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IFERROR(__xludf.DUMMYFUNCTION("IMPORTRANGE(""https://docs.google.com/spreadsheets/d/1Yj_ptqi66GCucihVvJfMjLAmec39IyEx_6qawtMGysU/edit?usp=sharing"",""สบก!V21"")"),700000)</f>
        <v>700000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IFERROR(__xludf.DUMMYFUNCTION("IMPORTRANGE(""https://docs.google.com/spreadsheets/d/1Yj_ptqi66GCucihVvJfMjLAmec39IyEx_6qawtMGysU/edit?usp=sharing"",""สบก!W21"")"),0)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IFERROR(__xludf.DUMMYFUNCTION("IMPORTRANGE(""https://docs.google.com/spreadsheets/d/1Yj_ptqi66GCucihVvJfMjLAmec39IyEx_6qawtMGysU/edit?usp=sharing"",""สบก!X21"")"),0)</f>
        <v>0</v>
      </c>
      <c r="M61" s="52"/>
      <c r="N61" s="52">
        <f ca="1">IFERROR(__xludf.DUMMYFUNCTION("IMPORTRANGE(""https://docs.google.com/spreadsheets/d/1Yj_ptqi66GCucihVvJfMjLAmec39IyEx_6qawtMGysU/edit?usp=sharing"",""สบก!AB21"")"),0)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IFERROR(__xludf.DUMMYFUNCTION("IMPORTRANGE(""https://docs.google.com/spreadsheets/d/11923uPwbBZFjjGgGUA6NLw09EwE0CqkOc4q9oUmW1yo/edit?usp=sharing"",""เชียงราย!I9"")"),1)</f>
        <v>1</v>
      </c>
      <c r="J64" s="144">
        <f ca="1">IFERROR(__xludf.DUMMYFUNCTION("IMPORTRANGE(""https://docs.google.com/spreadsheets/d/11923uPwbBZFjjGgGUA6NLw09EwE0CqkOc4q9oUmW1yo/edit?usp=sharing"",""เชียงราย!J9"")"),1)</f>
        <v>1</v>
      </c>
      <c r="K64" s="145">
        <f t="shared" ref="K64:K65" ca="1" si="44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IFERROR(__xludf.DUMMYFUNCTION("IMPORTRANGE(""https://docs.google.com/spreadsheets/d/11923uPwbBZFjjGgGUA6NLw09EwE0CqkOc4q9oUmW1yo/edit?usp=sharing"",""เชียงราย!I10"")"),60)</f>
        <v>60</v>
      </c>
      <c r="J65" s="144">
        <f ca="1">IFERROR(__xludf.DUMMYFUNCTION("IMPORTRANGE(""https://docs.google.com/spreadsheets/d/11923uPwbBZFjjGgGUA6NLw09EwE0CqkOc4q9oUmW1yo/edit?usp=sharing"",""เชียงราย!J10"")"),60)</f>
        <v>60</v>
      </c>
      <c r="K65" s="145">
        <f t="shared" ca="1" si="44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548000</v>
      </c>
      <c r="M66" s="154">
        <f t="shared" ca="1" si="45"/>
        <v>475620</v>
      </c>
      <c r="N66" s="154">
        <f t="shared" ca="1" si="45"/>
        <v>276275</v>
      </c>
      <c r="O66" s="153">
        <f t="shared" ref="O66:O68" ca="1" si="46">IF(L66&gt;0,N66*100/L66,0)</f>
        <v>50.415145985401459</v>
      </c>
      <c r="P66" s="153">
        <f t="shared" ref="P66:P68" ca="1" si="47">IF(M66&gt;0,N66*100/M66,0)</f>
        <v>58.087338631680751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548000</v>
      </c>
      <c r="M68" s="90">
        <f t="shared" ca="1" si="49"/>
        <v>475620</v>
      </c>
      <c r="N68" s="90">
        <f t="shared" ca="1" si="49"/>
        <v>276275</v>
      </c>
      <c r="O68" s="158">
        <f t="shared" ca="1" si="46"/>
        <v>50.415145985401459</v>
      </c>
      <c r="P68" s="158">
        <f t="shared" ca="1" si="47"/>
        <v>58.087338631680751</v>
      </c>
    </row>
    <row r="69" spans="1:16" ht="21.75" customHeight="1">
      <c r="A69" s="159"/>
      <c r="B69" s="160"/>
      <c r="C69" s="160" t="s">
        <v>16</v>
      </c>
      <c r="D69" s="36" t="s">
        <v>20</v>
      </c>
      <c r="E69" s="161"/>
      <c r="F69" s="161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548000</v>
      </c>
      <c r="M70" s="169">
        <f ca="1">IFERROR(__xludf.DUMMYFUNCTION("IMPORTRANGE(""https://docs.google.com/spreadsheets/d/1Yj_ptqi66GCucihVvJfMjLAmec39IyEx_6qawtMGysU/edit?usp=sharing"",""สบก!AI21"")"),475620)</f>
        <v>475620</v>
      </c>
      <c r="N70" s="170">
        <f ca="1">IFERROR(__xludf.DUMMYFUNCTION("IMPORTRANGE(""https://docs.google.com/spreadsheets/d/1Yj_ptqi66GCucihVvJfMjLAmec39IyEx_6qawtMGysU/edit?usp=sharing"",""สบก!AJ21"")"),276275)</f>
        <v>276275</v>
      </c>
      <c r="O70" s="170">
        <f ca="1">IF(L70&gt;0,N70*100/L70,0)</f>
        <v>50.415145985401459</v>
      </c>
      <c r="P70" s="170">
        <f ca="1">IF(M70&gt;0,N70*100/M70,0)</f>
        <v>58.087338631680751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IFERROR(__xludf.DUMMYFUNCTION("IMPORTRANGE(""https://docs.google.com/spreadsheets/d/1Yj_ptqi66GCucihVvJfMjLAmec39IyEx_6qawtMGysU/edit?usp=sharing"",""สบก!AE21"")"),0)</f>
        <v>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IFERROR(__xludf.DUMMYFUNCTION("IMPORTRANGE(""https://docs.google.com/spreadsheets/d/1Yj_ptqi66GCucihVvJfMjLAmec39IyEx_6qawtMGysU/edit?usp=sharing"",""สบก!AF21"")"),548000)</f>
        <v>548000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IFERROR(__xludf.DUMMYFUNCTION("IMPORTRANGE(""https://docs.google.com/spreadsheets/d/1Yj_ptqi66GCucihVvJfMjLAmec39IyEx_6qawtMGysU/edit?usp=sharing"",""สบก!AG21"")"),0)</f>
        <v>0</v>
      </c>
      <c r="M74" s="52"/>
      <c r="N74" s="52">
        <f ca="1">IFERROR(__xludf.DUMMYFUNCTION("IMPORTRANGE(""https://docs.google.com/spreadsheets/d/1Yj_ptqi66GCucihVvJfMjLAmec39IyEx_6qawtMGysU/edit?usp=sharing"",""สบก!AK21"")"),0)</f>
        <v>0</v>
      </c>
      <c r="O74" s="52">
        <f ca="1">IF(L74&gt;0,N74*100/L74,0)</f>
        <v>0</v>
      </c>
      <c r="P74" s="52"/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IFERROR(__xludf.DUMMYFUNCTION("IMPORTRANGE(""https://docs.google.com/spreadsheets/d/11923uPwbBZFjjGgGUA6NLw09EwE0CqkOc4q9oUmW1yo/edit?usp=sharing"",""เชียงราย!J16"")"),0)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IFERROR(__xludf.DUMMYFUNCTION("IMPORTRANGE(""https://docs.google.com/spreadsheets/d/11923uPwbBZFjjGgGUA6NLw09EwE0CqkOc4q9oUmW1yo/edit?usp=sharing"",""เชียงราย!J17"")"),1)</f>
        <v>1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IFERROR(__xludf.DUMMYFUNCTION("IMPORTRANGE(""https://docs.google.com/spreadsheets/d/11923uPwbBZFjjGgGUA6NLw09EwE0CqkOc4q9oUmW1yo/edit?usp=sharing"",""เชียงราย!J18"")"),1)</f>
        <v>1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IFERROR(__xludf.DUMMYFUNCTION("IMPORTRANGE(""https://docs.google.com/spreadsheets/d/11923uPwbBZFjjGgGUA6NLw09EwE0CqkOc4q9oUmW1yo/edit?usp=sharing"",""เชียงราย!J19"")"),1)</f>
        <v>1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IFERROR(__xludf.DUMMYFUNCTION("IMPORTRANGE(""https://docs.google.com/spreadsheets/d/11923uPwbBZFjjGgGUA6NLw09EwE0CqkOc4q9oUmW1yo/edit?usp=sharing"",""เชียงราย!I20"")"),1)</f>
        <v>1</v>
      </c>
      <c r="J80" s="202">
        <f ca="1">IFERROR(__xludf.DUMMYFUNCTION("IMPORTRANGE(""https://docs.google.com/spreadsheets/d/11923uPwbBZFjjGgGUA6NLw09EwE0CqkOc4q9oUmW1yo/edit?usp=sharing"",""เชียงราย!J20"")"),1)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IFERROR(__xludf.DUMMYFUNCTION("IMPORTRANGE(""https://docs.google.com/spreadsheets/d/11923uPwbBZFjjGgGUA6NLw09EwE0CqkOc4q9oUmW1yo/edit?usp=sharing"",""เชียงราย!I21"")"),60)</f>
        <v>60</v>
      </c>
      <c r="J81" s="202">
        <f ca="1">IFERROR(__xludf.DUMMYFUNCTION("IMPORTRANGE(""https://docs.google.com/spreadsheets/d/11923uPwbBZFjjGgGUA6NLw09EwE0CqkOc4q9oUmW1yo/edit?usp=sharing"",""เชียงราย!J21"")"),60)</f>
        <v>60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IFERROR(__xludf.DUMMYFUNCTION("IMPORTRANGE(""https://docs.google.com/spreadsheets/d/11923uPwbBZFjjGgGUA6NLw09EwE0CqkOc4q9oUmW1yo/edit?usp=sharing"",""เชียงราย!I22"")"),1)</f>
        <v>1</v>
      </c>
      <c r="J82" s="205">
        <f ca="1">IFERROR(__xludf.DUMMYFUNCTION("IMPORTRANGE(""https://docs.google.com/spreadsheets/d/11923uPwbBZFjjGgGUA6NLw09EwE0CqkOc4q9oUmW1yo/edit?usp=sharing"",""เชียงราย!J22"")"),1)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IFERROR(__xludf.DUMMYFUNCTION("IMPORTRANGE(""https://docs.google.com/spreadsheets/d/11923uPwbBZFjjGgGUA6NLw09EwE0CqkOc4q9oUmW1yo/edit?usp=sharing"",""เชียงราย!I23"")"),60)</f>
        <v>60</v>
      </c>
      <c r="J83" s="205">
        <f ca="1">IFERROR(__xludf.DUMMYFUNCTION("IMPORTRANGE(""https://docs.google.com/spreadsheets/d/11923uPwbBZFjjGgGUA6NLw09EwE0CqkOc4q9oUmW1yo/edit?usp=sharing"",""เชียงราย!J23"")"),60)</f>
        <v>60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IFERROR(__xludf.DUMMYFUNCTION("IMPORTRANGE(""https://docs.google.com/spreadsheets/d/11923uPwbBZFjjGgGUA6NLw09EwE0CqkOc4q9oUmW1yo/edit?usp=sharing"",""เชียงราย!I24"")"),0)</f>
        <v>0</v>
      </c>
      <c r="J84" s="190">
        <f ca="1">IFERROR(__xludf.DUMMYFUNCTION("IMPORTRANGE(""https://docs.google.com/spreadsheets/d/11923uPwbBZFjjGgGUA6NLw09EwE0CqkOc4q9oUmW1yo/edit?usp=sharing"",""เชียงราย!J24"")"),0)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IFERROR(__xludf.DUMMYFUNCTION("IMPORTRANGE(""https://docs.google.com/spreadsheets/d/11923uPwbBZFjjGgGUA6NLw09EwE0CqkOc4q9oUmW1yo/edit?usp=sharing"",""เชียงราย!I25"")"),0)</f>
        <v>0</v>
      </c>
      <c r="J85" s="190">
        <f ca="1">IFERROR(__xludf.DUMMYFUNCTION("IMPORTRANGE(""https://docs.google.com/spreadsheets/d/11923uPwbBZFjjGgGUA6NLw09EwE0CqkOc4q9oUmW1yo/edit?usp=sharing"",""เชียงราย!J25"")"),0)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IFERROR(__xludf.DUMMYFUNCTION("IMPORTRANGE(""https://docs.google.com/spreadsheets/d/11923uPwbBZFjjGgGUA6NLw09EwE0CqkOc4q9oUmW1yo/edit?usp=sharing"",""เชียงราย!I26"")"),0)</f>
        <v>0</v>
      </c>
      <c r="J86" s="205">
        <f ca="1">IFERROR(__xludf.DUMMYFUNCTION("IMPORTRANGE(""https://docs.google.com/spreadsheets/d/11923uPwbBZFjjGgGUA6NLw09EwE0CqkOc4q9oUmW1yo/edit?usp=sharing"",""เชียงราย!J26"")"),0)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IFERROR(__xludf.DUMMYFUNCTION("IMPORTRANGE(""https://docs.google.com/spreadsheets/d/11923uPwbBZFjjGgGUA6NLw09EwE0CqkOc4q9oUmW1yo/edit?usp=sharing"",""เชียงราย!I27"")"),0)</f>
        <v>0</v>
      </c>
      <c r="J87" s="205">
        <f ca="1">IFERROR(__xludf.DUMMYFUNCTION("IMPORTRANGE(""https://docs.google.com/spreadsheets/d/11923uPwbBZFjjGgGUA6NLw09EwE0CqkOc4q9oUmW1yo/edit?usp=sharing"",""เชียงราย!J27"")"),0)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IFERROR(__xludf.DUMMYFUNCTION("IMPORTRANGE(""https://docs.google.com/spreadsheets/d/11923uPwbBZFjjGgGUA6NLw09EwE0CqkOc4q9oUmW1yo/edit?usp=sharing"",""เชียงราย!I28"")"),60)</f>
        <v>60</v>
      </c>
      <c r="J88" s="205">
        <f ca="1">IFERROR(__xludf.DUMMYFUNCTION("IMPORTRANGE(""https://docs.google.com/spreadsheets/d/11923uPwbBZFjjGgGUA6NLw09EwE0CqkOc4q9oUmW1yo/edit?usp=sharing"",""เชียงราย!J28"")"),60)</f>
        <v>60</v>
      </c>
      <c r="K88" s="165">
        <f t="shared" ca="1" si="50"/>
        <v>100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IFERROR(__xludf.DUMMYFUNCTION("IMPORTRANGE(""https://docs.google.com/spreadsheets/d/11923uPwbBZFjjGgGUA6NLw09EwE0CqkOc4q9oUmW1yo/edit?usp=sharing"",""เชียงราย!J29"")"),0)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IFERROR(__xludf.DUMMYFUNCTION("IMPORTRANGE(""https://docs.google.com/spreadsheets/d/11923uPwbBZFjjGgGUA6NLw09EwE0CqkOc4q9oUmW1yo/edit?usp=sharing"",""เชียงราย!J30"")"),0)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IFERROR(__xludf.DUMMYFUNCTION("IMPORTRANGE(""https://docs.google.com/spreadsheets/d/11923uPwbBZFjjGgGUA6NLw09EwE0CqkOc4q9oUmW1yo/edit?usp=sharing"",""เชียงราย!I32"")"),7)</f>
        <v>7</v>
      </c>
      <c r="J92" s="144">
        <f ca="1">IFERROR(__xludf.DUMMYFUNCTION("IMPORTRANGE(""https://docs.google.com/spreadsheets/d/11923uPwbBZFjjGgGUA6NLw09EwE0CqkOc4q9oUmW1yo/edit?usp=sharing"",""เชียงราย!J32"")"),7)</f>
        <v>7</v>
      </c>
      <c r="K92" s="145">
        <f t="shared" ref="K92:K93" ca="1" si="51">IF(I92&gt;0,J92*100/I92,0)</f>
        <v>100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IFERROR(__xludf.DUMMYFUNCTION("IMPORTRANGE(""https://docs.google.com/spreadsheets/d/11923uPwbBZFjjGgGUA6NLw09EwE0CqkOc4q9oUmW1yo/edit?usp=sharing"",""เชียงราย!I33"")"),2)</f>
        <v>2</v>
      </c>
      <c r="J93" s="144">
        <f ca="1">IFERROR(__xludf.DUMMYFUNCTION("IMPORTRANGE(""https://docs.google.com/spreadsheets/d/11923uPwbBZFjjGgGUA6NLw09EwE0CqkOc4q9oUmW1yo/edit?usp=sharing"",""เชียงราย!J33"")"),2)</f>
        <v>2</v>
      </c>
      <c r="K93" s="145">
        <f t="shared" ca="1" si="51"/>
        <v>100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318960</v>
      </c>
      <c r="M94" s="154">
        <f t="shared" ca="1" si="52"/>
        <v>298915</v>
      </c>
      <c r="N94" s="154">
        <f t="shared" ca="1" si="52"/>
        <v>217115</v>
      </c>
      <c r="O94" s="153">
        <f t="shared" ref="O94:O96" ca="1" si="53">IF(L94&gt;0,N94*100/L94,0)</f>
        <v>68.069663907700019</v>
      </c>
      <c r="P94" s="153">
        <f t="shared" ref="P94:P96" ca="1" si="54">IF(M94&gt;0,N94*100/M94,0)</f>
        <v>72.634360938728406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318960</v>
      </c>
      <c r="M96" s="90">
        <f t="shared" ca="1" si="56"/>
        <v>298915</v>
      </c>
      <c r="N96" s="90">
        <f t="shared" ca="1" si="56"/>
        <v>217115</v>
      </c>
      <c r="O96" s="158">
        <f t="shared" ca="1" si="53"/>
        <v>68.069663907700019</v>
      </c>
      <c r="P96" s="158">
        <f t="shared" ca="1" si="54"/>
        <v>72.634360938728406</v>
      </c>
    </row>
    <row r="97" spans="1:16" ht="21.75" customHeight="1">
      <c r="A97" s="159"/>
      <c r="B97" s="160"/>
      <c r="C97" s="160" t="s">
        <v>16</v>
      </c>
      <c r="D97" s="36" t="s">
        <v>20</v>
      </c>
      <c r="E97" s="161"/>
      <c r="F97" s="161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134160</v>
      </c>
      <c r="M98" s="169">
        <f ca="1">IFERROR(__xludf.DUMMYFUNCTION("IMPORTRANGE(""https://docs.google.com/spreadsheets/d/1Yj_ptqi66GCucihVvJfMjLAmec39IyEx_6qawtMGysU/edit?usp=sharing"",""สบก!AR21"")"),114115)</f>
        <v>114115</v>
      </c>
      <c r="N98" s="170">
        <f ca="1">IFERROR(__xludf.DUMMYFUNCTION("IMPORTRANGE(""https://docs.google.com/spreadsheets/d/1Yj_ptqi66GCucihVvJfMjLAmec39IyEx_6qawtMGysU/edit?usp=sharing"",""สบก!AS21"")"),32315)</f>
        <v>32315</v>
      </c>
      <c r="O98" s="170">
        <f ca="1">IF(L98&gt;0,N98*100/L98,0)</f>
        <v>24.086911150864641</v>
      </c>
      <c r="P98" s="170">
        <f ca="1">IF(M98&gt;0,N98*100/M98,0)</f>
        <v>28.317924900319852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IFERROR(__xludf.DUMMYFUNCTION("IMPORTRANGE(""https://docs.google.com/spreadsheets/d/1Yj_ptqi66GCucihVvJfMjLAmec39IyEx_6qawtMGysU/edit?usp=sharing"",""สบก!AN21"")"),0)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IFERROR(__xludf.DUMMYFUNCTION("IMPORTRANGE(""https://docs.google.com/spreadsheets/d/1Yj_ptqi66GCucihVvJfMjLAmec39IyEx_6qawtMGysU/edit?usp=sharing"",""สบก!AO21"")"),134160)</f>
        <v>134160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IFERROR(__xludf.DUMMYFUNCTION("IMPORTRANGE(""https://docs.google.com/spreadsheets/d/1Yj_ptqi66GCucihVvJfMjLAmec39IyEx_6qawtMGysU/edit?usp=sharing"",""สบก!AP21"")"),184800)</f>
        <v>184800</v>
      </c>
      <c r="M102" s="52">
        <f ca="1">L102</f>
        <v>184800</v>
      </c>
      <c r="N102" s="52">
        <f ca="1">IFERROR(__xludf.DUMMYFUNCTION("IMPORTRANGE(""https://docs.google.com/spreadsheets/d/1Yj_ptqi66GCucihVvJfMjLAmec39IyEx_6qawtMGysU/edit?usp=sharing"",""สบก!AT21"")"),184800)</f>
        <v>184800</v>
      </c>
      <c r="O102" s="52">
        <f ca="1">IF(L102&gt;0,N102*100/L102,0)</f>
        <v>100</v>
      </c>
      <c r="P102" s="52">
        <f ca="1">IF(M102&gt;0,N102*100/M102,0)</f>
        <v>100</v>
      </c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IFERROR(__xludf.DUMMYFUNCTION("IMPORTRANGE(""https://docs.google.com/spreadsheets/d/11923uPwbBZFjjGgGUA6NLw09EwE0CqkOc4q9oUmW1yo/edit?usp=sharing"",""เชียงราย!J39"")"),0)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IFERROR(__xludf.DUMMYFUNCTION("IMPORTRANGE(""https://docs.google.com/spreadsheets/d/11923uPwbBZFjjGgGUA6NLw09EwE0CqkOc4q9oUmW1yo/edit?usp=sharing"",""เชียงราย!J40"")"),1)</f>
        <v>1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IFERROR(__xludf.DUMMYFUNCTION("IMPORTRANGE(""https://docs.google.com/spreadsheets/d/11923uPwbBZFjjGgGUA6NLw09EwE0CqkOc4q9oUmW1yo/edit?usp=sharing"",""เชียงราย!J41"")"),1)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IFERROR(__xludf.DUMMYFUNCTION("IMPORTRANGE(""https://docs.google.com/spreadsheets/d/11923uPwbBZFjjGgGUA6NLw09EwE0CqkOc4q9oUmW1yo/edit?usp=sharing"",""เชียงราย!J42"")"),1)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IFERROR(__xludf.DUMMYFUNCTION("IMPORTRANGE(""https://docs.google.com/spreadsheets/d/11923uPwbBZFjjGgGUA6NLw09EwE0CqkOc4q9oUmW1yo/edit?usp=sharing"",""เชียงราย!I43"")"),1)</f>
        <v>1</v>
      </c>
      <c r="J108" s="205">
        <f ca="1">IFERROR(__xludf.DUMMYFUNCTION("IMPORTRANGE(""https://docs.google.com/spreadsheets/d/11923uPwbBZFjjGgGUA6NLw09EwE0CqkOc4q9oUmW1yo/edit?usp=sharing"",""เชียงราย!J43"")"),1)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IFERROR(__xludf.DUMMYFUNCTION("IMPORTRANGE(""https://docs.google.com/spreadsheets/d/11923uPwbBZFjjGgGUA6NLw09EwE0CqkOc4q9oUmW1yo/edit?usp=sharing"",""เชียงราย!I44"")"),7)</f>
        <v>7</v>
      </c>
      <c r="J109" s="205">
        <f ca="1">IFERROR(__xludf.DUMMYFUNCTION("IMPORTRANGE(""https://docs.google.com/spreadsheets/d/11923uPwbBZFjjGgGUA6NLw09EwE0CqkOc4q9oUmW1yo/edit?usp=sharing"",""เชียงราย!J44"")"),7)</f>
        <v>7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IFERROR(__xludf.DUMMYFUNCTION("IMPORTRANGE(""https://docs.google.com/spreadsheets/d/11923uPwbBZFjjGgGUA6NLw09EwE0CqkOc4q9oUmW1yo/edit?usp=sharing"",""เชียงราย!I45"")"),7)</f>
        <v>7</v>
      </c>
      <c r="J110" s="205">
        <f ca="1">IFERROR(__xludf.DUMMYFUNCTION("IMPORTRANGE(""https://docs.google.com/spreadsheets/d/11923uPwbBZFjjGgGUA6NLw09EwE0CqkOc4q9oUmW1yo/edit?usp=sharing"",""เชียงราย!J45"")"),7)</f>
        <v>7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IFERROR(__xludf.DUMMYFUNCTION("IMPORTRANGE(""https://docs.google.com/spreadsheets/d/11923uPwbBZFjjGgGUA6NLw09EwE0CqkOc4q9oUmW1yo/edit?usp=sharing"",""เชียงราย!I46"")"),7)</f>
        <v>7</v>
      </c>
      <c r="J111" s="205">
        <f ca="1">IFERROR(__xludf.DUMMYFUNCTION("IMPORTRANGE(""https://docs.google.com/spreadsheets/d/11923uPwbBZFjjGgGUA6NLw09EwE0CqkOc4q9oUmW1yo/edit?usp=sharing"",""เชียงราย!J46"")"),7)</f>
        <v>7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IFERROR(__xludf.DUMMYFUNCTION("IMPORTRANGE(""https://docs.google.com/spreadsheets/d/11923uPwbBZFjjGgGUA6NLw09EwE0CqkOc4q9oUmW1yo/edit?usp=sharing"",""เชียงราย!I47"")"),7)</f>
        <v>7</v>
      </c>
      <c r="J112" s="205">
        <f ca="1">IFERROR(__xludf.DUMMYFUNCTION("IMPORTRANGE(""https://docs.google.com/spreadsheets/d/11923uPwbBZFjjGgGUA6NLw09EwE0CqkOc4q9oUmW1yo/edit?usp=sharing"",""เชียงราย!J47"")"),7)</f>
        <v>7</v>
      </c>
      <c r="K112" s="225">
        <f t="shared" ca="1" si="57"/>
        <v>100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IFERROR(__xludf.DUMMYFUNCTION("IMPORTRANGE(""https://docs.google.com/spreadsheets/d/11923uPwbBZFjjGgGUA6NLw09EwE0CqkOc4q9oUmW1yo/edit?usp=sharing"",""เชียงราย!I48"")"),2)</f>
        <v>2</v>
      </c>
      <c r="J113" s="205">
        <f ca="1">IFERROR(__xludf.DUMMYFUNCTION("IMPORTRANGE(""https://docs.google.com/spreadsheets/d/11923uPwbBZFjjGgGUA6NLw09EwE0CqkOc4q9oUmW1yo/edit?usp=sharing"",""เชียงราย!J48"")"),2)</f>
        <v>2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IFERROR(__xludf.DUMMYFUNCTION("IMPORTRANGE(""https://docs.google.com/spreadsheets/d/11923uPwbBZFjjGgGUA6NLw09EwE0CqkOc4q9oUmW1yo/edit?usp=sharing"",""เชียงราย!J49"")"),0)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IFERROR(__xludf.DUMMYFUNCTION("IMPORTRANGE(""https://docs.google.com/spreadsheets/d/11923uPwbBZFjjGgGUA6NLw09EwE0CqkOc4q9oUmW1yo/edit?usp=sharing"",""เชียงราย!J50"")"),0)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IFERROR(__xludf.DUMMYFUNCTION("IMPORTRANGE(""https://docs.google.com/spreadsheets/d/11923uPwbBZFjjGgGUA6NLw09EwE0CqkOc4q9oUmW1yo/edit?usp=sharing"",""เชียงราย!I52"")"),0)</f>
        <v>0</v>
      </c>
      <c r="J117" s="144">
        <f ca="1">IFERROR(__xludf.DUMMYFUNCTION("IMPORTRANGE(""https://docs.google.com/spreadsheets/d/11923uPwbBZFjjGgGUA6NLw09EwE0CqkOc4q9oUmW1yo/edit?usp=sharing"",""เชียงราย!J52"")"),0)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0</v>
      </c>
      <c r="M120" s="90">
        <f t="shared" ca="1" si="62"/>
        <v>0</v>
      </c>
      <c r="N120" s="90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59"/>
      <c r="B121" s="160"/>
      <c r="C121" s="160" t="s">
        <v>16</v>
      </c>
      <c r="D121" s="36" t="s">
        <v>20</v>
      </c>
      <c r="E121" s="161"/>
      <c r="F121" s="161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IFERROR(__xludf.DUMMYFUNCTION("IMPORTRANGE(""https://docs.google.com/spreadsheets/d/1Yj_ptqi66GCucihVvJfMjLAmec39IyEx_6qawtMGysU/edit?usp=sharing"",""สบก!BA21"")"),0)</f>
        <v>0</v>
      </c>
      <c r="N122" s="170">
        <f ca="1">IFERROR(__xludf.DUMMYFUNCTION("IMPORTRANGE(""https://docs.google.com/spreadsheets/d/1Yj_ptqi66GCucihVvJfMjLAmec39IyEx_6qawtMGysU/edit?usp=sharing"",""สบก!BB21"")"),0)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IFERROR(__xludf.DUMMYFUNCTION("IMPORTRANGE(""https://docs.google.com/spreadsheets/d/1Yj_ptqi66GCucihVvJfMjLAmec39IyEx_6qawtMGysU/edit?usp=sharing"",""สบก!AW21"")"),0)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IFERROR(__xludf.DUMMYFUNCTION("IMPORTRANGE(""https://docs.google.com/spreadsheets/d/1Yj_ptqi66GCucihVvJfMjLAmec39IyEx_6qawtMGysU/edit?usp=sharing"",""สบก!AX21"")"),0)</f>
        <v>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IFERROR(__xludf.DUMMYFUNCTION("IMPORTRANGE(""https://docs.google.com/spreadsheets/d/1Yj_ptqi66GCucihVvJfMjLAmec39IyEx_6qawtMGysU/edit?usp=sharing"",""สบก!AY21"")"),0)</f>
        <v>0</v>
      </c>
      <c r="M126" s="52"/>
      <c r="N126" s="52">
        <f ca="1">IFERROR(__xludf.DUMMYFUNCTION("IMPORTRANGE(""https://docs.google.com/spreadsheets/d/1Yj_ptqi66GCucihVvJfMjLAmec39IyEx_6qawtMGysU/edit?usp=sharing"",""สบก!BC21"")"),0)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263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IFERROR(__xludf.DUMMYFUNCTION("IMPORTRANGE(""https://docs.google.com/spreadsheets/d/11923uPwbBZFjjGgGUA6NLw09EwE0CqkOc4q9oUmW1yo/edit?usp=sharing"",""เชียงราย!J58"")"),0)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IFERROR(__xludf.DUMMYFUNCTION("IMPORTRANGE(""https://docs.google.com/spreadsheets/d/11923uPwbBZFjjGgGUA6NLw09EwE0CqkOc4q9oUmW1yo/edit?usp=sharing"",""เชียงราย!J59"")"),0)</f>
        <v>0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IFERROR(__xludf.DUMMYFUNCTION("IMPORTRANGE(""https://docs.google.com/spreadsheets/d/11923uPwbBZFjjGgGUA6NLw09EwE0CqkOc4q9oUmW1yo/edit?usp=sharing"",""เชียงราย!J60"")"),0)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IFERROR(__xludf.DUMMYFUNCTION("IMPORTRANGE(""https://docs.google.com/spreadsheets/d/11923uPwbBZFjjGgGUA6NLw09EwE0CqkOc4q9oUmW1yo/edit?usp=sharing"",""เชียงราย!J61"")"),0)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IFERROR(__xludf.DUMMYFUNCTION("IMPORTRANGE(""https://docs.google.com/spreadsheets/d/11923uPwbBZFjjGgGUA6NLw09EwE0CqkOc4q9oUmW1yo/edit?usp=sharing"",""เชียงราย!I62"")"),0)</f>
        <v>0</v>
      </c>
      <c r="J132" s="205">
        <f ca="1">IFERROR(__xludf.DUMMYFUNCTION("IMPORTRANGE(""https://docs.google.com/spreadsheets/d/11923uPwbBZFjjGgGUA6NLw09EwE0CqkOc4q9oUmW1yo/edit?usp=sharing"",""เชียงราย!J62"")"),0)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IFERROR(__xludf.DUMMYFUNCTION("IMPORTRANGE(""https://docs.google.com/spreadsheets/d/11923uPwbBZFjjGgGUA6NLw09EwE0CqkOc4q9oUmW1yo/edit?usp=sharing"",""เชียงราย!I63"")"),0)</f>
        <v>0</v>
      </c>
      <c r="J133" s="205">
        <f ca="1">IFERROR(__xludf.DUMMYFUNCTION("IMPORTRANGE(""https://docs.google.com/spreadsheets/d/11923uPwbBZFjjGgGUA6NLw09EwE0CqkOc4q9oUmW1yo/edit?usp=sharing"",""เชียงราย!J63"")"),0)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IFERROR(__xludf.DUMMYFUNCTION("IMPORTRANGE(""https://docs.google.com/spreadsheets/d/11923uPwbBZFjjGgGUA6NLw09EwE0CqkOc4q9oUmW1yo/edit?usp=sharing"",""เชียงราย!J64"")"),0)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IFERROR(__xludf.DUMMYFUNCTION("IMPORTRANGE(""https://docs.google.com/spreadsheets/d/11923uPwbBZFjjGgGUA6NLw09EwE0CqkOc4q9oUmW1yo/edit?usp=sharing"",""เชียงราย!J65"")"),0)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IFERROR(__xludf.DUMMYFUNCTION("IMPORTRANGE(""https://docs.google.com/spreadsheets/d/11923uPwbBZFjjGgGUA6NLw09EwE0CqkOc4q9oUmW1yo/edit?usp=sharing"",""เชียงราย!I68"")"),15)</f>
        <v>15</v>
      </c>
      <c r="J138" s="268">
        <f ca="1">IFERROR(__xludf.DUMMYFUNCTION("IMPORTRANGE(""https://docs.google.com/spreadsheets/d/11923uPwbBZFjjGgGUA6NLw09EwE0CqkOc4q9oUmW1yo/edit?usp=sharing"",""เชียงราย!J68"")"),15)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579900</v>
      </c>
      <c r="M140" s="154">
        <f t="shared" ca="1" si="64"/>
        <v>440280</v>
      </c>
      <c r="N140" s="154">
        <f t="shared" ca="1" si="64"/>
        <v>339987.47</v>
      </c>
      <c r="O140" s="153">
        <f t="shared" ref="O140:O142" ca="1" si="65">IF(L140&gt;0,N140*100/L140,0)</f>
        <v>58.628637696154506</v>
      </c>
      <c r="P140" s="153">
        <f t="shared" ref="P140:P142" ca="1" si="66">IF(M140&gt;0,N140*100/M140,0)</f>
        <v>77.220739075134006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579900</v>
      </c>
      <c r="M142" s="90">
        <f t="shared" ca="1" si="68"/>
        <v>440280</v>
      </c>
      <c r="N142" s="90">
        <f t="shared" ca="1" si="68"/>
        <v>339987.47</v>
      </c>
      <c r="O142" s="158">
        <f t="shared" ca="1" si="65"/>
        <v>58.628637696154506</v>
      </c>
      <c r="P142" s="158">
        <f t="shared" ca="1" si="66"/>
        <v>77.220739075134006</v>
      </c>
    </row>
    <row r="143" spans="1:16" ht="21.75" customHeight="1">
      <c r="A143" s="159"/>
      <c r="B143" s="160"/>
      <c r="C143" s="160" t="s">
        <v>16</v>
      </c>
      <c r="D143" s="36" t="s">
        <v>20</v>
      </c>
      <c r="E143" s="161"/>
      <c r="F143" s="161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579900</v>
      </c>
      <c r="M144" s="169">
        <f ca="1">IFERROR(__xludf.DUMMYFUNCTION("IMPORTRANGE(""https://docs.google.com/spreadsheets/d/1Yj_ptqi66GCucihVvJfMjLAmec39IyEx_6qawtMGysU/edit?usp=sharing"",""สบก!BJ21"")"),440280)</f>
        <v>440280</v>
      </c>
      <c r="N144" s="170">
        <f ca="1">IFERROR(__xludf.DUMMYFUNCTION("IMPORTRANGE(""https://docs.google.com/spreadsheets/d/1Yj_ptqi66GCucihVvJfMjLAmec39IyEx_6qawtMGysU/edit?usp=sharing"",""สบก!BK21"")"),339987.47)</f>
        <v>339987.47</v>
      </c>
      <c r="O144" s="170">
        <f ca="1">IF(L144&gt;0,N144*100/L144,0)</f>
        <v>58.628637696154506</v>
      </c>
      <c r="P144" s="170">
        <f ca="1">IF(M144&gt;0,N144*100/M144,0)</f>
        <v>77.220739075134006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IFERROR(__xludf.DUMMYFUNCTION("IMPORTRANGE(""https://docs.google.com/spreadsheets/d/1Yj_ptqi66GCucihVvJfMjLAmec39IyEx_6qawtMGysU/edit?usp=sharing"",""สบก!BF21"")"),463400)</f>
        <v>463400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IFERROR(__xludf.DUMMYFUNCTION("IMPORTRANGE(""https://docs.google.com/spreadsheets/d/1Yj_ptqi66GCucihVvJfMjLAmec39IyEx_6qawtMGysU/edit?usp=sharing"",""สบก!BG21"")"),116500)</f>
        <v>116500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IFERROR(__xludf.DUMMYFUNCTION("IMPORTRANGE(""https://docs.google.com/spreadsheets/d/1Yj_ptqi66GCucihVvJfMjLAmec39IyEx_6qawtMGysU/edit?usp=sharing"",""สบก!BH21"")"),0)</f>
        <v>0</v>
      </c>
      <c r="M148" s="52"/>
      <c r="N148" s="52">
        <f ca="1">IFERROR(__xludf.DUMMYFUNCTION("IMPORTRANGE(""https://docs.google.com/spreadsheets/d/1Yj_ptqi66GCucihVvJfMjLAmec39IyEx_6qawtMGysU/edit?usp=sharing"",""สบก!BL21"")"),0)</f>
        <v>0</v>
      </c>
      <c r="O148" s="52">
        <f ca="1">IF(L148&gt;0,N148*100/L148,0)</f>
        <v>0</v>
      </c>
      <c r="P148" s="52"/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IFERROR(__xludf.DUMMYFUNCTION("IMPORTRANGE(""https://docs.google.com/spreadsheets/d/11923uPwbBZFjjGgGUA6NLw09EwE0CqkOc4q9oUmW1yo/edit?usp=sharing"",""เชียงราย!I74"")"),4)</f>
        <v>4</v>
      </c>
      <c r="J149" s="276">
        <f ca="1">IFERROR(__xludf.DUMMYFUNCTION("IMPORTRANGE(""https://docs.google.com/spreadsheets/d/11923uPwbBZFjjGgGUA6NLw09EwE0CqkOc4q9oUmW1yo/edit?usp=sharing"",""เชียงราย!J74"")"),2)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IFERROR(__xludf.DUMMYFUNCTION("IMPORTRANGE(""https://docs.google.com/spreadsheets/d/11923uPwbBZFjjGgGUA6NLw09EwE0CqkOc4q9oUmW1yo/edit?usp=sharing"",""เชียงราย!J79"")"),0)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IFERROR(__xludf.DUMMYFUNCTION("IMPORTRANGE(""https://docs.google.com/spreadsheets/d/11923uPwbBZFjjGgGUA6NLw09EwE0CqkOc4q9oUmW1yo/edit?usp=sharing"",""เชียงราย!J80"")"),1)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IFERROR(__xludf.DUMMYFUNCTION("IMPORTRANGE(""https://docs.google.com/spreadsheets/d/11923uPwbBZFjjGgGUA6NLw09EwE0CqkOc4q9oUmW1yo/edit?usp=sharing"",""เชียงราย!J81"")"),1)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IFERROR(__xludf.DUMMYFUNCTION("IMPORTRANGE(""https://docs.google.com/spreadsheets/d/11923uPwbBZFjjGgGUA6NLw09EwE0CqkOc4q9oUmW1yo/edit?usp=sharing"",""เชียงราย!J82"")"),1)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IFERROR(__xludf.DUMMYFUNCTION("IMPORTRANGE(""https://docs.google.com/spreadsheets/d/11923uPwbBZFjjGgGUA6NLw09EwE0CqkOc4q9oUmW1yo/edit?usp=sharing"",""เชียงราย!I83"")"),4)</f>
        <v>4</v>
      </c>
      <c r="J158" s="190">
        <f ca="1">IFERROR(__xludf.DUMMYFUNCTION("IMPORTRANGE(""https://docs.google.com/spreadsheets/d/11923uPwbBZFjjGgGUA6NLw09EwE0CqkOc4q9oUmW1yo/edit?usp=sharing"",""เชียงราย!J83"")"),2)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IFERROR(__xludf.DUMMYFUNCTION("IMPORTRANGE(""https://docs.google.com/spreadsheets/d/11923uPwbBZFjjGgGUA6NLw09EwE0CqkOc4q9oUmW1yo/edit?usp=sharing"",""เชียงราย!J84"")"),23)</f>
        <v>23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IFERROR(__xludf.DUMMYFUNCTION("IMPORTRANGE(""https://docs.google.com/spreadsheets/d/11923uPwbBZFjjGgGUA6NLw09EwE0CqkOc4q9oUmW1yo/edit?usp=sharing"",""เชียงราย!J85"")"),21)</f>
        <v>21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IFERROR(__xludf.DUMMYFUNCTION("IMPORTRANGE(""https://docs.google.com/spreadsheets/d/11923uPwbBZFjjGgGUA6NLw09EwE0CqkOc4q9oUmW1yo/edit?usp=sharing"",""เชียงราย!J86"")"),2)</f>
        <v>2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IFERROR(__xludf.DUMMYFUNCTION("IMPORTRANGE(""https://docs.google.com/spreadsheets/d/11923uPwbBZFjjGgGUA6NLw09EwE0CqkOc4q9oUmW1yo/edit?usp=sharing"",""เชียงราย!J87"")"),0)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IFERROR(__xludf.DUMMYFUNCTION("IMPORTRANGE(""https://docs.google.com/spreadsheets/d/11923uPwbBZFjjGgGUA6NLw09EwE0CqkOc4q9oUmW1yo/edit?usp=sharing"",""เชียงราย!J88"")"),0)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IFERROR(__xludf.DUMMYFUNCTION("IMPORTRANGE(""https://docs.google.com/spreadsheets/d/11923uPwbBZFjjGgGUA6NLw09EwE0CqkOc4q9oUmW1yo/edit?usp=sharing"",""เชียงราย!I89"")"),5)</f>
        <v>5</v>
      </c>
      <c r="J164" s="285">
        <f ca="1">IFERROR(__xludf.DUMMYFUNCTION("IMPORTRANGE(""https://docs.google.com/spreadsheets/d/11923uPwbBZFjjGgGUA6NLw09EwE0CqkOc4q9oUmW1yo/edit?usp=sharing"",""เชียงราย!J89"")"),5)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IFERROR(__xludf.DUMMYFUNCTION("IMPORTRANGE(""https://docs.google.com/spreadsheets/d/11923uPwbBZFjjGgGUA6NLw09EwE0CqkOc4q9oUmW1yo/edit?usp=sharing"",""เชียงราย!J94"")"),0)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IFERROR(__xludf.DUMMYFUNCTION("IMPORTRANGE(""https://docs.google.com/spreadsheets/d/11923uPwbBZFjjGgGUA6NLw09EwE0CqkOc4q9oUmW1yo/edit?usp=sharing"",""เชียงราย!J95"")"),1)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IFERROR(__xludf.DUMMYFUNCTION("IMPORTRANGE(""https://docs.google.com/spreadsheets/d/11923uPwbBZFjjGgGUA6NLw09EwE0CqkOc4q9oUmW1yo/edit?usp=sharing"",""เชียงราย!J96"")"),1)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IFERROR(__xludf.DUMMYFUNCTION("IMPORTRANGE(""https://docs.google.com/spreadsheets/d/11923uPwbBZFjjGgGUA6NLw09EwE0CqkOc4q9oUmW1yo/edit?usp=sharing"",""เชียงราย!J97"")"),1)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IFERROR(__xludf.DUMMYFUNCTION("IMPORTRANGE(""https://docs.google.com/spreadsheets/d/11923uPwbBZFjjGgGUA6NLw09EwE0CqkOc4q9oUmW1yo/edit?usp=sharing"",""เชียงราย!I98"")"),5)</f>
        <v>5</v>
      </c>
      <c r="J173" s="190">
        <f ca="1">IFERROR(__xludf.DUMMYFUNCTION("IMPORTRANGE(""https://docs.google.com/spreadsheets/d/11923uPwbBZFjjGgGUA6NLw09EwE0CqkOc4q9oUmW1yo/edit?usp=sharing"",""เชียงราย!J98"")"),5)</f>
        <v>5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IFERROR(__xludf.DUMMYFUNCTION("IMPORTRANGE(""https://docs.google.com/spreadsheets/d/11923uPwbBZFjjGgGUA6NLw09EwE0CqkOc4q9oUmW1yo/edit?usp=sharing"",""เชียงราย!J99"")"),0)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IFERROR(__xludf.DUMMYFUNCTION("IMPORTRANGE(""https://docs.google.com/spreadsheets/d/11923uPwbBZFjjGgGUA6NLw09EwE0CqkOc4q9oUmW1yo/edit?usp=sharing"",""เชียงราย!J100"")"),0)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IFERROR(__xludf.DUMMYFUNCTION("IMPORTRANGE(""https://docs.google.com/spreadsheets/d/11923uPwbBZFjjGgGUA6NLw09EwE0CqkOc4q9oUmW1yo/edit?usp=sharing"",""เชียงราย!I101"")"),0)</f>
        <v>0</v>
      </c>
      <c r="J176" s="285">
        <f ca="1">IFERROR(__xludf.DUMMYFUNCTION("IMPORTRANGE(""https://docs.google.com/spreadsheets/d/11923uPwbBZFjjGgGUA6NLw09EwE0CqkOc4q9oUmW1yo/edit?usp=sharing"",""เชียงราย!J101"")"),0)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IFERROR(__xludf.DUMMYFUNCTION("IMPORTRANGE(""https://docs.google.com/spreadsheets/d/11923uPwbBZFjjGgGUA6NLw09EwE0CqkOc4q9oUmW1yo/edit?usp=sharing"",""เชียงราย!J106"")"),0)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IFERROR(__xludf.DUMMYFUNCTION("IMPORTRANGE(""https://docs.google.com/spreadsheets/d/11923uPwbBZFjjGgGUA6NLw09EwE0CqkOc4q9oUmW1yo/edit?usp=sharing"",""เชียงราย!J107"")"),0)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IFERROR(__xludf.DUMMYFUNCTION("IMPORTRANGE(""https://docs.google.com/spreadsheets/d/11923uPwbBZFjjGgGUA6NLw09EwE0CqkOc4q9oUmW1yo/edit?usp=sharing"",""เชียงราย!J108"")"),0)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IFERROR(__xludf.DUMMYFUNCTION("IMPORTRANGE(""https://docs.google.com/spreadsheets/d/11923uPwbBZFjjGgGUA6NLw09EwE0CqkOc4q9oUmW1yo/edit?usp=sharing"",""เชียงราย!J109"")"),0)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IFERROR(__xludf.DUMMYFUNCTION("IMPORTRANGE(""https://docs.google.com/spreadsheets/d/11923uPwbBZFjjGgGUA6NLw09EwE0CqkOc4q9oUmW1yo/edit?usp=sharing"",""เชียงราย!I110"")"),0)</f>
        <v>0</v>
      </c>
      <c r="J185" s="205">
        <f ca="1">IFERROR(__xludf.DUMMYFUNCTION("IMPORTRANGE(""https://docs.google.com/spreadsheets/d/11923uPwbBZFjjGgGUA6NLw09EwE0CqkOc4q9oUmW1yo/edit?usp=sharing"",""เชียงราย!J110"")"),0)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IFERROR(__xludf.DUMMYFUNCTION("IMPORTRANGE(""https://docs.google.com/spreadsheets/d/11923uPwbBZFjjGgGUA6NLw09EwE0CqkOc4q9oUmW1yo/edit?usp=sharing"",""เชียงราย!I111"")"),0)</f>
        <v>0</v>
      </c>
      <c r="J186" s="205">
        <f ca="1">IFERROR(__xludf.DUMMYFUNCTION("IMPORTRANGE(""https://docs.google.com/spreadsheets/d/11923uPwbBZFjjGgGUA6NLw09EwE0CqkOc4q9oUmW1yo/edit?usp=sharing"",""เชียงราย!J111"")"),0)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IFERROR(__xludf.DUMMYFUNCTION("IMPORTRANGE(""https://docs.google.com/spreadsheets/d/11923uPwbBZFjjGgGUA6NLw09EwE0CqkOc4q9oUmW1yo/edit?usp=sharing"",""เชียงราย!J112"")"),0)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IFERROR(__xludf.DUMMYFUNCTION("IMPORTRANGE(""https://docs.google.com/spreadsheets/d/11923uPwbBZFjjGgGUA6NLw09EwE0CqkOc4q9oUmW1yo/edit?usp=sharing"",""เชียงราย!J113"")"),0)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IFERROR(__xludf.DUMMYFUNCTION("IMPORTRANGE(""https://docs.google.com/spreadsheets/d/11923uPwbBZFjjGgGUA6NLw09EwE0CqkOc4q9oUmW1yo/edit?usp=sharing"",""เชียงราย!I114"")"),60000)</f>
        <v>60000</v>
      </c>
      <c r="J189" s="285">
        <f ca="1">IFERROR(__xludf.DUMMYFUNCTION("IMPORTRANGE(""https://docs.google.com/spreadsheets/d/11923uPwbBZFjjGgGUA6NLw09EwE0CqkOc4q9oUmW1yo/edit?usp=sharing"",""เชียงราย!J114"")"),0)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IFERROR(__xludf.DUMMYFUNCTION("IMPORTRANGE(""https://docs.google.com/spreadsheets/d/11923uPwbBZFjjGgGUA6NLw09EwE0CqkOc4q9oUmW1yo/edit?usp=sharing"",""เชียงราย!J119"")"),0)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IFERROR(__xludf.DUMMYFUNCTION("IMPORTRANGE(""https://docs.google.com/spreadsheets/d/11923uPwbBZFjjGgGUA6NLw09EwE0CqkOc4q9oUmW1yo/edit?usp=sharing"",""เชียงราย!J120"")"),1)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IFERROR(__xludf.DUMMYFUNCTION("IMPORTRANGE(""https://docs.google.com/spreadsheets/d/11923uPwbBZFjjGgGUA6NLw09EwE0CqkOc4q9oUmW1yo/edit?usp=sharing"",""เชียงราย!J121"")"),1)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IFERROR(__xludf.DUMMYFUNCTION("IMPORTRANGE(""https://docs.google.com/spreadsheets/d/11923uPwbBZFjjGgGUA6NLw09EwE0CqkOc4q9oUmW1yo/edit?usp=sharing"",""เชียงราย!J122"")"),0)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IFERROR(__xludf.DUMMYFUNCTION("IMPORTRANGE(""https://docs.google.com/spreadsheets/d/11923uPwbBZFjjGgGUA6NLw09EwE0CqkOc4q9oUmW1yo/edit?usp=sharing"",""เชียงราย!I124"")"),60000)</f>
        <v>60000</v>
      </c>
      <c r="J199" s="190">
        <f ca="1">IFERROR(__xludf.DUMMYFUNCTION("IMPORTRANGE(""https://docs.google.com/spreadsheets/d/11923uPwbBZFjjGgGUA6NLw09EwE0CqkOc4q9oUmW1yo/edit?usp=sharing"",""เชียงราย!J124"")"),0)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IFERROR(__xludf.DUMMYFUNCTION("IMPORTRANGE(""https://docs.google.com/spreadsheets/d/11923uPwbBZFjjGgGUA6NLw09EwE0CqkOc4q9oUmW1yo/edit?usp=sharing"",""เชียงราย!I125"")"),60000)</f>
        <v>60000</v>
      </c>
      <c r="J200" s="190">
        <f ca="1">IFERROR(__xludf.DUMMYFUNCTION("IMPORTRANGE(""https://docs.google.com/spreadsheets/d/11923uPwbBZFjjGgGUA6NLw09EwE0CqkOc4q9oUmW1yo/edit?usp=sharing"",""เชียงราย!J125"")"),0)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IFERROR(__xludf.DUMMYFUNCTION("IMPORTRANGE(""https://docs.google.com/spreadsheets/d/11923uPwbBZFjjGgGUA6NLw09EwE0CqkOc4q9oUmW1yo/edit?usp=sharing"",""เชียงราย!I126"")"),15)</f>
        <v>15</v>
      </c>
      <c r="J201" s="190">
        <f ca="1">IFERROR(__xludf.DUMMYFUNCTION("IMPORTRANGE(""https://docs.google.com/spreadsheets/d/11923uPwbBZFjjGgGUA6NLw09EwE0CqkOc4q9oUmW1yo/edit?usp=sharing"",""เชียงราย!J126"")"),15)</f>
        <v>15</v>
      </c>
      <c r="K201" s="165">
        <f t="shared" ca="1" si="70"/>
        <v>100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IFERROR(__xludf.DUMMYFUNCTION("IMPORTRANGE(""https://docs.google.com/spreadsheets/d/11923uPwbBZFjjGgGUA6NLw09EwE0CqkOc4q9oUmW1yo/edit?usp=sharing"",""เชียงราย!J127"")"),0)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IFERROR(__xludf.DUMMYFUNCTION("IMPORTRANGE(""https://docs.google.com/spreadsheets/d/11923uPwbBZFjjGgGUA6NLw09EwE0CqkOc4q9oUmW1yo/edit?usp=sharing"",""เชียงราย!J128"")"),0)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IFERROR(__xludf.DUMMYFUNCTION("IMPORTRANGE(""https://docs.google.com/spreadsheets/d/11923uPwbBZFjjGgGUA6NLw09EwE0CqkOc4q9oUmW1yo/edit?usp=sharing"",""เชียงราย!I129"")"),0)</f>
        <v>0</v>
      </c>
      <c r="J204" s="285">
        <f ca="1">IFERROR(__xludf.DUMMYFUNCTION("IMPORTRANGE(""https://docs.google.com/spreadsheets/d/11923uPwbBZFjjGgGUA6NLw09EwE0CqkOc4q9oUmW1yo/edit?usp=sharing"",""เชียงราย!J129"")"),0)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IFERROR(__xludf.DUMMYFUNCTION("IMPORTRANGE(""https://docs.google.com/spreadsheets/d/11923uPwbBZFjjGgGUA6NLw09EwE0CqkOc4q9oUmW1yo/edit?usp=sharing"",""เชียงราย!J134"")"),0)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IFERROR(__xludf.DUMMYFUNCTION("IMPORTRANGE(""https://docs.google.com/spreadsheets/d/11923uPwbBZFjjGgGUA6NLw09EwE0CqkOc4q9oUmW1yo/edit?usp=sharing"",""เชียงราย!J135"")"),0)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IFERROR(__xludf.DUMMYFUNCTION("IMPORTRANGE(""https://docs.google.com/spreadsheets/d/11923uPwbBZFjjGgGUA6NLw09EwE0CqkOc4q9oUmW1yo/edit?usp=sharing"",""เชียงราย!J136"")"),0)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IFERROR(__xludf.DUMMYFUNCTION("IMPORTRANGE(""https://docs.google.com/spreadsheets/d/11923uPwbBZFjjGgGUA6NLw09EwE0CqkOc4q9oUmW1yo/edit?usp=sharing"",""เชียงราย!J137"")"),0)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IFERROR(__xludf.DUMMYFUNCTION("IMPORTRANGE(""https://docs.google.com/spreadsheets/d/11923uPwbBZFjjGgGUA6NLw09EwE0CqkOc4q9oUmW1yo/edit?usp=sharing"",""เชียงราย!I138"")"),0)</f>
        <v>0</v>
      </c>
      <c r="J213" s="205">
        <f ca="1">IFERROR(__xludf.DUMMYFUNCTION("IMPORTRANGE(""https://docs.google.com/spreadsheets/d/11923uPwbBZFjjGgGUA6NLw09EwE0CqkOc4q9oUmW1yo/edit?usp=sharing"",""เชียงราย!J138"")"),0)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IFERROR(__xludf.DUMMYFUNCTION("IMPORTRANGE(""https://docs.google.com/spreadsheets/d/11923uPwbBZFjjGgGUA6NLw09EwE0CqkOc4q9oUmW1yo/edit?usp=sharing"",""เชียงราย!I140"")"),0)</f>
        <v>0</v>
      </c>
      <c r="J215" s="205">
        <f ca="1">IFERROR(__xludf.DUMMYFUNCTION("IMPORTRANGE(""https://docs.google.com/spreadsheets/d/11923uPwbBZFjjGgGUA6NLw09EwE0CqkOc4q9oUmW1yo/edit?usp=sharing"",""เชียงราย!J140"")"),0)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IFERROR(__xludf.DUMMYFUNCTION("IMPORTRANGE(""https://docs.google.com/spreadsheets/d/11923uPwbBZFjjGgGUA6NLw09EwE0CqkOc4q9oUmW1yo/edit?usp=sharing"",""เชียงราย!I141"")"),0)</f>
        <v>0</v>
      </c>
      <c r="J216" s="205">
        <f ca="1">IFERROR(__xludf.DUMMYFUNCTION("IMPORTRANGE(""https://docs.google.com/spreadsheets/d/11923uPwbBZFjjGgGUA6NLw09EwE0CqkOc4q9oUmW1yo/edit?usp=sharing"",""เชียงราย!J141"")"),0)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IFERROR(__xludf.DUMMYFUNCTION("IMPORTRANGE(""https://docs.google.com/spreadsheets/d/11923uPwbBZFjjGgGUA6NLw09EwE0CqkOc4q9oUmW1yo/edit?usp=sharing"",""เชียงราย!J142"")"),0)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IFERROR(__xludf.DUMMYFUNCTION("IMPORTRANGE(""https://docs.google.com/spreadsheets/d/11923uPwbBZFjjGgGUA6NLw09EwE0CqkOc4q9oUmW1yo/edit?usp=sharing"",""เชียงราย!J143"")"),0)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IFERROR(__xludf.DUMMYFUNCTION("IMPORTRANGE(""https://docs.google.com/spreadsheets/d/11923uPwbBZFjjGgGUA6NLw09EwE0CqkOc4q9oUmW1yo/edit?usp=sharing"",""เชียงราย!I144"")"),14)</f>
        <v>14</v>
      </c>
      <c r="J219" s="268">
        <f ca="1">IFERROR(__xludf.DUMMYFUNCTION("IMPORTRANGE(""https://docs.google.com/spreadsheets/d/11923uPwbBZFjjGgGUA6NLw09EwE0CqkOc4q9oUmW1yo/edit?usp=sharing"",""เชียงราย!J144"")"),14)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20210</v>
      </c>
      <c r="M220" s="154">
        <f t="shared" ca="1" si="72"/>
        <v>20210</v>
      </c>
      <c r="N220" s="154">
        <f t="shared" ca="1" si="72"/>
        <v>19940</v>
      </c>
      <c r="O220" s="153">
        <f t="shared" ref="O220:O222" ca="1" si="73">IF(L220&gt;0,N220*100/L220,0)</f>
        <v>98.66402770905492</v>
      </c>
      <c r="P220" s="153">
        <f t="shared" ref="P220:P222" ca="1" si="74">IF(M220&gt;0,N220*100/M220,0)</f>
        <v>98.66402770905492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20210</v>
      </c>
      <c r="M222" s="90">
        <f t="shared" ca="1" si="76"/>
        <v>20210</v>
      </c>
      <c r="N222" s="90">
        <f t="shared" ca="1" si="76"/>
        <v>19940</v>
      </c>
      <c r="O222" s="158">
        <f t="shared" ca="1" si="73"/>
        <v>98.66402770905492</v>
      </c>
      <c r="P222" s="158">
        <f t="shared" ca="1" si="74"/>
        <v>98.66402770905492</v>
      </c>
    </row>
    <row r="223" spans="1:16" ht="21.75" customHeight="1">
      <c r="A223" s="159"/>
      <c r="B223" s="160"/>
      <c r="C223" s="160" t="s">
        <v>16</v>
      </c>
      <c r="D223" s="36" t="s">
        <v>20</v>
      </c>
      <c r="E223" s="161"/>
      <c r="F223" s="161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20210</v>
      </c>
      <c r="M224" s="169">
        <f ca="1">IFERROR(__xludf.DUMMYFUNCTION("IMPORTRANGE(""https://docs.google.com/spreadsheets/d/1Yj_ptqi66GCucihVvJfMjLAmec39IyEx_6qawtMGysU/edit?usp=sharing"",""สบก!BS21"")"),20210)</f>
        <v>20210</v>
      </c>
      <c r="N224" s="170">
        <f ca="1">IFERROR(__xludf.DUMMYFUNCTION("IMPORTRANGE(""https://docs.google.com/spreadsheets/d/1Yj_ptqi66GCucihVvJfMjLAmec39IyEx_6qawtMGysU/edit?usp=sharing"",""สบก!BT21"")"),19940)</f>
        <v>19940</v>
      </c>
      <c r="O224" s="170">
        <f ca="1">IF(L224&gt;0,N224*100/L224,0)</f>
        <v>98.66402770905492</v>
      </c>
      <c r="P224" s="170">
        <f ca="1">IF(M224&gt;0,N224*100/M224,0)</f>
        <v>98.66402770905492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IFERROR(__xludf.DUMMYFUNCTION("IMPORTRANGE(""https://docs.google.com/spreadsheets/d/1Yj_ptqi66GCucihVvJfMjLAmec39IyEx_6qawtMGysU/edit?usp=sharing"",""สบก!BO21"")"),0)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IFERROR(__xludf.DUMMYFUNCTION("IMPORTRANGE(""https://docs.google.com/spreadsheets/d/1Yj_ptqi66GCucihVvJfMjLAmec39IyEx_6qawtMGysU/edit?usp=sharing"",""สบก!BP21"")"),20210)</f>
        <v>20210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IFERROR(__xludf.DUMMYFUNCTION("IMPORTRANGE(""https://docs.google.com/spreadsheets/d/1Yj_ptqi66GCucihVvJfMjLAmec39IyEx_6qawtMGysU/edit?usp=sharing"",""สบก!BQ21"")"),0)</f>
        <v>0</v>
      </c>
      <c r="M228" s="52"/>
      <c r="N228" s="52">
        <f ca="1">IFERROR(__xludf.DUMMYFUNCTION("IMPORTRANGE(""https://docs.google.com/spreadsheets/d/1Yj_ptqi66GCucihVvJfMjLAmec39IyEx_6qawtMGysU/edit?usp=sharing"",""สบก!BU21"")"),0)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IFERROR(__xludf.DUMMYFUNCTION("IMPORTRANGE(""https://docs.google.com/spreadsheets/d/11923uPwbBZFjjGgGUA6NLw09EwE0CqkOc4q9oUmW1yo/edit?usp=sharing"",""เชียงราย!I149"")"),14)</f>
        <v>14</v>
      </c>
      <c r="J229" s="268">
        <f ca="1">IFERROR(__xludf.DUMMYFUNCTION("IMPORTRANGE(""https://docs.google.com/spreadsheets/d/11923uPwbBZFjjGgGUA6NLw09EwE0CqkOc4q9oUmW1yo/edit?usp=sharing"",""เชียงราย!J149"")"),14)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IFERROR(__xludf.DUMMYFUNCTION("IMPORTRANGE(""https://docs.google.com/spreadsheets/d/11923uPwbBZFjjGgGUA6NLw09EwE0CqkOc4q9oUmW1yo/edit?usp=sharing"",""เชียงราย!J151"")"),0)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IFERROR(__xludf.DUMMYFUNCTION("IMPORTRANGE(""https://docs.google.com/spreadsheets/d/11923uPwbBZFjjGgGUA6NLw09EwE0CqkOc4q9oUmW1yo/edit?usp=sharing"",""เชียงราย!J152"")"),1)</f>
        <v>1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IFERROR(__xludf.DUMMYFUNCTION("IMPORTRANGE(""https://docs.google.com/spreadsheets/d/11923uPwbBZFjjGgGUA6NLw09EwE0CqkOc4q9oUmW1yo/edit?usp=sharing"",""เชียงราย!J153"")"),1)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IFERROR(__xludf.DUMMYFUNCTION("IMPORTRANGE(""https://docs.google.com/spreadsheets/d/11923uPwbBZFjjGgGUA6NLw09EwE0CqkOc4q9oUmW1yo/edit?usp=sharing"",""เชียงราย!J154"")"),1)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IFERROR(__xludf.DUMMYFUNCTION("IMPORTRANGE(""https://docs.google.com/spreadsheets/d/11923uPwbBZFjjGgGUA6NLw09EwE0CqkOc4q9oUmW1yo/edit?usp=sharing"",""เชียงราย!I155"")"),14)</f>
        <v>14</v>
      </c>
      <c r="J235" s="190">
        <f ca="1">IFERROR(__xludf.DUMMYFUNCTION("IMPORTRANGE(""https://docs.google.com/spreadsheets/d/11923uPwbBZFjjGgGUA6NLw09EwE0CqkOc4q9oUmW1yo/edit?usp=sharing"",""เชียงราย!J155"")"),14)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IFERROR(__xludf.DUMMYFUNCTION("IMPORTRANGE(""https://docs.google.com/spreadsheets/d/11923uPwbBZFjjGgGUA6NLw09EwE0CqkOc4q9oUmW1yo/edit?usp=sharing"",""เชียงราย!J156"")"),0)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IFERROR(__xludf.DUMMYFUNCTION("IMPORTRANGE(""https://docs.google.com/spreadsheets/d/11923uPwbBZFjjGgGUA6NLw09EwE0CqkOc4q9oUmW1yo/edit?usp=sharing"",""เชียงราย!J157"")"),0)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IFERROR(__xludf.DUMMYFUNCTION("IMPORTRANGE(""https://docs.google.com/spreadsheets/d/11923uPwbBZFjjGgGUA6NLw09EwE0CqkOc4q9oUmW1yo/edit?usp=sharing"",""เชียงราย!I158"")"),0)</f>
        <v>0</v>
      </c>
      <c r="J238" s="268">
        <f ca="1">IFERROR(__xludf.DUMMYFUNCTION("IMPORTRANGE(""https://docs.google.com/spreadsheets/d/11923uPwbBZFjjGgGUA6NLw09EwE0CqkOc4q9oUmW1yo/edit?usp=sharing"",""เชียงราย!J158"")"),0)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IFERROR(__xludf.DUMMYFUNCTION("IMPORTRANGE(""https://docs.google.com/spreadsheets/d/11923uPwbBZFjjGgGUA6NLw09EwE0CqkOc4q9oUmW1yo/edit?usp=sharing"",""เชียงราย!J159"")"),"")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IFERROR(__xludf.DUMMYFUNCTION("IMPORTRANGE(""https://docs.google.com/spreadsheets/d/11923uPwbBZFjjGgGUA6NLw09EwE0CqkOc4q9oUmW1yo/edit?usp=sharing"",""เชียงราย!J161"")"),0)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IFERROR(__xludf.DUMMYFUNCTION("IMPORTRANGE(""https://docs.google.com/spreadsheets/d/11923uPwbBZFjjGgGUA6NLw09EwE0CqkOc4q9oUmW1yo/edit?usp=sharing"",""เชียงราย!J162"")"),0)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IFERROR(__xludf.DUMMYFUNCTION("IMPORTRANGE(""https://docs.google.com/spreadsheets/d/11923uPwbBZFjjGgGUA6NLw09EwE0CqkOc4q9oUmW1yo/edit?usp=sharing"",""เชียงราย!J163"")"),0)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IFERROR(__xludf.DUMMYFUNCTION("IMPORTRANGE(""https://docs.google.com/spreadsheets/d/11923uPwbBZFjjGgGUA6NLw09EwE0CqkOc4q9oUmW1yo/edit?usp=sharing"",""เชียงราย!I164"")"),0)</f>
        <v>0</v>
      </c>
      <c r="J244" s="189">
        <f ca="1">IFERROR(__xludf.DUMMYFUNCTION("IMPORTRANGE(""https://docs.google.com/spreadsheets/d/11923uPwbBZFjjGgGUA6NLw09EwE0CqkOc4q9oUmW1yo/edit?usp=sharing"",""เชียงราย!J164"")"),0)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IFERROR(__xludf.DUMMYFUNCTION("IMPORTRANGE(""https://docs.google.com/spreadsheets/d/11923uPwbBZFjjGgGUA6NLw09EwE0CqkOc4q9oUmW1yo/edit?usp=sharing"",""เชียงราย!J165"")"),0)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IFERROR(__xludf.DUMMYFUNCTION("IMPORTRANGE(""https://docs.google.com/spreadsheets/d/11923uPwbBZFjjGgGUA6NLw09EwE0CqkOc4q9oUmW1yo/edit?usp=sharing"",""เชียงราย!J166"")"),0)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IFERROR(__xludf.DUMMYFUNCTION("IMPORTRANGE(""https://docs.google.com/spreadsheets/d/11923uPwbBZFjjGgGUA6NLw09EwE0CqkOc4q9oUmW1yo/edit?usp=sharing"",""เชียงราย!I169"")"),20)</f>
        <v>20</v>
      </c>
      <c r="J249" s="317">
        <f ca="1">IFERROR(__xludf.DUMMYFUNCTION("IMPORTRANGE(""https://docs.google.com/spreadsheets/d/11923uPwbBZFjjGgGUA6NLw09EwE0CqkOc4q9oUmW1yo/edit?usp=sharing"",""เชียงราย!J169"")"),20)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71400</v>
      </c>
      <c r="M250" s="154">
        <f t="shared" ca="1" si="77"/>
        <v>42000</v>
      </c>
      <c r="N250" s="154">
        <f t="shared" ca="1" si="77"/>
        <v>32990</v>
      </c>
      <c r="O250" s="153">
        <f t="shared" ref="O250:O252" ca="1" si="78">IF(L250&gt;0,N250*100/L250,0)</f>
        <v>46.20448179271709</v>
      </c>
      <c r="P250" s="153">
        <f t="shared" ref="P250:P252" ca="1" si="79">IF(M250&gt;0,N250*100/M250,0)</f>
        <v>78.547619047619051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71400</v>
      </c>
      <c r="M252" s="90">
        <f t="shared" ca="1" si="81"/>
        <v>42000</v>
      </c>
      <c r="N252" s="90">
        <f t="shared" ca="1" si="81"/>
        <v>32990</v>
      </c>
      <c r="O252" s="158">
        <f t="shared" ca="1" si="78"/>
        <v>46.20448179271709</v>
      </c>
      <c r="P252" s="158">
        <f t="shared" ca="1" si="79"/>
        <v>78.547619047619051</v>
      </c>
    </row>
    <row r="253" spans="1:16" ht="21.75" customHeight="1">
      <c r="A253" s="159"/>
      <c r="B253" s="160"/>
      <c r="C253" s="160" t="s">
        <v>16</v>
      </c>
      <c r="D253" s="36" t="s">
        <v>20</v>
      </c>
      <c r="E253" s="161"/>
      <c r="F253" s="161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71400</v>
      </c>
      <c r="M254" s="169">
        <f ca="1">IFERROR(__xludf.DUMMYFUNCTION("IMPORTRANGE(""https://docs.google.com/spreadsheets/d/1Yj_ptqi66GCucihVvJfMjLAmec39IyEx_6qawtMGysU/edit?usp=sharing"",""สบก!CB21"")"),42000)</f>
        <v>42000</v>
      </c>
      <c r="N254" s="170">
        <f ca="1">IFERROR(__xludf.DUMMYFUNCTION("IMPORTRANGE(""https://docs.google.com/spreadsheets/d/1Yj_ptqi66GCucihVvJfMjLAmec39IyEx_6qawtMGysU/edit?usp=sharing"",""สบก!CC21"")"),32990)</f>
        <v>32990</v>
      </c>
      <c r="O254" s="170">
        <f ca="1">IF(L254&gt;0,N254*100/L254,0)</f>
        <v>46.20448179271709</v>
      </c>
      <c r="P254" s="170">
        <f ca="1">IF(M254&gt;0,N254*100/M254,0)</f>
        <v>78.547619047619051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IFERROR(__xludf.DUMMYFUNCTION("IMPORTRANGE(""https://docs.google.com/spreadsheets/d/1Yj_ptqi66GCucihVvJfMjLAmec39IyEx_6qawtMGysU/edit?usp=sharing"",""สบก!BX21"")"),0)</f>
        <v>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IFERROR(__xludf.DUMMYFUNCTION("IMPORTRANGE(""https://docs.google.com/spreadsheets/d/1Yj_ptqi66GCucihVvJfMjLAmec39IyEx_6qawtMGysU/edit?usp=sharing"",""สบก!BY21"")"),71400)</f>
        <v>71400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IFERROR(__xludf.DUMMYFUNCTION("IMPORTRANGE(""https://docs.google.com/spreadsheets/d/1Yj_ptqi66GCucihVvJfMjLAmec39IyEx_6qawtMGysU/edit?usp=sharing"",""สบก!BZ21"")"),0)</f>
        <v>0</v>
      </c>
      <c r="M258" s="52"/>
      <c r="N258" s="52">
        <f ca="1">IFERROR(__xludf.DUMMYFUNCTION("IMPORTRANGE(""https://docs.google.com/spreadsheets/d/1Yj_ptqi66GCucihVvJfMjLAmec39IyEx_6qawtMGysU/edit?usp=sharing"",""สบก!CD21"")"),0)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IFERROR(__xludf.DUMMYFUNCTION("IMPORTRANGE(""https://docs.google.com/spreadsheets/d/11923uPwbBZFjjGgGUA6NLw09EwE0CqkOc4q9oUmW1yo/edit?usp=sharing"",""เชียงราย!J175"")"),0)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IFERROR(__xludf.DUMMYFUNCTION("IMPORTRANGE(""https://docs.google.com/spreadsheets/d/11923uPwbBZFjjGgGUA6NLw09EwE0CqkOc4q9oUmW1yo/edit?usp=sharing"",""เชียงราย!J176"")"),1)</f>
        <v>1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IFERROR(__xludf.DUMMYFUNCTION("IMPORTRANGE(""https://docs.google.com/spreadsheets/d/11923uPwbBZFjjGgGUA6NLw09EwE0CqkOc4q9oUmW1yo/edit?usp=sharing"",""เชียงราย!J177"")"),1)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IFERROR(__xludf.DUMMYFUNCTION("IMPORTRANGE(""https://docs.google.com/spreadsheets/d/11923uPwbBZFjjGgGUA6NLw09EwE0CqkOc4q9oUmW1yo/edit?usp=sharing"",""เชียงราย!J178"")"),1)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IFERROR(__xludf.DUMMYFUNCTION("IMPORTRANGE(""https://docs.google.com/spreadsheets/d/11923uPwbBZFjjGgGUA6NLw09EwE0CqkOc4q9oUmW1yo/edit?usp=sharing"",""เชียงราย!I179"")"),1)</f>
        <v>1</v>
      </c>
      <c r="J264" s="190">
        <f ca="1">IFERROR(__xludf.DUMMYFUNCTION("IMPORTRANGE(""https://docs.google.com/spreadsheets/d/11923uPwbBZFjjGgGUA6NLw09EwE0CqkOc4q9oUmW1yo/edit?usp=sharing"",""เชียงราย!J179"")"),1)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IFERROR(__xludf.DUMMYFUNCTION("IMPORTRANGE(""https://docs.google.com/spreadsheets/d/11923uPwbBZFjjGgGUA6NLw09EwE0CqkOc4q9oUmW1yo/edit?usp=sharing"",""เชียงราย!I180"")"),20)</f>
        <v>20</v>
      </c>
      <c r="J265" s="190">
        <f ca="1">IFERROR(__xludf.DUMMYFUNCTION("IMPORTRANGE(""https://docs.google.com/spreadsheets/d/11923uPwbBZFjjGgGUA6NLw09EwE0CqkOc4q9oUmW1yo/edit?usp=sharing"",""เชียงราย!J180"")"),20)</f>
        <v>20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IFERROR(__xludf.DUMMYFUNCTION("IMPORTRANGE(""https://docs.google.com/spreadsheets/d/11923uPwbBZFjjGgGUA6NLw09EwE0CqkOc4q9oUmW1yo/edit?usp=sharing"",""เชียงราย!I181"")"),20)</f>
        <v>20</v>
      </c>
      <c r="J266" s="190">
        <f ca="1">IFERROR(__xludf.DUMMYFUNCTION("IMPORTRANGE(""https://docs.google.com/spreadsheets/d/11923uPwbBZFjjGgGUA6NLw09EwE0CqkOc4q9oUmW1yo/edit?usp=sharing"",""เชียงราย!J181"")"),0)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IFERROR(__xludf.DUMMYFUNCTION("IMPORTRANGE(""https://docs.google.com/spreadsheets/d/11923uPwbBZFjjGgGUA6NLw09EwE0CqkOc4q9oUmW1yo/edit?usp=sharing"",""เชียงราย!I182"")"),1)</f>
        <v>1</v>
      </c>
      <c r="J267" s="190">
        <f ca="1">IFERROR(__xludf.DUMMYFUNCTION("IMPORTRANGE(""https://docs.google.com/spreadsheets/d/11923uPwbBZFjjGgGUA6NLw09EwE0CqkOc4q9oUmW1yo/edit?usp=sharing"",""เชียงราย!J182"")"),0)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IFERROR(__xludf.DUMMYFUNCTION("IMPORTRANGE(""https://docs.google.com/spreadsheets/d/11923uPwbBZFjjGgGUA6NLw09EwE0CqkOc4q9oUmW1yo/edit?usp=sharing"",""เชียงราย!J183"")"),0)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IFERROR(__xludf.DUMMYFUNCTION("IMPORTRANGE(""https://docs.google.com/spreadsheets/d/11923uPwbBZFjjGgGUA6NLw09EwE0CqkOc4q9oUmW1yo/edit?usp=sharing"",""เชียงราย!J184"")"),0)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IFERROR(__xludf.DUMMYFUNCTION("IMPORTRANGE(""https://docs.google.com/spreadsheets/d/11923uPwbBZFjjGgGUA6NLw09EwE0CqkOc4q9oUmW1yo/edit?usp=sharing"",""เชียงราย!I185"")"),15)</f>
        <v>15</v>
      </c>
      <c r="J270" s="317">
        <f ca="1">IFERROR(__xludf.DUMMYFUNCTION("IMPORTRANGE(""https://docs.google.com/spreadsheets/d/11923uPwbBZFjjGgGUA6NLw09EwE0CqkOc4q9oUmW1yo/edit?usp=sharing"",""เชียงราย!J185"")"),15)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105700</v>
      </c>
      <c r="M271" s="154">
        <f t="shared" ca="1" si="83"/>
        <v>80000</v>
      </c>
      <c r="N271" s="154">
        <f t="shared" ca="1" si="83"/>
        <v>61420</v>
      </c>
      <c r="O271" s="153">
        <f t="shared" ref="O271:O273" ca="1" si="84">IF(L271&gt;0,N271*100/L271,0)</f>
        <v>58.107852412488171</v>
      </c>
      <c r="P271" s="153">
        <f t="shared" ref="P271:P273" ca="1" si="85">IF(M271&gt;0,N271*100/M271,0)</f>
        <v>76.775000000000006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105700</v>
      </c>
      <c r="M273" s="90">
        <f t="shared" ca="1" si="87"/>
        <v>80000</v>
      </c>
      <c r="N273" s="90">
        <f t="shared" ca="1" si="87"/>
        <v>61420</v>
      </c>
      <c r="O273" s="158">
        <f t="shared" ca="1" si="84"/>
        <v>58.107852412488171</v>
      </c>
      <c r="P273" s="158">
        <f t="shared" ca="1" si="85"/>
        <v>76.775000000000006</v>
      </c>
    </row>
    <row r="274" spans="1:16" ht="21.75" customHeight="1">
      <c r="A274" s="159"/>
      <c r="B274" s="160"/>
      <c r="C274" s="160" t="s">
        <v>16</v>
      </c>
      <c r="D274" s="36" t="s">
        <v>20</v>
      </c>
      <c r="E274" s="161"/>
      <c r="F274" s="161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105700</v>
      </c>
      <c r="M275" s="169">
        <f ca="1">IFERROR(__xludf.DUMMYFUNCTION("IMPORTRANGE(""https://docs.google.com/spreadsheets/d/1Yj_ptqi66GCucihVvJfMjLAmec39IyEx_6qawtMGysU/edit?usp=sharing"",""สบก!CK21"")"),80000)</f>
        <v>80000</v>
      </c>
      <c r="N275" s="170">
        <f ca="1">IFERROR(__xludf.DUMMYFUNCTION("IMPORTRANGE(""https://docs.google.com/spreadsheets/d/1Yj_ptqi66GCucihVvJfMjLAmec39IyEx_6qawtMGysU/edit?usp=sharing"",""สบก!CL21"")"),61420)</f>
        <v>61420</v>
      </c>
      <c r="O275" s="170">
        <f ca="1">IF(L275&gt;0,N275*100/L275,0)</f>
        <v>58.107852412488171</v>
      </c>
      <c r="P275" s="170">
        <f ca="1">IF(M275&gt;0,N275*100/M275,0)</f>
        <v>76.775000000000006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IFERROR(__xludf.DUMMYFUNCTION("IMPORTRANGE(""https://docs.google.com/spreadsheets/d/1Yj_ptqi66GCucihVvJfMjLAmec39IyEx_6qawtMGysU/edit?usp=sharing"",""สบก!CG21"")"),0)</f>
        <v>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IFERROR(__xludf.DUMMYFUNCTION("IMPORTRANGE(""https://docs.google.com/spreadsheets/d/1Yj_ptqi66GCucihVvJfMjLAmec39IyEx_6qawtMGysU/edit?usp=sharing"",""สบก!CH21"")"),105700)</f>
        <v>105700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IFERROR(__xludf.DUMMYFUNCTION("IMPORTRANGE(""https://docs.google.com/spreadsheets/d/1Yj_ptqi66GCucihVvJfMjLAmec39IyEx_6qawtMGysU/edit?usp=sharing"",""สบก!CI21"")"),0)</f>
        <v>0</v>
      </c>
      <c r="M279" s="52"/>
      <c r="N279" s="52">
        <f ca="1">IFERROR(__xludf.DUMMYFUNCTION("IMPORTRANGE(""https://docs.google.com/spreadsheets/d/1Yj_ptqi66GCucihVvJfMjLAmec39IyEx_6qawtMGysU/edit?usp=sharing"",""สบก!CM21"")"),0)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IFERROR(__xludf.DUMMYFUNCTION("IMPORTRANGE(""https://docs.google.com/spreadsheets/d/11923uPwbBZFjjGgGUA6NLw09EwE0CqkOc4q9oUmW1yo/edit?usp=sharing"",""เชียงราย!J191"")"),0)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IFERROR(__xludf.DUMMYFUNCTION("IMPORTRANGE(""https://docs.google.com/spreadsheets/d/11923uPwbBZFjjGgGUA6NLw09EwE0CqkOc4q9oUmW1yo/edit?usp=sharing"",""เชียงราย!J192"")"),1)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IFERROR(__xludf.DUMMYFUNCTION("IMPORTRANGE(""https://docs.google.com/spreadsheets/d/11923uPwbBZFjjGgGUA6NLw09EwE0CqkOc4q9oUmW1yo/edit?usp=sharing"",""เชียงราย!J193"")"),1)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IFERROR(__xludf.DUMMYFUNCTION("IMPORTRANGE(""https://docs.google.com/spreadsheets/d/11923uPwbBZFjjGgGUA6NLw09EwE0CqkOc4q9oUmW1yo/edit?usp=sharing"",""เชียงราย!J194"")"),1)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IFERROR(__xludf.DUMMYFUNCTION("IMPORTRANGE(""https://docs.google.com/spreadsheets/d/11923uPwbBZFjjGgGUA6NLw09EwE0CqkOc4q9oUmW1yo/edit?usp=sharing"",""เชียงราย!I195"")"),15)</f>
        <v>15</v>
      </c>
      <c r="J285" s="190">
        <f ca="1">IFERROR(__xludf.DUMMYFUNCTION("IMPORTRANGE(""https://docs.google.com/spreadsheets/d/11923uPwbBZFjjGgGUA6NLw09EwE0CqkOc4q9oUmW1yo/edit?usp=sharing"",""เชียงราย!J195"")"),15)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IFERROR(__xludf.DUMMYFUNCTION("IMPORTRANGE(""https://docs.google.com/spreadsheets/d/11923uPwbBZFjjGgGUA6NLw09EwE0CqkOc4q9oUmW1yo/edit?usp=sharing"",""เชียงราย!J196"")"),0)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IFERROR(__xludf.DUMMYFUNCTION("IMPORTRANGE(""https://docs.google.com/spreadsheets/d/11923uPwbBZFjjGgGUA6NLw09EwE0CqkOc4q9oUmW1yo/edit?usp=sharing"",""เชียงราย!J197"")"),0)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IFERROR(__xludf.DUMMYFUNCTION("IMPORTRANGE(""https://docs.google.com/spreadsheets/d/11923uPwbBZFjjGgGUA6NLw09EwE0CqkOc4q9oUmW1yo/edit?usp=sharing"",""เชียงราย!I199"")"),0)</f>
        <v>0</v>
      </c>
      <c r="J289" s="317">
        <f ca="1">IFERROR(__xludf.DUMMYFUNCTION("IMPORTRANGE(""https://docs.google.com/spreadsheets/d/11923uPwbBZFjjGgGUA6NLw09EwE0CqkOc4q9oUmW1yo/edit?usp=sharing"",""เชียงราย!J199"")"),0)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0</v>
      </c>
      <c r="M292" s="90">
        <f t="shared" ca="1" si="92"/>
        <v>0</v>
      </c>
      <c r="N292" s="90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59"/>
      <c r="B293" s="160"/>
      <c r="C293" s="160" t="s">
        <v>16</v>
      </c>
      <c r="D293" s="36" t="s">
        <v>20</v>
      </c>
      <c r="E293" s="161"/>
      <c r="F293" s="161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IFERROR(__xludf.DUMMYFUNCTION("IMPORTRANGE(""https://docs.google.com/spreadsheets/d/1Yj_ptqi66GCucihVvJfMjLAmec39IyEx_6qawtMGysU/edit?usp=sharing"",""สบก!CT21"")"),0)</f>
        <v>0</v>
      </c>
      <c r="N294" s="170">
        <f ca="1">IFERROR(__xludf.DUMMYFUNCTION("IMPORTRANGE(""https://docs.google.com/spreadsheets/d/1Yj_ptqi66GCucihVvJfMjLAmec39IyEx_6qawtMGysU/edit?usp=sharing"",""สบก!CU21"")"),0)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IFERROR(__xludf.DUMMYFUNCTION("IMPORTRANGE(""https://docs.google.com/spreadsheets/d/1Yj_ptqi66GCucihVvJfMjLAmec39IyEx_6qawtMGysU/edit?usp=sharing"",""สบก!CP21"")"),0)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IFERROR(__xludf.DUMMYFUNCTION("IMPORTRANGE(""https://docs.google.com/spreadsheets/d/1Yj_ptqi66GCucihVvJfMjLAmec39IyEx_6qawtMGysU/edit?usp=sharing"",""สบก!CQ21"")"),0)</f>
        <v>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IFERROR(__xludf.DUMMYFUNCTION("IMPORTRANGE(""https://docs.google.com/spreadsheets/d/1Yj_ptqi66GCucihVvJfMjLAmec39IyEx_6qawtMGysU/edit?usp=sharing"",""สบก!CR21"")"),0)</f>
        <v>0</v>
      </c>
      <c r="M298" s="52"/>
      <c r="N298" s="52">
        <f ca="1">IFERROR(__xludf.DUMMYFUNCTION("IMPORTRANGE(""https://docs.google.com/spreadsheets/d/1Yj_ptqi66GCucihVvJfMjLAmec39IyEx_6qawtMGysU/edit?usp=sharing"",""สบก!CV21"")"),0)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IFERROR(__xludf.DUMMYFUNCTION("IMPORTRANGE(""https://docs.google.com/spreadsheets/d/11923uPwbBZFjjGgGUA6NLw09EwE0CqkOc4q9oUmW1yo/edit?usp=sharing"",""เชียงราย!J205"")"),0)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IFERROR(__xludf.DUMMYFUNCTION("IMPORTRANGE(""https://docs.google.com/spreadsheets/d/11923uPwbBZFjjGgGUA6NLw09EwE0CqkOc4q9oUmW1yo/edit?usp=sharing"",""เชียงราย!J206"")"),0)</f>
        <v>0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IFERROR(__xludf.DUMMYFUNCTION("IMPORTRANGE(""https://docs.google.com/spreadsheets/d/11923uPwbBZFjjGgGUA6NLw09EwE0CqkOc4q9oUmW1yo/edit?usp=sharing"",""เชียงราย!J207"")"),0)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IFERROR(__xludf.DUMMYFUNCTION("IMPORTRANGE(""https://docs.google.com/spreadsheets/d/11923uPwbBZFjjGgGUA6NLw09EwE0CqkOc4q9oUmW1yo/edit?usp=sharing"",""เชียงราย!J208"")"),0)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IFERROR(__xludf.DUMMYFUNCTION("IMPORTRANGE(""https://docs.google.com/spreadsheets/d/11923uPwbBZFjjGgGUA6NLw09EwE0CqkOc4q9oUmW1yo/edit?usp=sharing"",""เชียงราย!I209"")"),0)</f>
        <v>0</v>
      </c>
      <c r="J304" s="205">
        <f ca="1">IFERROR(__xludf.DUMMYFUNCTION("IMPORTRANGE(""https://docs.google.com/spreadsheets/d/11923uPwbBZFjjGgGUA6NLw09EwE0CqkOc4q9oUmW1yo/edit?usp=sharing"",""เชียงราย!J209"")"),0)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IFERROR(__xludf.DUMMYFUNCTION("IMPORTRANGE(""https://docs.google.com/spreadsheets/d/11923uPwbBZFjjGgGUA6NLw09EwE0CqkOc4q9oUmW1yo/edit?usp=sharing"",""เชียงราย!I211"")"),0)</f>
        <v>0</v>
      </c>
      <c r="J306" s="205">
        <f ca="1">IFERROR(__xludf.DUMMYFUNCTION("IMPORTRANGE(""https://docs.google.com/spreadsheets/d/11923uPwbBZFjjGgGUA6NLw09EwE0CqkOc4q9oUmW1yo/edit?usp=sharing"",""เชียงราย!J211"")"),0)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IFERROR(__xludf.DUMMYFUNCTION("IMPORTRANGE(""https://docs.google.com/spreadsheets/d/11923uPwbBZFjjGgGUA6NLw09EwE0CqkOc4q9oUmW1yo/edit?usp=sharing"",""เชียงราย!J212"")"),0)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IFERROR(__xludf.DUMMYFUNCTION("IMPORTRANGE(""https://docs.google.com/spreadsheets/d/11923uPwbBZFjjGgGUA6NLw09EwE0CqkOc4q9oUmW1yo/edit?usp=sharing"",""เชียงราย!J213"")"),0)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IFERROR(__xludf.DUMMYFUNCTION("IMPORTRANGE(""https://docs.google.com/spreadsheets/d/11923uPwbBZFjjGgGUA6NLw09EwE0CqkOc4q9oUmW1yo/edit?usp=sharing"",""เชียงราย!I214"")"),0)</f>
        <v>0</v>
      </c>
      <c r="J309" s="334">
        <f ca="1">IFERROR(__xludf.DUMMYFUNCTION("IMPORTRANGE(""https://docs.google.com/spreadsheets/d/11923uPwbBZFjjGgGUA6NLw09EwE0CqkOc4q9oUmW1yo/edit?usp=sharing"",""เชียงราย!J214"")"),0)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0</v>
      </c>
      <c r="M312" s="90">
        <f t="shared" ca="1" si="97"/>
        <v>0</v>
      </c>
      <c r="N312" s="90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59"/>
      <c r="B313" s="160"/>
      <c r="C313" s="160" t="s">
        <v>16</v>
      </c>
      <c r="D313" s="36" t="s">
        <v>20</v>
      </c>
      <c r="E313" s="161"/>
      <c r="F313" s="161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IFERROR(__xludf.DUMMYFUNCTION("IMPORTRANGE(""https://docs.google.com/spreadsheets/d/1Yj_ptqi66GCucihVvJfMjLAmec39IyEx_6qawtMGysU/edit?usp=sharing"",""สบก!DC21"")"),0)</f>
        <v>0</v>
      </c>
      <c r="N314" s="170">
        <f ca="1">IFERROR(__xludf.DUMMYFUNCTION("IMPORTRANGE(""https://docs.google.com/spreadsheets/d/1Yj_ptqi66GCucihVvJfMjLAmec39IyEx_6qawtMGysU/edit?usp=sharing"",""สบก!DD21"")"),0)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IFERROR(__xludf.DUMMYFUNCTION("IMPORTRANGE(""https://docs.google.com/spreadsheets/d/1Yj_ptqi66GCucihVvJfMjLAmec39IyEx_6qawtMGysU/edit?usp=sharing"",""สบก!CY21"")"),0)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IFERROR(__xludf.DUMMYFUNCTION("IMPORTRANGE(""https://docs.google.com/spreadsheets/d/1Yj_ptqi66GCucihVvJfMjLAmec39IyEx_6qawtMGysU/edit?usp=sharing"",""สบก!CZ21"")"),0)</f>
        <v>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IFERROR(__xludf.DUMMYFUNCTION("IMPORTRANGE(""https://docs.google.com/spreadsheets/d/1Yj_ptqi66GCucihVvJfMjLAmec39IyEx_6qawtMGysU/edit?usp=sharing"",""สบก!DA21"")"),0)</f>
        <v>0</v>
      </c>
      <c r="M318" s="52"/>
      <c r="N318" s="52">
        <f ca="1">IFERROR(__xludf.DUMMYFUNCTION("IMPORTRANGE(""https://docs.google.com/spreadsheets/d/1Yj_ptqi66GCucihVvJfMjLAmec39IyEx_6qawtMGysU/edit?usp=sharing"",""สบก!DE21"")"),0)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IFERROR(__xludf.DUMMYFUNCTION("IMPORTRANGE(""https://docs.google.com/spreadsheets/d/11923uPwbBZFjjGgGUA6NLw09EwE0CqkOc4q9oUmW1yo/edit?usp=sharing"",""เชียงราย!J220"")"),0)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IFERROR(__xludf.DUMMYFUNCTION("IMPORTRANGE(""https://docs.google.com/spreadsheets/d/11923uPwbBZFjjGgGUA6NLw09EwE0CqkOc4q9oUmW1yo/edit?usp=sharing"",""เชียงราย!J221"")"),0)</f>
        <v>0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IFERROR(__xludf.DUMMYFUNCTION("IMPORTRANGE(""https://docs.google.com/spreadsheets/d/11923uPwbBZFjjGgGUA6NLw09EwE0CqkOc4q9oUmW1yo/edit?usp=sharing"",""เชียงราย!J222"")"),0)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IFERROR(__xludf.DUMMYFUNCTION("IMPORTRANGE(""https://docs.google.com/spreadsheets/d/11923uPwbBZFjjGgGUA6NLw09EwE0CqkOc4q9oUmW1yo/edit?usp=sharing"",""เชียงราย!J223"")"),0)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IFERROR(__xludf.DUMMYFUNCTION("IMPORTRANGE(""https://docs.google.com/spreadsheets/d/11923uPwbBZFjjGgGUA6NLw09EwE0CqkOc4q9oUmW1yo/edit?usp=sharing"",""เชียงราย!I224"")"),0)</f>
        <v>0</v>
      </c>
      <c r="J324" s="205">
        <f ca="1">IFERROR(__xludf.DUMMYFUNCTION("IMPORTRANGE(""https://docs.google.com/spreadsheets/d/11923uPwbBZFjjGgGUA6NLw09EwE0CqkOc4q9oUmW1yo/edit?usp=sharing"",""เชียงราย!J224"")"),0)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IFERROR(__xludf.DUMMYFUNCTION("IMPORTRANGE(""https://docs.google.com/spreadsheets/d/11923uPwbBZFjjGgGUA6NLw09EwE0CqkOc4q9oUmW1yo/edit?usp=sharing"",""เชียงราย!J225"")"),0)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IFERROR(__xludf.DUMMYFUNCTION("IMPORTRANGE(""https://docs.google.com/spreadsheets/d/11923uPwbBZFjjGgGUA6NLw09EwE0CqkOc4q9oUmW1yo/edit?usp=sharing"",""เชียงราย!J226"")"),0)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IFERROR(__xludf.DUMMYFUNCTION("IMPORTRANGE(""https://docs.google.com/spreadsheets/d/11923uPwbBZFjjGgGUA6NLw09EwE0CqkOc4q9oUmW1yo/edit?usp=sharing"",""เชียงราย!I228"")"),680)</f>
        <v>680</v>
      </c>
      <c r="J328" s="340">
        <f ca="1">IFERROR(__xludf.DUMMYFUNCTION("IMPORTRANGE(""https://docs.google.com/spreadsheets/d/11923uPwbBZFjjGgGUA6NLw09EwE0CqkOc4q9oUmW1yo/edit?usp=sharing"",""เชียงราย!J228"")"),447)</f>
        <v>447</v>
      </c>
      <c r="K328" s="318">
        <f ca="1">IF(I328&gt;0,J328*100/I328,0)</f>
        <v>65.735294117647058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1538870</v>
      </c>
      <c r="M329" s="154">
        <f t="shared" ca="1" si="98"/>
        <v>1236960</v>
      </c>
      <c r="N329" s="154">
        <f t="shared" ca="1" si="98"/>
        <v>894569.33</v>
      </c>
      <c r="O329" s="153">
        <f t="shared" ref="O329:O331" ca="1" si="99">IF(L329&gt;0,N329*100/L329,0)</f>
        <v>58.131572517496608</v>
      </c>
      <c r="P329" s="153">
        <f t="shared" ref="P329:P331" ca="1" si="100">IF(M329&gt;0,N329*100/M329,0)</f>
        <v>72.319988520243172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1538870</v>
      </c>
      <c r="M331" s="90">
        <f t="shared" ca="1" si="102"/>
        <v>1236960</v>
      </c>
      <c r="N331" s="90">
        <f t="shared" ca="1" si="102"/>
        <v>894569.33</v>
      </c>
      <c r="O331" s="158">
        <f t="shared" ca="1" si="99"/>
        <v>58.131572517496608</v>
      </c>
      <c r="P331" s="158">
        <f t="shared" ca="1" si="100"/>
        <v>72.319988520243172</v>
      </c>
    </row>
    <row r="332" spans="1:16" ht="21.75" customHeight="1">
      <c r="A332" s="159"/>
      <c r="B332" s="160"/>
      <c r="C332" s="160" t="s">
        <v>16</v>
      </c>
      <c r="D332" s="36" t="s">
        <v>20</v>
      </c>
      <c r="E332" s="161"/>
      <c r="F332" s="161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1538870</v>
      </c>
      <c r="M333" s="169">
        <f ca="1">IFERROR(__xludf.DUMMYFUNCTION("IMPORTRANGE(""https://docs.google.com/spreadsheets/d/1Yj_ptqi66GCucihVvJfMjLAmec39IyEx_6qawtMGysU/edit?usp=sharing"",""สบก!DL21"")"),1236960)</f>
        <v>1236960</v>
      </c>
      <c r="N333" s="170">
        <f ca="1">IFERROR(__xludf.DUMMYFUNCTION("IMPORTRANGE(""https://docs.google.com/spreadsheets/d/1Yj_ptqi66GCucihVvJfMjLAmec39IyEx_6qawtMGysU/edit?usp=sharing"",""สบก!DM21"")"),894569.33)</f>
        <v>894569.33</v>
      </c>
      <c r="O333" s="170">
        <f ca="1">IF(L333&gt;0,N333*100/L333,0)</f>
        <v>58.131572517496608</v>
      </c>
      <c r="P333" s="170">
        <f ca="1">IF(M333&gt;0,N333*100/M333,0)</f>
        <v>72.319988520243172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IFERROR(__xludf.DUMMYFUNCTION("IMPORTRANGE(""https://docs.google.com/spreadsheets/d/1Yj_ptqi66GCucihVvJfMjLAmec39IyEx_6qawtMGysU/edit?usp=sharing"",""สบก!DH21"")"),831600)</f>
        <v>831600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IFERROR(__xludf.DUMMYFUNCTION("IMPORTRANGE(""https://docs.google.com/spreadsheets/d/1Yj_ptqi66GCucihVvJfMjLAmec39IyEx_6qawtMGysU/edit?usp=sharing"",""สบก!DI21"")"),707270)</f>
        <v>707270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IFERROR(__xludf.DUMMYFUNCTION("IMPORTRANGE(""https://docs.google.com/spreadsheets/d/1Yj_ptqi66GCucihVvJfMjLAmec39IyEx_6qawtMGysU/edit?usp=sharing"",""สบก!DJ21"")"),0)</f>
        <v>0</v>
      </c>
      <c r="M337" s="52"/>
      <c r="N337" s="52">
        <f ca="1">IFERROR(__xludf.DUMMYFUNCTION("IMPORTRANGE(""https://docs.google.com/spreadsheets/d/1Yj_ptqi66GCucihVvJfMjLAmec39IyEx_6qawtMGysU/edit?usp=sharing"",""สบก!DN21"")"),0)</f>
        <v>0</v>
      </c>
      <c r="O337" s="52">
        <f ca="1">IF(L337&gt;0,N337*100/L337,0)</f>
        <v>0</v>
      </c>
      <c r="P337" s="52"/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IFERROR(__xludf.DUMMYFUNCTION("IMPORTRANGE(""https://docs.google.com/spreadsheets/d/11923uPwbBZFjjGgGUA6NLw09EwE0CqkOc4q9oUmW1yo/edit?usp=sharing"",""เชียงราย!I234"")"),0)</f>
        <v>0</v>
      </c>
      <c r="J339" s="189">
        <f ca="1">IFERROR(__xludf.DUMMYFUNCTION("IMPORTRANGE(""https://docs.google.com/spreadsheets/d/11923uPwbBZFjjGgGUA6NLw09EwE0CqkOc4q9oUmW1yo/edit?usp=sharing"",""เชียงราย!J234"")"),347)</f>
        <v>347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IFERROR(__xludf.DUMMYFUNCTION("IMPORTRANGE(""https://docs.google.com/spreadsheets/d/11923uPwbBZFjjGgGUA6NLw09EwE0CqkOc4q9oUmW1yo/edit?usp=sharing"",""เชียงราย!I235"")"),3400)</f>
        <v>3400</v>
      </c>
      <c r="J340" s="189">
        <f ca="1">IFERROR(__xludf.DUMMYFUNCTION("IMPORTRANGE(""https://docs.google.com/spreadsheets/d/11923uPwbBZFjjGgGUA6NLw09EwE0CqkOc4q9oUmW1yo/edit?usp=sharing"",""เชียงราย!J235"")"),2019.37)</f>
        <v>2019.37</v>
      </c>
      <c r="K340" s="343">
        <f t="shared" ca="1" si="103"/>
        <v>59.393235294117645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IFERROR(__xludf.DUMMYFUNCTION("IMPORTRANGE(""https://docs.google.com/spreadsheets/d/11923uPwbBZFjjGgGUA6NLw09EwE0CqkOc4q9oUmW1yo/edit?usp=sharing"",""เชียงราย!I236"")"),680)</f>
        <v>680</v>
      </c>
      <c r="J341" s="189">
        <f ca="1">IFERROR(__xludf.DUMMYFUNCTION("IMPORTRANGE(""https://docs.google.com/spreadsheets/d/11923uPwbBZFjjGgGUA6NLw09EwE0CqkOc4q9oUmW1yo/edit?usp=sharing"",""เชียงราย!J236"")"),488)</f>
        <v>488</v>
      </c>
      <c r="K341" s="343">
        <f t="shared" ca="1" si="103"/>
        <v>71.764705882352942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IFERROR(__xludf.DUMMYFUNCTION("IMPORTRANGE(""https://docs.google.com/spreadsheets/d/11923uPwbBZFjjGgGUA6NLw09EwE0CqkOc4q9oUmW1yo/edit?usp=sharing"",""เชียงราย!I237"")"),0)</f>
        <v>0</v>
      </c>
      <c r="J342" s="189">
        <f ca="1">IFERROR(__xludf.DUMMYFUNCTION("IMPORTRANGE(""https://docs.google.com/spreadsheets/d/11923uPwbBZFjjGgGUA6NLw09EwE0CqkOc4q9oUmW1yo/edit?usp=sharing"",""เชียงราย!J237"")"),3336.12)</f>
        <v>3336.12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IFERROR(__xludf.DUMMYFUNCTION("IMPORTRANGE(""https://docs.google.com/spreadsheets/d/11923uPwbBZFjjGgGUA6NLw09EwE0CqkOc4q9oUmW1yo/edit?usp=sharing"",""เชียงราย!I238"")"),680)</f>
        <v>680</v>
      </c>
      <c r="J343" s="189">
        <f ca="1">IFERROR(__xludf.DUMMYFUNCTION("IMPORTRANGE(""https://docs.google.com/spreadsheets/d/11923uPwbBZFjjGgGUA6NLw09EwE0CqkOc4q9oUmW1yo/edit?usp=sharing"",""เชียงราย!J238"")"),2)</f>
        <v>2</v>
      </c>
      <c r="K343" s="343">
        <f t="shared" ca="1" si="103"/>
        <v>0.29411764705882354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IFERROR(__xludf.DUMMYFUNCTION("IMPORTRANGE(""https://docs.google.com/spreadsheets/d/11923uPwbBZFjjGgGUA6NLw09EwE0CqkOc4q9oUmW1yo/edit?usp=sharing"",""เชียงราย!I239"")"),0)</f>
        <v>0</v>
      </c>
      <c r="J344" s="189">
        <f ca="1">IFERROR(__xludf.DUMMYFUNCTION("IMPORTRANGE(""https://docs.google.com/spreadsheets/d/11923uPwbBZFjjGgGUA6NLw09EwE0CqkOc4q9oUmW1yo/edit?usp=sharing"",""เชียงราย!J239"")"),9.23)</f>
        <v>9.23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IFERROR(__xludf.DUMMYFUNCTION("IMPORTRANGE(""https://docs.google.com/spreadsheets/d/11923uPwbBZFjjGgGUA6NLw09EwE0CqkOc4q9oUmW1yo/edit?usp=sharing"",""เชียงราย!I240"")"),680)</f>
        <v>680</v>
      </c>
      <c r="J345" s="189">
        <f ca="1">IFERROR(__xludf.DUMMYFUNCTION("IMPORTRANGE(""https://docs.google.com/spreadsheets/d/11923uPwbBZFjjGgGUA6NLw09EwE0CqkOc4q9oUmW1yo/edit?usp=sharing"",""เชียงราย!J240"")"),447)</f>
        <v>447</v>
      </c>
      <c r="K345" s="343">
        <f t="shared" ca="1" si="103"/>
        <v>65.735294117647058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IFERROR(__xludf.DUMMYFUNCTION("IMPORTRANGE(""https://docs.google.com/spreadsheets/d/11923uPwbBZFjjGgGUA6NLw09EwE0CqkOc4q9oUmW1yo/edit?usp=sharing"",""เชียงราย!I241"")"),0)</f>
        <v>0</v>
      </c>
      <c r="J346" s="189">
        <f ca="1">IFERROR(__xludf.DUMMYFUNCTION("IMPORTRANGE(""https://docs.google.com/spreadsheets/d/11923uPwbBZFjjGgGUA6NLw09EwE0CqkOc4q9oUmW1yo/edit?usp=sharing"",""เชียงราย!J241"")"),2851.66999999999)</f>
        <v>2851.6699999999901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IFERROR(__xludf.DUMMYFUNCTION("IMPORTRANGE(""https://docs.google.com/spreadsheets/d/11923uPwbBZFjjGgGUA6NLw09EwE0CqkOc4q9oUmW1yo/edit?usp=sharing"",""เชียงราย!L242"")"),2470819)</f>
        <v>2470819</v>
      </c>
      <c r="M347" s="359"/>
      <c r="N347" s="359">
        <f ca="1">IFERROR(__xludf.DUMMYFUNCTION("IMPORTRANGE(""https://docs.google.com/spreadsheets/d/11923uPwbBZFjjGgGUA6NLw09EwE0CqkOc4q9oUmW1yo/edit?usp=sharing"",""เชียงราย!M242"")"),1093725.95)</f>
        <v>1093725.95</v>
      </c>
      <c r="O347" s="359">
        <f ca="1">+IF(L347&gt;0,N347*100/L347,0)</f>
        <v>44.265725251424733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IFERROR(__xludf.DUMMYFUNCTION("IMPORTRANGE(""https://docs.google.com/spreadsheets/d/11923uPwbBZFjjGgGUA6NLw09EwE0CqkOc4q9oUmW1yo/edit?usp=sharing"",""เชียงราย!I244"")"),200)</f>
        <v>200</v>
      </c>
      <c r="J349" s="372">
        <f ca="1">IFERROR(__xludf.DUMMYFUNCTION("IMPORTRANGE(""https://docs.google.com/spreadsheets/d/11923uPwbBZFjjGgGUA6NLw09EwE0CqkOc4q9oUmW1yo/edit?usp=sharing"",""เชียงราย!J244"")"),93)</f>
        <v>93</v>
      </c>
      <c r="K349" s="373">
        <f t="shared" ref="K349:K350" ca="1" si="104">IF(I349&gt;0,J349*100/I349,0)</f>
        <v>46.5</v>
      </c>
      <c r="L349" s="374">
        <f ca="1">IFERROR(__xludf.DUMMYFUNCTION("IMPORTRANGE(""https://docs.google.com/spreadsheets/d/11923uPwbBZFjjGgGUA6NLw09EwE0CqkOc4q9oUmW1yo/edit?usp=sharing"",""เชียงราย!L244"")"),532200)</f>
        <v>532200</v>
      </c>
      <c r="M349" s="374"/>
      <c r="N349" s="374">
        <f ca="1">IFERROR(__xludf.DUMMYFUNCTION("IMPORTRANGE(""https://docs.google.com/spreadsheets/d/11923uPwbBZFjjGgGUA6NLw09EwE0CqkOc4q9oUmW1yo/edit?usp=sharing"",""เชียงราย!M244"")"),243009)</f>
        <v>243009</v>
      </c>
      <c r="O349" s="374">
        <f ca="1">+IF(L349&gt;0,N349*100/L349,0)</f>
        <v>45.661217587373166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IFERROR(__xludf.DUMMYFUNCTION("IMPORTRANGE(""https://docs.google.com/spreadsheets/d/11923uPwbBZFjjGgGUA6NLw09EwE0CqkOc4q9oUmW1yo/edit?usp=sharing"",""เชียงราย!I245"")"),100)</f>
        <v>100</v>
      </c>
      <c r="J350" s="372">
        <f ca="1">IFERROR(__xludf.DUMMYFUNCTION("IMPORTRANGE(""https://docs.google.com/spreadsheets/d/11923uPwbBZFjjGgGUA6NLw09EwE0CqkOc4q9oUmW1yo/edit?usp=sharing"",""เชียงราย!J245"")"),100)</f>
        <v>100</v>
      </c>
      <c r="K350" s="373">
        <f t="shared" ca="1" si="104"/>
        <v>100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IFERROR(__xludf.DUMMYFUNCTION("IMPORTRANGE(""https://docs.google.com/spreadsheets/d/11923uPwbBZFjjGgGUA6NLw09EwE0CqkOc4q9oUmW1yo/edit?usp=sharing"",""เชียงราย!L246"")"),0)</f>
        <v>0</v>
      </c>
      <c r="M351" s="166"/>
      <c r="N351" s="166">
        <f ca="1">IFERROR(__xludf.DUMMYFUNCTION("IMPORTRANGE(""https://docs.google.com/spreadsheets/d/11923uPwbBZFjjGgGUA6NLw09EwE0CqkOc4q9oUmW1yo/edit?usp=sharing"",""เชียงราย!M246"")"),0)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IFERROR(__xludf.DUMMYFUNCTION("IMPORTRANGE(""https://docs.google.com/spreadsheets/d/11923uPwbBZFjjGgGUA6NLw09EwE0CqkOc4q9oUmW1yo/edit?usp=sharing"",""เชียงราย!L247"")"),532200)</f>
        <v>532200</v>
      </c>
      <c r="M352" s="167"/>
      <c r="N352" s="166">
        <f ca="1">IFERROR(__xludf.DUMMYFUNCTION("IMPORTRANGE(""https://docs.google.com/spreadsheets/d/11923uPwbBZFjjGgGUA6NLw09EwE0CqkOc4q9oUmW1yo/edit?usp=sharing"",""เชียงราย!M247"")"),243009)</f>
        <v>243009</v>
      </c>
      <c r="O352" s="167">
        <f t="shared" ca="1" si="105"/>
        <v>45.661217587373166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IFERROR(__xludf.DUMMYFUNCTION("IMPORTRANGE(""https://docs.google.com/spreadsheets/d/11923uPwbBZFjjGgGUA6NLw09EwE0CqkOc4q9oUmW1yo/edit?usp=sharing"",""เชียงราย!L248"")"),0)</f>
        <v>0</v>
      </c>
      <c r="M353" s="170"/>
      <c r="N353" s="170">
        <f ca="1">IFERROR(__xludf.DUMMYFUNCTION("IMPORTRANGE(""https://docs.google.com/spreadsheets/d/11923uPwbBZFjjGgGUA6NLw09EwE0CqkOc4q9oUmW1yo/edit?usp=sharing"",""เชียงราย!M248"")"),0)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IFERROR(__xludf.DUMMYFUNCTION("IMPORTRANGE(""https://docs.google.com/spreadsheets/d/11923uPwbBZFjjGgGUA6NLw09EwE0CqkOc4q9oUmW1yo/edit?usp=sharing"",""เชียงราย!L249"")"),532200)</f>
        <v>532200</v>
      </c>
      <c r="M354" s="170"/>
      <c r="N354" s="169">
        <f ca="1">IFERROR(__xludf.DUMMYFUNCTION("IMPORTRANGE(""https://docs.google.com/spreadsheets/d/11923uPwbBZFjjGgGUA6NLw09EwE0CqkOc4q9oUmW1yo/edit?usp=sharing"",""เชียงราย!M249"")"),243009)</f>
        <v>243009</v>
      </c>
      <c r="O354" s="170">
        <f t="shared" ca="1" si="105"/>
        <v>45.661217587373166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IFERROR(__xludf.DUMMYFUNCTION("IMPORTRANGE(""https://docs.google.com/spreadsheets/d/11923uPwbBZFjjGgGUA6NLw09EwE0CqkOc4q9oUmW1yo/edit?usp=sharing"",""เชียงราย!M250"")"),0)</f>
        <v>0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IFERROR(__xludf.DUMMYFUNCTION("IMPORTRANGE(""https://docs.google.com/spreadsheets/d/11923uPwbBZFjjGgGUA6NLw09EwE0CqkOc4q9oUmW1yo/edit?usp=sharing"",""เชียงราย!M251"")"),0)</f>
        <v>0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IFERROR(__xludf.DUMMYFUNCTION("IMPORTRANGE(""https://docs.google.com/spreadsheets/d/11923uPwbBZFjjGgGUA6NLw09EwE0CqkOc4q9oUmW1yo/edit?usp=sharing"",""เชียงราย!M252"")"),59850)</f>
        <v>59850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IFERROR(__xludf.DUMMYFUNCTION("IMPORTRANGE(""https://docs.google.com/spreadsheets/d/11923uPwbBZFjjGgGUA6NLw09EwE0CqkOc4q9oUmW1yo/edit?usp=sharing"",""เชียงราย!M253"")"),183159)</f>
        <v>183159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IFERROR(__xludf.DUMMYFUNCTION("IMPORTRANGE(""https://docs.google.com/spreadsheets/d/11923uPwbBZFjjGgGUA6NLw09EwE0CqkOc4q9oUmW1yo/edit?usp=sharing"",""เชียงราย!J255"")"),0)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IFERROR(__xludf.DUMMYFUNCTION("IMPORTRANGE(""https://docs.google.com/spreadsheets/d/11923uPwbBZFjjGgGUA6NLw09EwE0CqkOc4q9oUmW1yo/edit?usp=sharing"",""เชียงราย!J256"")"),1)</f>
        <v>1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IFERROR(__xludf.DUMMYFUNCTION("IMPORTRANGE(""https://docs.google.com/spreadsheets/d/11923uPwbBZFjjGgGUA6NLw09EwE0CqkOc4q9oUmW1yo/edit?usp=sharing"",""เชียงราย!J257"")"),1)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IFERROR(__xludf.DUMMYFUNCTION("IMPORTRANGE(""https://docs.google.com/spreadsheets/d/11923uPwbBZFjjGgGUA6NLw09EwE0CqkOc4q9oUmW1yo/edit?usp=sharing"",""เชียงราย!J258"")"),1)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IFERROR(__xludf.DUMMYFUNCTION("IMPORTRANGE(""https://docs.google.com/spreadsheets/d/11923uPwbBZFjjGgGUA6NLw09EwE0CqkOc4q9oUmW1yo/edit?usp=sharing"",""เชียงราย!J166"")"),0)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IFERROR(__xludf.DUMMYFUNCTION("IMPORTRANGE(""https://docs.google.com/spreadsheets/d/11923uPwbBZFjjGgGUA6NLw09EwE0CqkOc4q9oUmW1yo/edit?usp=sharing"",""เชียงราย!J166"")"),0)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IFERROR(__xludf.DUMMYFUNCTION("IMPORTRANGE(""https://docs.google.com/spreadsheets/d/11923uPwbBZFjjGgGUA6NLw09EwE0CqkOc4q9oUmW1yo/edit?usp=sharing"",""เชียงราย!J166"")"),0)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IFERROR(__xludf.DUMMYFUNCTION("IMPORTRANGE(""https://docs.google.com/spreadsheets/d/11923uPwbBZFjjGgGUA6NLw09EwE0CqkOc4q9oUmW1yo/edit?usp=sharing"",""เชียงราย!J166"")"),0)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IFERROR(__xludf.DUMMYFUNCTION("IMPORTRANGE(""https://docs.google.com/spreadsheets/d/11923uPwbBZFjjGgGUA6NLw09EwE0CqkOc4q9oUmW1yo/edit?usp=sharing"",""เชียงราย!I263"")"),100)</f>
        <v>100</v>
      </c>
      <c r="J368" s="189">
        <f ca="1">IFERROR(__xludf.DUMMYFUNCTION("IMPORTRANGE(""https://docs.google.com/spreadsheets/d/11923uPwbBZFjjGgGUA6NLw09EwE0CqkOc4q9oUmW1yo/edit?usp=sharing"",""เชียงราย!J263"")"),100)</f>
        <v>100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IFERROR(__xludf.DUMMYFUNCTION("IMPORTRANGE(""https://docs.google.com/spreadsheets/d/11923uPwbBZFjjGgGUA6NLw09EwE0CqkOc4q9oUmW1yo/edit?usp=sharing"",""เชียงราย!I164"")"),0)</f>
        <v>0</v>
      </c>
      <c r="J369" s="205">
        <f ca="1">IFERROR(__xludf.DUMMYFUNCTION("IMPORTRANGE(""https://docs.google.com/spreadsheets/d/11923uPwbBZFjjGgGUA6NLw09EwE0CqkOc4q9oUmW1yo/edit?usp=sharing"",""เชียงราย!J164"")"),0)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IFERROR(__xludf.DUMMYFUNCTION("IMPORTRANGE(""https://docs.google.com/spreadsheets/d/11923uPwbBZFjjGgGUA6NLw09EwE0CqkOc4q9oUmW1yo/edit?usp=sharing"",""เชียงราย!I265"")"),100)</f>
        <v>100</v>
      </c>
      <c r="J370" s="205">
        <f ca="1">IFERROR(__xludf.DUMMYFUNCTION("IMPORTRANGE(""https://docs.google.com/spreadsheets/d/11923uPwbBZFjjGgGUA6NLw09EwE0CqkOc4q9oUmW1yo/edit?usp=sharing"",""เชียงราย!J265"")"),100)</f>
        <v>100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IFERROR(__xludf.DUMMYFUNCTION("IMPORTRANGE(""https://docs.google.com/spreadsheets/d/11923uPwbBZFjjGgGUA6NLw09EwE0CqkOc4q9oUmW1yo/edit?usp=sharing"",""เชียงราย!I164"")"),0)</f>
        <v>0</v>
      </c>
      <c r="J371" s="190">
        <f ca="1">IFERROR(__xludf.DUMMYFUNCTION("IMPORTRANGE(""https://docs.google.com/spreadsheets/d/11923uPwbBZFjjGgGUA6NLw09EwE0CqkOc4q9oUmW1yo/edit?usp=sharing"",""เชียงราย!J164"")"),0)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IFERROR(__xludf.DUMMYFUNCTION("IMPORTRANGE(""https://docs.google.com/spreadsheets/d/11923uPwbBZFjjGgGUA6NLw09EwE0CqkOc4q9oUmW1yo/edit?usp=sharing"",""เชียงราย!I267"")"),100)</f>
        <v>100</v>
      </c>
      <c r="J372" s="190">
        <f ca="1">IFERROR(__xludf.DUMMYFUNCTION("IMPORTRANGE(""https://docs.google.com/spreadsheets/d/11923uPwbBZFjjGgGUA6NLw09EwE0CqkOc4q9oUmW1yo/edit?usp=sharing"",""เชียงราย!J267"")"),100)</f>
        <v>100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IFERROR(__xludf.DUMMYFUNCTION("IMPORTRANGE(""https://docs.google.com/spreadsheets/d/11923uPwbBZFjjGgGUA6NLw09EwE0CqkOc4q9oUmW1yo/edit?usp=sharing"",""เชียงราย!I164"")"),0)</f>
        <v>0</v>
      </c>
      <c r="J373" s="205">
        <f ca="1">IFERROR(__xludf.DUMMYFUNCTION("IMPORTRANGE(""https://docs.google.com/spreadsheets/d/11923uPwbBZFjjGgGUA6NLw09EwE0CqkOc4q9oUmW1yo/edit?usp=sharing"",""เชียงราย!J164"")"),0)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IFERROR(__xludf.DUMMYFUNCTION("IMPORTRANGE(""https://docs.google.com/spreadsheets/d/11923uPwbBZFjjGgGUA6NLw09EwE0CqkOc4q9oUmW1yo/edit?usp=sharing"",""เชียงราย!I164"")"),0)</f>
        <v>0</v>
      </c>
      <c r="J374" s="189">
        <f ca="1">IFERROR(__xludf.DUMMYFUNCTION("IMPORTRANGE(""https://docs.google.com/spreadsheets/d/11923uPwbBZFjjGgGUA6NLw09EwE0CqkOc4q9oUmW1yo/edit?usp=sharing"",""เชียงราย!J164"")"),0)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IFERROR(__xludf.DUMMYFUNCTION("IMPORTRANGE(""https://docs.google.com/spreadsheets/d/11923uPwbBZFjjGgGUA6NLw09EwE0CqkOc4q9oUmW1yo/edit?usp=sharing"",""เชียงราย!I270"")"),200)</f>
        <v>200</v>
      </c>
      <c r="J375" s="189">
        <f ca="1">IFERROR(__xludf.DUMMYFUNCTION("IMPORTRANGE(""https://docs.google.com/spreadsheets/d/11923uPwbBZFjjGgGUA6NLw09EwE0CqkOc4q9oUmW1yo/edit?usp=sharing"",""เชียงราย!J270"")"),93)</f>
        <v>93</v>
      </c>
      <c r="K375" s="165">
        <f t="shared" ref="K375:K377" ca="1" si="107">IF(I375&gt;0,J375*100/I375,0)</f>
        <v>46.5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IFERROR(__xludf.DUMMYFUNCTION("IMPORTRANGE(""https://docs.google.com/spreadsheets/d/11923uPwbBZFjjGgGUA6NLw09EwE0CqkOc4q9oUmW1yo/edit?usp=sharing"",""เชียงราย!I271"")"),100)</f>
        <v>100</v>
      </c>
      <c r="J376" s="190">
        <f ca="1">IFERROR(__xludf.DUMMYFUNCTION("IMPORTRANGE(""https://docs.google.com/spreadsheets/d/11923uPwbBZFjjGgGUA6NLw09EwE0CqkOc4q9oUmW1yo/edit?usp=sharing"",""เชียงราย!J271"")"),93)</f>
        <v>93</v>
      </c>
      <c r="K376" s="165">
        <f t="shared" ca="1" si="107"/>
        <v>93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IFERROR(__xludf.DUMMYFUNCTION("IMPORTRANGE(""https://docs.google.com/spreadsheets/d/11923uPwbBZFjjGgGUA6NLw09EwE0CqkOc4q9oUmW1yo/edit?usp=sharing"",""เชียงราย!I272"")"),100)</f>
        <v>100</v>
      </c>
      <c r="J377" s="205">
        <f ca="1">IFERROR(__xludf.DUMMYFUNCTION("IMPORTRANGE(""https://docs.google.com/spreadsheets/d/11923uPwbBZFjjGgGUA6NLw09EwE0CqkOc4q9oUmW1yo/edit?usp=sharing"",""เชียงราย!J272"")"),0)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IFERROR(__xludf.DUMMYFUNCTION("IMPORTRANGE(""https://docs.google.com/spreadsheets/d/11923uPwbBZFjjGgGUA6NLw09EwE0CqkOc4q9oUmW1yo/edit?usp=sharing"",""เชียงราย!J273"")"),0)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IFERROR(__xludf.DUMMYFUNCTION("IMPORTRANGE(""https://docs.google.com/spreadsheets/d/11923uPwbBZFjjGgGUA6NLw09EwE0CqkOc4q9oUmW1yo/edit?usp=sharing"",""เชียงราย!J274"")"),0)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IFERROR(__xludf.DUMMYFUNCTION("IMPORTRANGE(""https://docs.google.com/spreadsheets/d/11923uPwbBZFjjGgGUA6NLw09EwE0CqkOc4q9oUmW1yo/edit?usp=sharing"",""เชียงราย!I275"")"),500)</f>
        <v>500</v>
      </c>
      <c r="J380" s="372">
        <f ca="1">IFERROR(__xludf.DUMMYFUNCTION("IMPORTRANGE(""https://docs.google.com/spreadsheets/d/11923uPwbBZFjjGgGUA6NLw09EwE0CqkOc4q9oUmW1yo/edit?usp=sharing"",""เชียงราย!J275"")"),0)</f>
        <v>0</v>
      </c>
      <c r="K380" s="373">
        <f t="shared" ref="K380:K381" ca="1" si="108">IF(I380&gt;0,J380*100/I380,0)</f>
        <v>0</v>
      </c>
      <c r="L380" s="374">
        <f ca="1">IFERROR(__xludf.DUMMYFUNCTION("IMPORTRANGE(""https://docs.google.com/spreadsheets/d/11923uPwbBZFjjGgGUA6NLw09EwE0CqkOc4q9oUmW1yo/edit?usp=sharing"",""เชียงราย!L275"")"),460140)</f>
        <v>460140</v>
      </c>
      <c r="M380" s="374"/>
      <c r="N380" s="374">
        <f ca="1">IFERROR(__xludf.DUMMYFUNCTION("IMPORTRANGE(""https://docs.google.com/spreadsheets/d/11923uPwbBZFjjGgGUA6NLw09EwE0CqkOc4q9oUmW1yo/edit?usp=sharing"",""เชียงราย!M275"")"),134880)</f>
        <v>134880</v>
      </c>
      <c r="O380" s="374">
        <f ca="1">+IF(L380&gt;0,N380*100/L380,0)</f>
        <v>29.312817838049288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IFERROR(__xludf.DUMMYFUNCTION("IMPORTRANGE(""https://docs.google.com/spreadsheets/d/11923uPwbBZFjjGgGUA6NLw09EwE0CqkOc4q9oUmW1yo/edit?usp=sharing"",""เชียงราย!I276"")"),50)</f>
        <v>50</v>
      </c>
      <c r="J381" s="372">
        <f ca="1">IFERROR(__xludf.DUMMYFUNCTION("IMPORTRANGE(""https://docs.google.com/spreadsheets/d/11923uPwbBZFjjGgGUA6NLw09EwE0CqkOc4q9oUmW1yo/edit?usp=sharing"",""เชียงราย!J276"")"),70)</f>
        <v>70</v>
      </c>
      <c r="K381" s="373">
        <f t="shared" ca="1" si="108"/>
        <v>140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IFERROR(__xludf.DUMMYFUNCTION("IMPORTRANGE(""https://docs.google.com/spreadsheets/d/11923uPwbBZFjjGgGUA6NLw09EwE0CqkOc4q9oUmW1yo/edit?usp=sharing"",""เชียงราย!L277"")"),0)</f>
        <v>0</v>
      </c>
      <c r="M382" s="166"/>
      <c r="N382" s="166">
        <f ca="1">IFERROR(__xludf.DUMMYFUNCTION("IMPORTRANGE(""https://docs.google.com/spreadsheets/d/11923uPwbBZFjjGgGUA6NLw09EwE0CqkOc4q9oUmW1yo/edit?usp=sharing"",""เชียงราย!M277"")"),0)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IFERROR(__xludf.DUMMYFUNCTION("IMPORTRANGE(""https://docs.google.com/spreadsheets/d/11923uPwbBZFjjGgGUA6NLw09EwE0CqkOc4q9oUmW1yo/edit?usp=sharing"",""เชียงราย!L278"")"),460140)</f>
        <v>460140</v>
      </c>
      <c r="M383" s="167"/>
      <c r="N383" s="167">
        <f ca="1">IFERROR(__xludf.DUMMYFUNCTION("IMPORTRANGE(""https://docs.google.com/spreadsheets/d/11923uPwbBZFjjGgGUA6NLw09EwE0CqkOc4q9oUmW1yo/edit?usp=sharing"",""เชียงราย!M278"")"),134880)</f>
        <v>134880</v>
      </c>
      <c r="O383" s="167">
        <f t="shared" ca="1" si="109"/>
        <v>29.312817838049288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IFERROR(__xludf.DUMMYFUNCTION("IMPORTRANGE(""https://docs.google.com/spreadsheets/d/11923uPwbBZFjjGgGUA6NLw09EwE0CqkOc4q9oUmW1yo/edit?usp=sharing"",""เชียงราย!L279"")"),0)</f>
        <v>0</v>
      </c>
      <c r="M384" s="170"/>
      <c r="N384" s="170">
        <f ca="1">IFERROR(__xludf.DUMMYFUNCTION("IMPORTRANGE(""https://docs.google.com/spreadsheets/d/11923uPwbBZFjjGgGUA6NLw09EwE0CqkOc4q9oUmW1yo/edit?usp=sharing"",""เชียงราย!M279"")"),0)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IFERROR(__xludf.DUMMYFUNCTION("IMPORTRANGE(""https://docs.google.com/spreadsheets/d/11923uPwbBZFjjGgGUA6NLw09EwE0CqkOc4q9oUmW1yo/edit?usp=sharing"",""เชียงราย!L280"")"),460140)</f>
        <v>460140</v>
      </c>
      <c r="M385" s="170"/>
      <c r="N385" s="169">
        <f ca="1">IFERROR(__xludf.DUMMYFUNCTION("IMPORTRANGE(""https://docs.google.com/spreadsheets/d/11923uPwbBZFjjGgGUA6NLw09EwE0CqkOc4q9oUmW1yo/edit?usp=sharing"",""เชียงราย!M280"")"),134880)</f>
        <v>134880</v>
      </c>
      <c r="O385" s="170">
        <f t="shared" ca="1" si="109"/>
        <v>29.312817838049288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IFERROR(__xludf.DUMMYFUNCTION("IMPORTRANGE(""https://docs.google.com/spreadsheets/d/11923uPwbBZFjjGgGUA6NLw09EwE0CqkOc4q9oUmW1yo/edit?usp=sharing"",""เชียงราย!M281"")"),111000)</f>
        <v>111000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IFERROR(__xludf.DUMMYFUNCTION("IMPORTRANGE(""https://docs.google.com/spreadsheets/d/11923uPwbBZFjjGgGUA6NLw09EwE0CqkOc4q9oUmW1yo/edit?usp=sharing"",""เชียงราย!M282"")"),0)</f>
        <v>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IFERROR(__xludf.DUMMYFUNCTION("IMPORTRANGE(""https://docs.google.com/spreadsheets/d/11923uPwbBZFjjGgGUA6NLw09EwE0CqkOc4q9oUmW1yo/edit?usp=sharing"",""เชียงราย!M283"")"),0)</f>
        <v>0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IFERROR(__xludf.DUMMYFUNCTION("IMPORTRANGE(""https://docs.google.com/spreadsheets/d/11923uPwbBZFjjGgGUA6NLw09EwE0CqkOc4q9oUmW1yo/edit?usp=sharing"",""เชียงราย!M284"")"),23880)</f>
        <v>23880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IFERROR(__xludf.DUMMYFUNCTION("IMPORTRANGE(""https://docs.google.com/spreadsheets/d/11923uPwbBZFjjGgGUA6NLw09EwE0CqkOc4q9oUmW1yo/edit?usp=sharing"",""เชียงราย!J286"")"),0)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IFERROR(__xludf.DUMMYFUNCTION("IMPORTRANGE(""https://docs.google.com/spreadsheets/d/11923uPwbBZFjjGgGUA6NLw09EwE0CqkOc4q9oUmW1yo/edit?usp=sharing"",""เชียงราย!J287"")"),1)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IFERROR(__xludf.DUMMYFUNCTION("IMPORTRANGE(""https://docs.google.com/spreadsheets/d/11923uPwbBZFjjGgGUA6NLw09EwE0CqkOc4q9oUmW1yo/edit?usp=sharing"",""เชียงราย!J288"")"),1)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IFERROR(__xludf.DUMMYFUNCTION("IMPORTRANGE(""https://docs.google.com/spreadsheets/d/11923uPwbBZFjjGgGUA6NLw09EwE0CqkOc4q9oUmW1yo/edit?usp=sharing"",""เชียงราย!J289"")"),1)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IFERROR(__xludf.DUMMYFUNCTION("IMPORTRANGE(""https://docs.google.com/spreadsheets/d/11923uPwbBZFjjGgGUA6NLw09EwE0CqkOc4q9oUmW1yo/edit?usp=sharing"",""เชียงราย!I291"")"),50)</f>
        <v>50</v>
      </c>
      <c r="J396" s="199">
        <f ca="1">IFERROR(__xludf.DUMMYFUNCTION("IMPORTRANGE(""https://docs.google.com/spreadsheets/d/11923uPwbBZFjjGgGUA6NLw09EwE0CqkOc4q9oUmW1yo/edit?usp=sharing"",""เชียงราย!J291"")"),70)</f>
        <v>70</v>
      </c>
      <c r="K396" s="165">
        <f t="shared" ref="K396:K398" ca="1" si="110">IF(I396&gt;0,J396*100/I396,0)</f>
        <v>140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IFERROR(__xludf.DUMMYFUNCTION("IMPORTRANGE(""https://docs.google.com/spreadsheets/d/11923uPwbBZFjjGgGUA6NLw09EwE0CqkOc4q9oUmW1yo/edit?usp=sharing"",""เชียงราย!I292"")"),500)</f>
        <v>500</v>
      </c>
      <c r="J397" s="199">
        <f ca="1">IFERROR(__xludf.DUMMYFUNCTION("IMPORTRANGE(""https://docs.google.com/spreadsheets/d/11923uPwbBZFjjGgGUA6NLw09EwE0CqkOc4q9oUmW1yo/edit?usp=sharing"",""เชียงราย!J292"")"),0)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IFERROR(__xludf.DUMMYFUNCTION("IMPORTRANGE(""https://docs.google.com/spreadsheets/d/11923uPwbBZFjjGgGUA6NLw09EwE0CqkOc4q9oUmW1yo/edit?usp=sharing"",""เชียงราย!I293"")"),50)</f>
        <v>50</v>
      </c>
      <c r="J398" s="199">
        <f ca="1">IFERROR(__xludf.DUMMYFUNCTION("IMPORTRANGE(""https://docs.google.com/spreadsheets/d/11923uPwbBZFjjGgGUA6NLw09EwE0CqkOc4q9oUmW1yo/edit?usp=sharing"",""เชียงราย!J293"")"),0)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IFERROR(__xludf.DUMMYFUNCTION("IMPORTRANGE(""https://docs.google.com/spreadsheets/d/11923uPwbBZFjjGgGUA6NLw09EwE0CqkOc4q9oUmW1yo/edit?usp=sharing"",""เชียงราย!J294"")"),0)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IFERROR(__xludf.DUMMYFUNCTION("IMPORTRANGE(""https://docs.google.com/spreadsheets/d/11923uPwbBZFjjGgGUA6NLw09EwE0CqkOc4q9oUmW1yo/edit?usp=sharing"",""เชียงราย!J295"")"),0)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IFERROR(__xludf.DUMMYFUNCTION("IMPORTRANGE(""https://docs.google.com/spreadsheets/d/11923uPwbBZFjjGgGUA6NLw09EwE0CqkOc4q9oUmW1yo/edit?usp=sharing"",""เชียงราย!I296"")"),174)</f>
        <v>174</v>
      </c>
      <c r="J401" s="372">
        <f ca="1">IFERROR(__xludf.DUMMYFUNCTION("IMPORTRANGE(""https://docs.google.com/spreadsheets/d/11923uPwbBZFjjGgGUA6NLw09EwE0CqkOc4q9oUmW1yo/edit?usp=sharing"",""เชียงราย!J296"")"),174)</f>
        <v>174</v>
      </c>
      <c r="K401" s="373">
        <f t="shared" ref="K401:K402" ca="1" si="111">IF(I401&gt;0,J401*100/I401,0)</f>
        <v>100</v>
      </c>
      <c r="L401" s="374">
        <f ca="1">IFERROR(__xludf.DUMMYFUNCTION("IMPORTRANGE(""https://docs.google.com/spreadsheets/d/11923uPwbBZFjjGgGUA6NLw09EwE0CqkOc4q9oUmW1yo/edit?usp=sharing"",""เชียงราย!L296"")"),195900)</f>
        <v>195900</v>
      </c>
      <c r="M401" s="374"/>
      <c r="N401" s="374">
        <f ca="1">IFERROR(__xludf.DUMMYFUNCTION("IMPORTRANGE(""https://docs.google.com/spreadsheets/d/11923uPwbBZFjjGgGUA6NLw09EwE0CqkOc4q9oUmW1yo/edit?usp=sharing"",""เชียงราย!M296"")"),172446.95)</f>
        <v>172446.95</v>
      </c>
      <c r="O401" s="374">
        <f ca="1">+IF(L401&gt;0,N401*100/L401,0)</f>
        <v>88.028050025523228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IFERROR(__xludf.DUMMYFUNCTION("IMPORTRANGE(""https://docs.google.com/spreadsheets/d/11923uPwbBZFjjGgGUA6NLw09EwE0CqkOc4q9oUmW1yo/edit?usp=sharing"",""เชียงราย!I297"")"),58)</f>
        <v>58</v>
      </c>
      <c r="J402" s="372">
        <f ca="1">IFERROR(__xludf.DUMMYFUNCTION("IMPORTRANGE(""https://docs.google.com/spreadsheets/d/11923uPwbBZFjjGgGUA6NLw09EwE0CqkOc4q9oUmW1yo/edit?usp=sharing"",""เชียงราย!J297"")"),58)</f>
        <v>58</v>
      </c>
      <c r="K402" s="373">
        <f t="shared" ca="1" si="111"/>
        <v>100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IFERROR(__xludf.DUMMYFUNCTION("IMPORTRANGE(""https://docs.google.com/spreadsheets/d/11923uPwbBZFjjGgGUA6NLw09EwE0CqkOc4q9oUmW1yo/edit?usp=sharing"",""เชียงราย!L298"")"),0)</f>
        <v>0</v>
      </c>
      <c r="M403" s="166"/>
      <c r="N403" s="170">
        <f ca="1">IFERROR(__xludf.DUMMYFUNCTION("IMPORTRANGE(""https://docs.google.com/spreadsheets/d/11923uPwbBZFjjGgGUA6NLw09EwE0CqkOc4q9oUmW1yo/edit?usp=sharing"",""เชียงราย!M298"")"),0)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IFERROR(__xludf.DUMMYFUNCTION("IMPORTRANGE(""https://docs.google.com/spreadsheets/d/11923uPwbBZFjjGgGUA6NLw09EwE0CqkOc4q9oUmW1yo/edit?usp=sharing"",""เชียงราย!L299"")"),195900)</f>
        <v>195900</v>
      </c>
      <c r="M404" s="167"/>
      <c r="N404" s="170">
        <f ca="1">IFERROR(__xludf.DUMMYFUNCTION("IMPORTRANGE(""https://docs.google.com/spreadsheets/d/11923uPwbBZFjjGgGUA6NLw09EwE0CqkOc4q9oUmW1yo/edit?usp=sharing"",""เชียงราย!M299"")"),172446.95)</f>
        <v>172446.95</v>
      </c>
      <c r="O404" s="170">
        <f t="shared" ca="1" si="112"/>
        <v>88.028050025523228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IFERROR(__xludf.DUMMYFUNCTION("IMPORTRANGE(""https://docs.google.com/spreadsheets/d/11923uPwbBZFjjGgGUA6NLw09EwE0CqkOc4q9oUmW1yo/edit?usp=sharing"",""เชียงราย!L300"")"),0)</f>
        <v>0</v>
      </c>
      <c r="M405" s="170"/>
      <c r="N405" s="170">
        <f ca="1">IFERROR(__xludf.DUMMYFUNCTION("IMPORTRANGE(""https://docs.google.com/spreadsheets/d/11923uPwbBZFjjGgGUA6NLw09EwE0CqkOc4q9oUmW1yo/edit?usp=sharing"",""เชียงราย!M300"")"),0)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IFERROR(__xludf.DUMMYFUNCTION("IMPORTRANGE(""https://docs.google.com/spreadsheets/d/11923uPwbBZFjjGgGUA6NLw09EwE0CqkOc4q9oUmW1yo/edit?usp=sharing"",""เชียงราย!L301"")"),195900)</f>
        <v>195900</v>
      </c>
      <c r="M406" s="170"/>
      <c r="N406" s="170">
        <f ca="1">IFERROR(__xludf.DUMMYFUNCTION("IMPORTRANGE(""https://docs.google.com/spreadsheets/d/11923uPwbBZFjjGgGUA6NLw09EwE0CqkOc4q9oUmW1yo/edit?usp=sharing"",""เชียงราย!M301"")"),172446.95)</f>
        <v>172446.95</v>
      </c>
      <c r="O406" s="170">
        <f t="shared" ca="1" si="112"/>
        <v>88.028050025523228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IFERROR(__xludf.DUMMYFUNCTION("IMPORTRANGE(""https://docs.google.com/spreadsheets/d/11923uPwbBZFjjGgGUA6NLw09EwE0CqkOc4q9oUmW1yo/edit?usp=sharing"",""เชียงราย!M302"")"),119122)</f>
        <v>119122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IFERROR(__xludf.DUMMYFUNCTION("IMPORTRANGE(""https://docs.google.com/spreadsheets/d/11923uPwbBZFjjGgGUA6NLw09EwE0CqkOc4q9oUmW1yo/edit?usp=sharing"",""เชียงราย!M303"")"),34634.95)</f>
        <v>34634.949999999997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IFERROR(__xludf.DUMMYFUNCTION("IMPORTRANGE(""https://docs.google.com/spreadsheets/d/11923uPwbBZFjjGgGUA6NLw09EwE0CqkOc4q9oUmW1yo/edit?usp=sharing"",""เชียงราย!M304"")"),0)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IFERROR(__xludf.DUMMYFUNCTION("IMPORTRANGE(""https://docs.google.com/spreadsheets/d/11923uPwbBZFjjGgGUA6NLw09EwE0CqkOc4q9oUmW1yo/edit?usp=sharing"",""เชียงราย!M305"")"),18690)</f>
        <v>18690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IFERROR(__xludf.DUMMYFUNCTION("IMPORTRANGE(""https://docs.google.com/spreadsheets/d/11923uPwbBZFjjGgGUA6NLw09EwE0CqkOc4q9oUmW1yo/edit?usp=sharing"",""เชียงราย!J307"")"),0)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IFERROR(__xludf.DUMMYFUNCTION("IMPORTRANGE(""https://docs.google.com/spreadsheets/d/11923uPwbBZFjjGgGUA6NLw09EwE0CqkOc4q9oUmW1yo/edit?usp=sharing"",""เชียงราย!J308"")"),1)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IFERROR(__xludf.DUMMYFUNCTION("IMPORTRANGE(""https://docs.google.com/spreadsheets/d/11923uPwbBZFjjGgGUA6NLw09EwE0CqkOc4q9oUmW1yo/edit?usp=sharing"",""เชียงราย!J309"")"),1)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IFERROR(__xludf.DUMMYFUNCTION("IMPORTRANGE(""https://docs.google.com/spreadsheets/d/11923uPwbBZFjjGgGUA6NLw09EwE0CqkOc4q9oUmW1yo/edit?usp=sharing"",""เชียงราย!J310"")"),1)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IFERROR(__xludf.DUMMYFUNCTION("IMPORTRANGE(""https://docs.google.com/spreadsheets/d/11923uPwbBZFjjGgGUA6NLw09EwE0CqkOc4q9oUmW1yo/edit?usp=sharing"",""เชียงราย!I311"")"),58)</f>
        <v>58</v>
      </c>
      <c r="J416" s="202">
        <f ca="1">IFERROR(__xludf.DUMMYFUNCTION("IMPORTRANGE(""https://docs.google.com/spreadsheets/d/11923uPwbBZFjjGgGUA6NLw09EwE0CqkOc4q9oUmW1yo/edit?usp=sharing"",""เชียงราย!J311"")"),58)</f>
        <v>58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IFERROR(__xludf.DUMMYFUNCTION("IMPORTRANGE(""https://docs.google.com/spreadsheets/d/11923uPwbBZFjjGgGUA6NLw09EwE0CqkOc4q9oUmW1yo/edit?usp=sharing"",""เชียงราย!I312"")"),10)</f>
        <v>10</v>
      </c>
      <c r="J417" s="393">
        <f ca="1">IFERROR(__xludf.DUMMYFUNCTION("IMPORTRANGE(""https://docs.google.com/spreadsheets/d/11923uPwbBZFjjGgGUA6NLw09EwE0CqkOc4q9oUmW1yo/edit?usp=sharing"",""เชียงราย!J312"")"),10)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IFERROR(__xludf.DUMMYFUNCTION("IMPORTRANGE(""https://docs.google.com/spreadsheets/d/11923uPwbBZFjjGgGUA6NLw09EwE0CqkOc4q9oUmW1yo/edit?usp=sharing"",""เชียงราย!I313"")"),30)</f>
        <v>30</v>
      </c>
      <c r="J418" s="394">
        <f ca="1">IFERROR(__xludf.DUMMYFUNCTION("IMPORTRANGE(""https://docs.google.com/spreadsheets/d/11923uPwbBZFjjGgGUA6NLw09EwE0CqkOc4q9oUmW1yo/edit?usp=sharing"",""เชียงราย!J313"")"),30)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IFERROR(__xludf.DUMMYFUNCTION("IMPORTRANGE(""https://docs.google.com/spreadsheets/d/11923uPwbBZFjjGgGUA6NLw09EwE0CqkOc4q9oUmW1yo/edit?usp=sharing"",""เชียงราย!I314"")"),10)</f>
        <v>10</v>
      </c>
      <c r="J419" s="395">
        <f ca="1">IFERROR(__xludf.DUMMYFUNCTION("IMPORTRANGE(""https://docs.google.com/spreadsheets/d/11923uPwbBZFjjGgGUA6NLw09EwE0CqkOc4q9oUmW1yo/edit?usp=sharing"",""เชียงราย!J314"")"),10)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IFERROR(__xludf.DUMMYFUNCTION("IMPORTRANGE(""https://docs.google.com/spreadsheets/d/11923uPwbBZFjjGgGUA6NLw09EwE0CqkOc4q9oUmW1yo/edit?usp=sharing"",""เชียงราย!I315"")"),10)</f>
        <v>10</v>
      </c>
      <c r="J420" s="395">
        <f ca="1">IFERROR(__xludf.DUMMYFUNCTION("IMPORTRANGE(""https://docs.google.com/spreadsheets/d/11923uPwbBZFjjGgGUA6NLw09EwE0CqkOc4q9oUmW1yo/edit?usp=sharing"",""เชียงราย!J315"")"),10)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IFERROR(__xludf.DUMMYFUNCTION("IMPORTRANGE(""https://docs.google.com/spreadsheets/d/11923uPwbBZFjjGgGUA6NLw09EwE0CqkOc4q9oUmW1yo/edit?usp=sharing"",""เชียงราย!I316"")"),38)</f>
        <v>38</v>
      </c>
      <c r="J421" s="393">
        <f ca="1">IFERROR(__xludf.DUMMYFUNCTION("IMPORTRANGE(""https://docs.google.com/spreadsheets/d/11923uPwbBZFjjGgGUA6NLw09EwE0CqkOc4q9oUmW1yo/edit?usp=sharing"",""เชียงราย!J316"")"),38)</f>
        <v>38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IFERROR(__xludf.DUMMYFUNCTION("IMPORTRANGE(""https://docs.google.com/spreadsheets/d/11923uPwbBZFjjGgGUA6NLw09EwE0CqkOc4q9oUmW1yo/edit?usp=sharing"",""เชียงราย!I317"")"),114)</f>
        <v>114</v>
      </c>
      <c r="J422" s="394">
        <f ca="1">IFERROR(__xludf.DUMMYFUNCTION("IMPORTRANGE(""https://docs.google.com/spreadsheets/d/11923uPwbBZFjjGgGUA6NLw09EwE0CqkOc4q9oUmW1yo/edit?usp=sharing"",""เชียงราย!J317"")"),114)</f>
        <v>114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IFERROR(__xludf.DUMMYFUNCTION("IMPORTRANGE(""https://docs.google.com/spreadsheets/d/11923uPwbBZFjjGgGUA6NLw09EwE0CqkOc4q9oUmW1yo/edit?usp=sharing"",""เชียงราย!I318"")"),38)</f>
        <v>38</v>
      </c>
      <c r="J423" s="395">
        <f ca="1">IFERROR(__xludf.DUMMYFUNCTION("IMPORTRANGE(""https://docs.google.com/spreadsheets/d/11923uPwbBZFjjGgGUA6NLw09EwE0CqkOc4q9oUmW1yo/edit?usp=sharing"",""เชียงราย!J318"")"),38)</f>
        <v>38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IFERROR(__xludf.DUMMYFUNCTION("IMPORTRANGE(""https://docs.google.com/spreadsheets/d/11923uPwbBZFjjGgGUA6NLw09EwE0CqkOc4q9oUmW1yo/edit?usp=sharing"",""เชียงราย!I319"")"),38)</f>
        <v>38</v>
      </c>
      <c r="J424" s="395">
        <f ca="1">IFERROR(__xludf.DUMMYFUNCTION("IMPORTRANGE(""https://docs.google.com/spreadsheets/d/11923uPwbBZFjjGgGUA6NLw09EwE0CqkOc4q9oUmW1yo/edit?usp=sharing"",""เชียงราย!J319"")"),38)</f>
        <v>38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IFERROR(__xludf.DUMMYFUNCTION("IMPORTRANGE(""https://docs.google.com/spreadsheets/d/11923uPwbBZFjjGgGUA6NLw09EwE0CqkOc4q9oUmW1yo/edit?usp=sharing"",""เชียงราย!I320"")"),38)</f>
        <v>38</v>
      </c>
      <c r="J425" s="395">
        <f ca="1">IFERROR(__xludf.DUMMYFUNCTION("IMPORTRANGE(""https://docs.google.com/spreadsheets/d/11923uPwbBZFjjGgGUA6NLw09EwE0CqkOc4q9oUmW1yo/edit?usp=sharing"",""เชียงราย!J320"")"),38)</f>
        <v>38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IFERROR(__xludf.DUMMYFUNCTION("IMPORTRANGE(""https://docs.google.com/spreadsheets/d/11923uPwbBZFjjGgGUA6NLw09EwE0CqkOc4q9oUmW1yo/edit?usp=sharing"",""เชียงราย!I321"")"),10)</f>
        <v>10</v>
      </c>
      <c r="J426" s="393">
        <f ca="1">IFERROR(__xludf.DUMMYFUNCTION("IMPORTRANGE(""https://docs.google.com/spreadsheets/d/11923uPwbBZFjjGgGUA6NLw09EwE0CqkOc4q9oUmW1yo/edit?usp=sharing"",""เชียงราย!J321"")"),10)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IFERROR(__xludf.DUMMYFUNCTION("IMPORTRANGE(""https://docs.google.com/spreadsheets/d/11923uPwbBZFjjGgGUA6NLw09EwE0CqkOc4q9oUmW1yo/edit?usp=sharing"",""เชียงราย!I322"")"),30)</f>
        <v>30</v>
      </c>
      <c r="J427" s="394">
        <f ca="1">IFERROR(__xludf.DUMMYFUNCTION("IMPORTRANGE(""https://docs.google.com/spreadsheets/d/11923uPwbBZFjjGgGUA6NLw09EwE0CqkOc4q9oUmW1yo/edit?usp=sharing"",""เชียงราย!J322"")"),30)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IFERROR(__xludf.DUMMYFUNCTION("IMPORTRANGE(""https://docs.google.com/spreadsheets/d/11923uPwbBZFjjGgGUA6NLw09EwE0CqkOc4q9oUmW1yo/edit?usp=sharing"",""เชียงราย!I323"")"),10)</f>
        <v>10</v>
      </c>
      <c r="J428" s="395">
        <f ca="1">IFERROR(__xludf.DUMMYFUNCTION("IMPORTRANGE(""https://docs.google.com/spreadsheets/d/11923uPwbBZFjjGgGUA6NLw09EwE0CqkOc4q9oUmW1yo/edit?usp=sharing"",""เชียงราย!J323"")"),10)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IFERROR(__xludf.DUMMYFUNCTION("IMPORTRANGE(""https://docs.google.com/spreadsheets/d/11923uPwbBZFjjGgGUA6NLw09EwE0CqkOc4q9oUmW1yo/edit?usp=sharing"",""เชียงราย!I324"")"),10)</f>
        <v>10</v>
      </c>
      <c r="J429" s="395">
        <f ca="1">IFERROR(__xludf.DUMMYFUNCTION("IMPORTRANGE(""https://docs.google.com/spreadsheets/d/11923uPwbBZFjjGgGUA6NLw09EwE0CqkOc4q9oUmW1yo/edit?usp=sharing"",""เชียงราย!J324"")"),10)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IFERROR(__xludf.DUMMYFUNCTION("IMPORTRANGE(""https://docs.google.com/spreadsheets/d/11923uPwbBZFjjGgGUA6NLw09EwE0CqkOc4q9oUmW1yo/edit?usp=sharing"",""เชียงราย!I325"")"),48)</f>
        <v>48</v>
      </c>
      <c r="J430" s="393">
        <f ca="1">IFERROR(__xludf.DUMMYFUNCTION("IMPORTRANGE(""https://docs.google.com/spreadsheets/d/11923uPwbBZFjjGgGUA6NLw09EwE0CqkOc4q9oUmW1yo/edit?usp=sharing"",""เชียงราย!J325"")"),0)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IFERROR(__xludf.DUMMYFUNCTION("IMPORTRANGE(""https://docs.google.com/spreadsheets/d/11923uPwbBZFjjGgGUA6NLw09EwE0CqkOc4q9oUmW1yo/edit?usp=sharing"",""เชียงราย!I326"")"),10)</f>
        <v>10</v>
      </c>
      <c r="J431" s="395">
        <f ca="1">IFERROR(__xludf.DUMMYFUNCTION("IMPORTRANGE(""https://docs.google.com/spreadsheets/d/11923uPwbBZFjjGgGUA6NLw09EwE0CqkOc4q9oUmW1yo/edit?usp=sharing"",""เชียงราย!J326"")"),0)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IFERROR(__xludf.DUMMYFUNCTION("IMPORTRANGE(""https://docs.google.com/spreadsheets/d/11923uPwbBZFjjGgGUA6NLw09EwE0CqkOc4q9oUmW1yo/edit?usp=sharing"",""เชียงราย!I327"")"),38)</f>
        <v>38</v>
      </c>
      <c r="J432" s="395">
        <f ca="1">IFERROR(__xludf.DUMMYFUNCTION("IMPORTRANGE(""https://docs.google.com/spreadsheets/d/11923uPwbBZFjjGgGUA6NLw09EwE0CqkOc4q9oUmW1yo/edit?usp=sharing"",""เชียงราย!J327"")"),0)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IFERROR(__xludf.DUMMYFUNCTION("IMPORTRANGE(""https://docs.google.com/spreadsheets/d/11923uPwbBZFjjGgGUA6NLw09EwE0CqkOc4q9oUmW1yo/edit?usp=sharing"",""เชียงราย!J328"")"),0)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IFERROR(__xludf.DUMMYFUNCTION("IMPORTRANGE(""https://docs.google.com/spreadsheets/d/11923uPwbBZFjjGgGUA6NLw09EwE0CqkOc4q9oUmW1yo/edit?usp=sharing"",""เชียงราย!J329"")"),0)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IFERROR(__xludf.DUMMYFUNCTION("IMPORTRANGE(""https://docs.google.com/spreadsheets/d/11923uPwbBZFjjGgGUA6NLw09EwE0CqkOc4q9oUmW1yo/edit?usp=sharing"",""เชียงราย!I330"")"),50)</f>
        <v>50</v>
      </c>
      <c r="J435" s="411">
        <f ca="1">IFERROR(__xludf.DUMMYFUNCTION("IMPORTRANGE(""https://docs.google.com/spreadsheets/d/11923uPwbBZFjjGgGUA6NLw09EwE0CqkOc4q9oUmW1yo/edit?usp=sharing"",""เชียงราย!J330"")"),50)</f>
        <v>50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IFERROR(__xludf.DUMMYFUNCTION("IMPORTRANGE(""https://docs.google.com/spreadsheets/d/11923uPwbBZFjjGgGUA6NLw09EwE0CqkOc4q9oUmW1yo/edit?usp=sharing"",""เชียงราย!L330"")"),159800)</f>
        <v>159800</v>
      </c>
      <c r="M435" s="413"/>
      <c r="N435" s="413">
        <f ca="1">IFERROR(__xludf.DUMMYFUNCTION("IMPORTRANGE(""https://docs.google.com/spreadsheets/d/11923uPwbBZFjjGgGUA6NLw09EwE0CqkOc4q9oUmW1yo/edit?usp=sharing"",""เชียงราย!M330"")"),117090)</f>
        <v>117090</v>
      </c>
      <c r="O435" s="413">
        <f t="shared" ref="O435:O439" ca="1" si="114">+IF(L435&gt;0,N435*100/L435,0)</f>
        <v>73.272841051314145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IFERROR(__xludf.DUMMYFUNCTION("IMPORTRANGE(""https://docs.google.com/spreadsheets/d/11923uPwbBZFjjGgGUA6NLw09EwE0CqkOc4q9oUmW1yo/edit?usp=sharing"",""เชียงราย!L331"")"),0)</f>
        <v>0</v>
      </c>
      <c r="M436" s="166"/>
      <c r="N436" s="170">
        <f ca="1">IFERROR(__xludf.DUMMYFUNCTION("IMPORTRANGE(""https://docs.google.com/spreadsheets/d/11923uPwbBZFjjGgGUA6NLw09EwE0CqkOc4q9oUmW1yo/edit?usp=sharing"",""เชียงราย!M331"")"),0)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IFERROR(__xludf.DUMMYFUNCTION("IMPORTRANGE(""https://docs.google.com/spreadsheets/d/11923uPwbBZFjjGgGUA6NLw09EwE0CqkOc4q9oUmW1yo/edit?usp=sharing"",""เชียงราย!L332"")"),159800)</f>
        <v>159800</v>
      </c>
      <c r="M437" s="167"/>
      <c r="N437" s="170">
        <f ca="1">IFERROR(__xludf.DUMMYFUNCTION("IMPORTRANGE(""https://docs.google.com/spreadsheets/d/11923uPwbBZFjjGgGUA6NLw09EwE0CqkOc4q9oUmW1yo/edit?usp=sharing"",""เชียงราย!M332"")"),117090)</f>
        <v>117090</v>
      </c>
      <c r="O437" s="170">
        <f t="shared" ca="1" si="114"/>
        <v>73.272841051314145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IFERROR(__xludf.DUMMYFUNCTION("IMPORTRANGE(""https://docs.google.com/spreadsheets/d/11923uPwbBZFjjGgGUA6NLw09EwE0CqkOc4q9oUmW1yo/edit?usp=sharing"",""เชียงราย!L333"")"),0)</f>
        <v>0</v>
      </c>
      <c r="M438" s="170"/>
      <c r="N438" s="170">
        <f ca="1">IFERROR(__xludf.DUMMYFUNCTION("IMPORTRANGE(""https://docs.google.com/spreadsheets/d/11923uPwbBZFjjGgGUA6NLw09EwE0CqkOc4q9oUmW1yo/edit?usp=sharing"",""เชียงราย!M333"")"),0)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IFERROR(__xludf.DUMMYFUNCTION("IMPORTRANGE(""https://docs.google.com/spreadsheets/d/11923uPwbBZFjjGgGUA6NLw09EwE0CqkOc4q9oUmW1yo/edit?usp=sharing"",""เชียงราย!L334"")"),159800)</f>
        <v>159800</v>
      </c>
      <c r="M439" s="170"/>
      <c r="N439" s="170">
        <f ca="1">IFERROR(__xludf.DUMMYFUNCTION("IMPORTRANGE(""https://docs.google.com/spreadsheets/d/11923uPwbBZFjjGgGUA6NLw09EwE0CqkOc4q9oUmW1yo/edit?usp=sharing"",""เชียงราย!M334"")"),117090)</f>
        <v>117090</v>
      </c>
      <c r="O439" s="170">
        <f t="shared" ca="1" si="114"/>
        <v>73.272841051314145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IFERROR(__xludf.DUMMYFUNCTION("IMPORTRANGE(""https://docs.google.com/spreadsheets/d/11923uPwbBZFjjGgGUA6NLw09EwE0CqkOc4q9oUmW1yo/edit?usp=sharing"",""เชียงราย!M335"")"),109000)</f>
        <v>109000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IFERROR(__xludf.DUMMYFUNCTION("IMPORTRANGE(""https://docs.google.com/spreadsheets/d/11923uPwbBZFjjGgGUA6NLw09EwE0CqkOc4q9oUmW1yo/edit?usp=sharing"",""เชียงราย!M336"")"),0)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IFERROR(__xludf.DUMMYFUNCTION("IMPORTRANGE(""https://docs.google.com/spreadsheets/d/11923uPwbBZFjjGgGUA6NLw09EwE0CqkOc4q9oUmW1yo/edit?usp=sharing"",""เชียงราย!M337"")"),0)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IFERROR(__xludf.DUMMYFUNCTION("IMPORTRANGE(""https://docs.google.com/spreadsheets/d/11923uPwbBZFjjGgGUA6NLw09EwE0CqkOc4q9oUmW1yo/edit?usp=sharing"",""เชียงราย!M338"")"),8090)</f>
        <v>8090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IFERROR(__xludf.DUMMYFUNCTION("IMPORTRANGE(""https://docs.google.com/spreadsheets/d/11923uPwbBZFjjGgGUA6NLw09EwE0CqkOc4q9oUmW1yo/edit?usp=sharing"",""เชียงราย!J340"")"),0)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IFERROR(__xludf.DUMMYFUNCTION("IMPORTRANGE(""https://docs.google.com/spreadsheets/d/11923uPwbBZFjjGgGUA6NLw09EwE0CqkOc4q9oUmW1yo/edit?usp=sharing"",""เชียงราย!J341"")"),1)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IFERROR(__xludf.DUMMYFUNCTION("IMPORTRANGE(""https://docs.google.com/spreadsheets/d/11923uPwbBZFjjGgGUA6NLw09EwE0CqkOc4q9oUmW1yo/edit?usp=sharing"",""เชียงราย!J342"")"),1)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IFERROR(__xludf.DUMMYFUNCTION("IMPORTRANGE(""https://docs.google.com/spreadsheets/d/11923uPwbBZFjjGgGUA6NLw09EwE0CqkOc4q9oUmW1yo/edit?usp=sharing"",""เชียงราย!J343"")"),1)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IFERROR(__xludf.DUMMYFUNCTION("IMPORTRANGE(""https://docs.google.com/spreadsheets/d/11923uPwbBZFjjGgGUA6NLw09EwE0CqkOc4q9oUmW1yo/edit?usp=sharing"",""เชียงราย!I344"")"),50)</f>
        <v>50</v>
      </c>
      <c r="J449" s="202">
        <f ca="1">IFERROR(__xludf.DUMMYFUNCTION("IMPORTRANGE(""https://docs.google.com/spreadsheets/d/11923uPwbBZFjjGgGUA6NLw09EwE0CqkOc4q9oUmW1yo/edit?usp=sharing"",""เชียงราย!J344"")"),50)</f>
        <v>50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IFERROR(__xludf.DUMMYFUNCTION("IMPORTRANGE(""https://docs.google.com/spreadsheets/d/11923uPwbBZFjjGgGUA6NLw09EwE0CqkOc4q9oUmW1yo/edit?usp=sharing"",""เชียงราย!I345"")"),20)</f>
        <v>20</v>
      </c>
      <c r="J450" s="190">
        <f ca="1">IFERROR(__xludf.DUMMYFUNCTION("IMPORTRANGE(""https://docs.google.com/spreadsheets/d/11923uPwbBZFjjGgGUA6NLw09EwE0CqkOc4q9oUmW1yo/edit?usp=sharing"",""เชียงราย!J345"")"),20)</f>
        <v>20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IFERROR(__xludf.DUMMYFUNCTION("IMPORTRANGE(""https://docs.google.com/spreadsheets/d/11923uPwbBZFjjGgGUA6NLw09EwE0CqkOc4q9oUmW1yo/edit?usp=sharing"",""เชียงราย!I346"")"),30)</f>
        <v>30</v>
      </c>
      <c r="J451" s="189">
        <f ca="1">IFERROR(__xludf.DUMMYFUNCTION("IMPORTRANGE(""https://docs.google.com/spreadsheets/d/11923uPwbBZFjjGgGUA6NLw09EwE0CqkOc4q9oUmW1yo/edit?usp=sharing"",""เชียงราย!J346"")"),30)</f>
        <v>30</v>
      </c>
      <c r="K451" s="165">
        <f t="shared" ca="1" si="115"/>
        <v>100</v>
      </c>
      <c r="L451" s="183"/>
      <c r="M451" s="183"/>
      <c r="N451" s="183"/>
      <c r="O451" s="183"/>
      <c r="P451" s="183"/>
    </row>
    <row r="452" spans="1:16" ht="21.75" hidden="1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IFERROR(__xludf.DUMMYFUNCTION("IMPORTRANGE(""https://docs.google.com/spreadsheets/d/11923uPwbBZFjjGgGUA6NLw09EwE0CqkOc4q9oUmW1yo/edit?usp=sharing"",""เชียงราย!I347"")"),0)</f>
        <v>0</v>
      </c>
      <c r="J452" s="189">
        <f ca="1">IFERROR(__xludf.DUMMYFUNCTION("IMPORTRANGE(""https://docs.google.com/spreadsheets/d/11923uPwbBZFjjGgGUA6NLw09EwE0CqkOc4q9oUmW1yo/edit?usp=sharing"",""เชียงราย!J347"")"),0)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IFERROR(__xludf.DUMMYFUNCTION("IMPORTRANGE(""https://docs.google.com/spreadsheets/d/11923uPwbBZFjjGgGUA6NLw09EwE0CqkOc4q9oUmW1yo/edit?usp=sharing"",""เชียงราย!J348"")"),0)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IFERROR(__xludf.DUMMYFUNCTION("IMPORTRANGE(""https://docs.google.com/spreadsheets/d/11923uPwbBZFjjGgGUA6NLw09EwE0CqkOc4q9oUmW1yo/edit?usp=sharing"",""เชียงราย!J349"")"),0)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IFERROR(__xludf.DUMMYFUNCTION("IMPORTRANGE(""https://docs.google.com/spreadsheets/d/11923uPwbBZFjjGgGUA6NLw09EwE0CqkOc4q9oUmW1yo/edit?usp=sharing"",""เชียงราย!I350"")"),49473)</f>
        <v>49473</v>
      </c>
      <c r="J455" s="372">
        <f ca="1">IFERROR(__xludf.DUMMYFUNCTION("IMPORTRANGE(""https://docs.google.com/spreadsheets/d/11923uPwbBZFjjGgGUA6NLw09EwE0CqkOc4q9oUmW1yo/edit?usp=sharing"",""เชียงราย!J350"")"),42904)</f>
        <v>42904</v>
      </c>
      <c r="K455" s="373">
        <f ca="1">IF(I455&gt;0,J455*100/I455,0)</f>
        <v>86.722050411335474</v>
      </c>
      <c r="L455" s="374">
        <f ca="1">IFERROR(__xludf.DUMMYFUNCTION("IMPORTRANGE(""https://docs.google.com/spreadsheets/d/11923uPwbBZFjjGgGUA6NLw09EwE0CqkOc4q9oUmW1yo/edit?usp=sharing"",""เชียงราย!L350"")"),541453)</f>
        <v>541453</v>
      </c>
      <c r="M455" s="374"/>
      <c r="N455" s="374">
        <f ca="1">IFERROR(__xludf.DUMMYFUNCTION("IMPORTRANGE(""https://docs.google.com/spreadsheets/d/11923uPwbBZFjjGgGUA6NLw09EwE0CqkOc4q9oUmW1yo/edit?usp=sharing"",""เชียงราย!M350"")"),209260)</f>
        <v>209260</v>
      </c>
      <c r="O455" s="374">
        <f t="shared" ref="O455:O459" ca="1" si="116">+IF(L455&gt;0,N455*100/L455,0)</f>
        <v>38.647860479118222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IFERROR(__xludf.DUMMYFUNCTION("IMPORTRANGE(""https://docs.google.com/spreadsheets/d/11923uPwbBZFjjGgGUA6NLw09EwE0CqkOc4q9oUmW1yo/edit?usp=sharing"",""เชียงราย!L351"")"),0)</f>
        <v>0</v>
      </c>
      <c r="M456" s="166"/>
      <c r="N456" s="170">
        <f ca="1">IFERROR(__xludf.DUMMYFUNCTION("IMPORTRANGE(""https://docs.google.com/spreadsheets/d/11923uPwbBZFjjGgGUA6NLw09EwE0CqkOc4q9oUmW1yo/edit?usp=sharing"",""เชียงราย!M351"")"),0)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IFERROR(__xludf.DUMMYFUNCTION("IMPORTRANGE(""https://docs.google.com/spreadsheets/d/11923uPwbBZFjjGgGUA6NLw09EwE0CqkOc4q9oUmW1yo/edit?usp=sharing"",""เชียงราย!L352"")"),541453)</f>
        <v>541453</v>
      </c>
      <c r="M457" s="167"/>
      <c r="N457" s="170">
        <f ca="1">IFERROR(__xludf.DUMMYFUNCTION("IMPORTRANGE(""https://docs.google.com/spreadsheets/d/11923uPwbBZFjjGgGUA6NLw09EwE0CqkOc4q9oUmW1yo/edit?usp=sharing"",""เชียงราย!M352"")"),209260)</f>
        <v>209260</v>
      </c>
      <c r="O457" s="170">
        <f t="shared" ca="1" si="116"/>
        <v>38.647860479118222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IFERROR(__xludf.DUMMYFUNCTION("IMPORTRANGE(""https://docs.google.com/spreadsheets/d/11923uPwbBZFjjGgGUA6NLw09EwE0CqkOc4q9oUmW1yo/edit?usp=sharing"",""เชียงราย!L353"")"),0)</f>
        <v>0</v>
      </c>
      <c r="M458" s="170"/>
      <c r="N458" s="170">
        <f ca="1">IFERROR(__xludf.DUMMYFUNCTION("IMPORTRANGE(""https://docs.google.com/spreadsheets/d/11923uPwbBZFjjGgGUA6NLw09EwE0CqkOc4q9oUmW1yo/edit?usp=sharing"",""เชียงราย!M353"")"),0)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IFERROR(__xludf.DUMMYFUNCTION("IMPORTRANGE(""https://docs.google.com/spreadsheets/d/11923uPwbBZFjjGgGUA6NLw09EwE0CqkOc4q9oUmW1yo/edit?usp=sharing"",""เชียงราย!L354"")"),541453)</f>
        <v>541453</v>
      </c>
      <c r="M459" s="170"/>
      <c r="N459" s="170">
        <f ca="1">IFERROR(__xludf.DUMMYFUNCTION("IMPORTRANGE(""https://docs.google.com/spreadsheets/d/11923uPwbBZFjjGgGUA6NLw09EwE0CqkOc4q9oUmW1yo/edit?usp=sharing"",""เชียงราย!M354"")"),209260)</f>
        <v>209260</v>
      </c>
      <c r="O459" s="170">
        <f t="shared" ca="1" si="116"/>
        <v>38.647860479118222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IFERROR(__xludf.DUMMYFUNCTION("IMPORTRANGE(""https://docs.google.com/spreadsheets/d/11923uPwbBZFjjGgGUA6NLw09EwE0CqkOc4q9oUmW1yo/edit?usp=sharing"",""เชียงราย!M355"")"),0)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IFERROR(__xludf.DUMMYFUNCTION("IMPORTRANGE(""https://docs.google.com/spreadsheets/d/11923uPwbBZFjjGgGUA6NLw09EwE0CqkOc4q9oUmW1yo/edit?usp=sharing"",""เชียงราย!M356"")"),0)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IFERROR(__xludf.DUMMYFUNCTION("IMPORTRANGE(""https://docs.google.com/spreadsheets/d/11923uPwbBZFjjGgGUA6NLw09EwE0CqkOc4q9oUmW1yo/edit?usp=sharing"",""เชียงราย!M357"")"),52500)</f>
        <v>52500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IFERROR(__xludf.DUMMYFUNCTION("IMPORTRANGE(""https://docs.google.com/spreadsheets/d/11923uPwbBZFjjGgGUA6NLw09EwE0CqkOc4q9oUmW1yo/edit?usp=sharing"",""เชียงราย!M358"")"),156760)</f>
        <v>156760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IFERROR(__xludf.DUMMYFUNCTION("IMPORTRANGE(""https://docs.google.com/spreadsheets/d/11923uPwbBZFjjGgGUA6NLw09EwE0CqkOc4q9oUmW1yo/edit?usp=sharing"",""เชียงราย!I359"")"),49473)</f>
        <v>49473</v>
      </c>
      <c r="J464" s="268">
        <f ca="1">IFERROR(__xludf.DUMMYFUNCTION("IMPORTRANGE(""https://docs.google.com/spreadsheets/d/11923uPwbBZFjjGgGUA6NLw09EwE0CqkOc4q9oUmW1yo/edit?usp=sharing"",""เชียงราย!J359"")"),42904)</f>
        <v>42904</v>
      </c>
      <c r="K464" s="269">
        <f t="shared" ref="K464:K515" ca="1" si="117">IF(I464&gt;0,J464*100/I464,0)</f>
        <v>86.722050411335474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IFERROR(__xludf.DUMMYFUNCTION("IMPORTRANGE(""https://docs.google.com/spreadsheets/d/11923uPwbBZFjjGgGUA6NLw09EwE0CqkOc4q9oUmW1yo/edit?usp=sharing"",""เชียงราย!I360"")"),49473)</f>
        <v>49473</v>
      </c>
      <c r="J465" s="422">
        <f ca="1">IFERROR(__xludf.DUMMYFUNCTION("IMPORTRANGE(""https://docs.google.com/spreadsheets/d/11923uPwbBZFjjGgGUA6NLw09EwE0CqkOc4q9oUmW1yo/edit?usp=sharing"",""เชียงราย!J360"")"),49473)</f>
        <v>49473</v>
      </c>
      <c r="K465" s="203">
        <f t="shared" ca="1" si="117"/>
        <v>100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IFERROR(__xludf.DUMMYFUNCTION("IMPORTRANGE(""https://docs.google.com/spreadsheets/d/11923uPwbBZFjjGgGUA6NLw09EwE0CqkOc4q9oUmW1yo/edit?usp=sharing"",""เชียงราย!I361"")"),9843)</f>
        <v>9843</v>
      </c>
      <c r="J466" s="422">
        <f ca="1">IFERROR(__xludf.DUMMYFUNCTION("IMPORTRANGE(""https://docs.google.com/spreadsheets/d/11923uPwbBZFjjGgGUA6NLw09EwE0CqkOc4q9oUmW1yo/edit?usp=sharing"",""เชียงราย!J361"")"),9843)</f>
        <v>9843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IFERROR(__xludf.DUMMYFUNCTION("IMPORTRANGE(""https://docs.google.com/spreadsheets/d/11923uPwbBZFjjGgGUA6NLw09EwE0CqkOc4q9oUmW1yo/edit?usp=sharing"",""เชียงราย!I362"")"),0)</f>
        <v>0</v>
      </c>
      <c r="J467" s="190">
        <f ca="1">IFERROR(__xludf.DUMMYFUNCTION("IMPORTRANGE(""https://docs.google.com/spreadsheets/d/11923uPwbBZFjjGgGUA6NLw09EwE0CqkOc4q9oUmW1yo/edit?usp=sharing"",""เชียงราย!J362"")"),42857)</f>
        <v>42857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IFERROR(__xludf.DUMMYFUNCTION("IMPORTRANGE(""https://docs.google.com/spreadsheets/d/11923uPwbBZFjjGgGUA6NLw09EwE0CqkOc4q9oUmW1yo/edit?usp=sharing"",""เชียงราย!I363"")"),0)</f>
        <v>0</v>
      </c>
      <c r="J468" s="190">
        <f ca="1">IFERROR(__xludf.DUMMYFUNCTION("IMPORTRANGE(""https://docs.google.com/spreadsheets/d/11923uPwbBZFjjGgGUA6NLw09EwE0CqkOc4q9oUmW1yo/edit?usp=sharing"",""เชียงราย!J363"")"),8730)</f>
        <v>8730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IFERROR(__xludf.DUMMYFUNCTION("IMPORTRANGE(""https://docs.google.com/spreadsheets/d/11923uPwbBZFjjGgGUA6NLw09EwE0CqkOc4q9oUmW1yo/edit?usp=sharing"",""เชียงราย!I364"")"),0)</f>
        <v>0</v>
      </c>
      <c r="J469" s="190">
        <f ca="1">IFERROR(__xludf.DUMMYFUNCTION("IMPORTRANGE(""https://docs.google.com/spreadsheets/d/11923uPwbBZFjjGgGUA6NLw09EwE0CqkOc4q9oUmW1yo/edit?usp=sharing"",""เชียงราย!J364"")"),5964)</f>
        <v>5964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IFERROR(__xludf.DUMMYFUNCTION("IMPORTRANGE(""https://docs.google.com/spreadsheets/d/11923uPwbBZFjjGgGUA6NLw09EwE0CqkOc4q9oUmW1yo/edit?usp=sharing"",""เชียงราย!I365"")"),0)</f>
        <v>0</v>
      </c>
      <c r="J470" s="190">
        <f ca="1">IFERROR(__xludf.DUMMYFUNCTION("IMPORTRANGE(""https://docs.google.com/spreadsheets/d/11923uPwbBZFjjGgGUA6NLw09EwE0CqkOc4q9oUmW1yo/edit?usp=sharing"",""เชียงราย!J365"")"),987)</f>
        <v>987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IFERROR(__xludf.DUMMYFUNCTION("IMPORTRANGE(""https://docs.google.com/spreadsheets/d/11923uPwbBZFjjGgGUA6NLw09EwE0CqkOc4q9oUmW1yo/edit?usp=sharing"",""เชียงราย!I366"")"),0)</f>
        <v>0</v>
      </c>
      <c r="J471" s="190">
        <f ca="1">IFERROR(__xludf.DUMMYFUNCTION("IMPORTRANGE(""https://docs.google.com/spreadsheets/d/11923uPwbBZFjjGgGUA6NLw09EwE0CqkOc4q9oUmW1yo/edit?usp=sharing"",""เชียงราย!J366"")"),652)</f>
        <v>652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IFERROR(__xludf.DUMMYFUNCTION("IMPORTRANGE(""https://docs.google.com/spreadsheets/d/11923uPwbBZFjjGgGUA6NLw09EwE0CqkOc4q9oUmW1yo/edit?usp=sharing"",""เชียงราย!I367"")"),0)</f>
        <v>0</v>
      </c>
      <c r="J472" s="190">
        <f ca="1">IFERROR(__xludf.DUMMYFUNCTION("IMPORTRANGE(""https://docs.google.com/spreadsheets/d/11923uPwbBZFjjGgGUA6NLw09EwE0CqkOc4q9oUmW1yo/edit?usp=sharing"",""เชียงราย!J367"")"),126)</f>
        <v>126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IFERROR(__xludf.DUMMYFUNCTION("IMPORTRANGE(""https://docs.google.com/spreadsheets/d/11923uPwbBZFjjGgGUA6NLw09EwE0CqkOc4q9oUmW1yo/edit?usp=sharing"",""เชียงราย!I368"")"),49473)</f>
        <v>49473</v>
      </c>
      <c r="J473" s="422">
        <f ca="1">IFERROR(__xludf.DUMMYFUNCTION("IMPORTRANGE(""https://docs.google.com/spreadsheets/d/11923uPwbBZFjjGgGUA6NLw09EwE0CqkOc4q9oUmW1yo/edit?usp=sharing"",""เชียงราย!J368"")"),49473)</f>
        <v>49473</v>
      </c>
      <c r="K473" s="203">
        <f t="shared" ca="1" si="117"/>
        <v>100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IFERROR(__xludf.DUMMYFUNCTION("IMPORTRANGE(""https://docs.google.com/spreadsheets/d/11923uPwbBZFjjGgGUA6NLw09EwE0CqkOc4q9oUmW1yo/edit?usp=sharing"",""เชียงราย!I369"")"),9843)</f>
        <v>9843</v>
      </c>
      <c r="J474" s="422">
        <f ca="1">IFERROR(__xludf.DUMMYFUNCTION("IMPORTRANGE(""https://docs.google.com/spreadsheets/d/11923uPwbBZFjjGgGUA6NLw09EwE0CqkOc4q9oUmW1yo/edit?usp=sharing"",""เชียงราย!J369"")"),9843)</f>
        <v>9843</v>
      </c>
      <c r="K474" s="203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IFERROR(__xludf.DUMMYFUNCTION("IMPORTRANGE(""https://docs.google.com/spreadsheets/d/11923uPwbBZFjjGgGUA6NLw09EwE0CqkOc4q9oUmW1yo/edit?usp=sharing"",""เชียงราย!I370"")"),0)</f>
        <v>0</v>
      </c>
      <c r="J475" s="190">
        <f ca="1">IFERROR(__xludf.DUMMYFUNCTION("IMPORTRANGE(""https://docs.google.com/spreadsheets/d/11923uPwbBZFjjGgGUA6NLw09EwE0CqkOc4q9oUmW1yo/edit?usp=sharing"",""เชียงราย!J370"")"),42904)</f>
        <v>42904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IFERROR(__xludf.DUMMYFUNCTION("IMPORTRANGE(""https://docs.google.com/spreadsheets/d/11923uPwbBZFjjGgGUA6NLw09EwE0CqkOc4q9oUmW1yo/edit?usp=sharing"",""เชียงราย!I371"")"),0)</f>
        <v>0</v>
      </c>
      <c r="J476" s="190">
        <f ca="1">IFERROR(__xludf.DUMMYFUNCTION("IMPORTRANGE(""https://docs.google.com/spreadsheets/d/11923uPwbBZFjjGgGUA6NLw09EwE0CqkOc4q9oUmW1yo/edit?usp=sharing"",""เชียงราย!J371"")"),8733)</f>
        <v>8733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IFERROR(__xludf.DUMMYFUNCTION("IMPORTRANGE(""https://docs.google.com/spreadsheets/d/11923uPwbBZFjjGgGUA6NLw09EwE0CqkOc4q9oUmW1yo/edit?usp=sharing"",""เชียงราย!I372"")"),0)</f>
        <v>0</v>
      </c>
      <c r="J477" s="190">
        <f ca="1">IFERROR(__xludf.DUMMYFUNCTION("IMPORTRANGE(""https://docs.google.com/spreadsheets/d/11923uPwbBZFjjGgGUA6NLw09EwE0CqkOc4q9oUmW1yo/edit?usp=sharing"",""เชียงราย!J372"")"),5672)</f>
        <v>5672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IFERROR(__xludf.DUMMYFUNCTION("IMPORTRANGE(""https://docs.google.com/spreadsheets/d/11923uPwbBZFjjGgGUA6NLw09EwE0CqkOc4q9oUmW1yo/edit?usp=sharing"",""เชียงราย!I373"")"),0)</f>
        <v>0</v>
      </c>
      <c r="J478" s="190">
        <f ca="1">IFERROR(__xludf.DUMMYFUNCTION("IMPORTRANGE(""https://docs.google.com/spreadsheets/d/11923uPwbBZFjjGgGUA6NLw09EwE0CqkOc4q9oUmW1yo/edit?usp=sharing"",""เชียงราย!J373"")"),941)</f>
        <v>941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IFERROR(__xludf.DUMMYFUNCTION("IMPORTRANGE(""https://docs.google.com/spreadsheets/d/11923uPwbBZFjjGgGUA6NLw09EwE0CqkOc4q9oUmW1yo/edit?usp=sharing"",""เชียงราย!I374"")"),0)</f>
        <v>0</v>
      </c>
      <c r="J479" s="190">
        <f ca="1">IFERROR(__xludf.DUMMYFUNCTION("IMPORTRANGE(""https://docs.google.com/spreadsheets/d/11923uPwbBZFjjGgGUA6NLw09EwE0CqkOc4q9oUmW1yo/edit?usp=sharing"",""เชียงราย!J374"")"),897)</f>
        <v>897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IFERROR(__xludf.DUMMYFUNCTION("IMPORTRANGE(""https://docs.google.com/spreadsheets/d/11923uPwbBZFjjGgGUA6NLw09EwE0CqkOc4q9oUmW1yo/edit?usp=sharing"",""เชียงราย!I375"")"),0)</f>
        <v>0</v>
      </c>
      <c r="J480" s="190">
        <f ca="1">IFERROR(__xludf.DUMMYFUNCTION("IMPORTRANGE(""https://docs.google.com/spreadsheets/d/11923uPwbBZFjjGgGUA6NLw09EwE0CqkOc4q9oUmW1yo/edit?usp=sharing"",""เชียงราย!J375"")"),169)</f>
        <v>169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IFERROR(__xludf.DUMMYFUNCTION("IMPORTRANGE(""https://docs.google.com/spreadsheets/d/11923uPwbBZFjjGgGUA6NLw09EwE0CqkOc4q9oUmW1yo/edit?usp=sharing"",""เชียงราย!I376"")"),49473)</f>
        <v>49473</v>
      </c>
      <c r="J481" s="422">
        <f ca="1">IFERROR(__xludf.DUMMYFUNCTION("IMPORTRANGE(""https://docs.google.com/spreadsheets/d/11923uPwbBZFjjGgGUA6NLw09EwE0CqkOc4q9oUmW1yo/edit?usp=sharing"",""เชียงราย!J376"")"),42904)</f>
        <v>42904</v>
      </c>
      <c r="K481" s="203">
        <f t="shared" ca="1" si="117"/>
        <v>86.722050411335474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IFERROR(__xludf.DUMMYFUNCTION("IMPORTRANGE(""https://docs.google.com/spreadsheets/d/11923uPwbBZFjjGgGUA6NLw09EwE0CqkOc4q9oUmW1yo/edit?usp=sharing"",""เชียงราย!I377"")"),9843)</f>
        <v>9843</v>
      </c>
      <c r="J482" s="422">
        <f ca="1">IFERROR(__xludf.DUMMYFUNCTION("IMPORTRANGE(""https://docs.google.com/spreadsheets/d/11923uPwbBZFjjGgGUA6NLw09EwE0CqkOc4q9oUmW1yo/edit?usp=sharing"",""เชียงราย!J377"")"),8733)</f>
        <v>8733</v>
      </c>
      <c r="K482" s="203">
        <f t="shared" ca="1" si="117"/>
        <v>88.722950320024381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IFERROR(__xludf.DUMMYFUNCTION("IMPORTRANGE(""https://docs.google.com/spreadsheets/d/11923uPwbBZFjjGgGUA6NLw09EwE0CqkOc4q9oUmW1yo/edit?usp=sharing"",""เชียงราย!I378"")"),0)</f>
        <v>0</v>
      </c>
      <c r="J483" s="190">
        <f ca="1">IFERROR(__xludf.DUMMYFUNCTION("IMPORTRANGE(""https://docs.google.com/spreadsheets/d/11923uPwbBZFjjGgGUA6NLw09EwE0CqkOc4q9oUmW1yo/edit?usp=sharing"",""เชียงราย!J378"")"),42904)</f>
        <v>42904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IFERROR(__xludf.DUMMYFUNCTION("IMPORTRANGE(""https://docs.google.com/spreadsheets/d/11923uPwbBZFjjGgGUA6NLw09EwE0CqkOc4q9oUmW1yo/edit?usp=sharing"",""เชียงราย!I379"")"),0)</f>
        <v>0</v>
      </c>
      <c r="J484" s="190">
        <f ca="1">IFERROR(__xludf.DUMMYFUNCTION("IMPORTRANGE(""https://docs.google.com/spreadsheets/d/11923uPwbBZFjjGgGUA6NLw09EwE0CqkOc4q9oUmW1yo/edit?usp=sharing"",""เชียงราย!J379"")"),8733)</f>
        <v>8733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IFERROR(__xludf.DUMMYFUNCTION("IMPORTRANGE(""https://docs.google.com/spreadsheets/d/11923uPwbBZFjjGgGUA6NLw09EwE0CqkOc4q9oUmW1yo/edit?usp=sharing"",""เชียงราย!I380"")"),0)</f>
        <v>0</v>
      </c>
      <c r="J485" s="190">
        <f ca="1">IFERROR(__xludf.DUMMYFUNCTION("IMPORTRANGE(""https://docs.google.com/spreadsheets/d/11923uPwbBZFjjGgGUA6NLw09EwE0CqkOc4q9oUmW1yo/edit?usp=sharing"",""เชียงราย!J380"")"),0)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IFERROR(__xludf.DUMMYFUNCTION("IMPORTRANGE(""https://docs.google.com/spreadsheets/d/11923uPwbBZFjjGgGUA6NLw09EwE0CqkOc4q9oUmW1yo/edit?usp=sharing"",""เชียงราย!I381"")"),0)</f>
        <v>0</v>
      </c>
      <c r="J486" s="190">
        <f ca="1">IFERROR(__xludf.DUMMYFUNCTION("IMPORTRANGE(""https://docs.google.com/spreadsheets/d/11923uPwbBZFjjGgGUA6NLw09EwE0CqkOc4q9oUmW1yo/edit?usp=sharing"",""เชียงราย!J381"")"),0)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IFERROR(__xludf.DUMMYFUNCTION("IMPORTRANGE(""https://docs.google.com/spreadsheets/d/11923uPwbBZFjjGgGUA6NLw09EwE0CqkOc4q9oUmW1yo/edit?usp=sharing"",""เชียงราย!I382"")"),0)</f>
        <v>0</v>
      </c>
      <c r="J487" s="422">
        <f ca="1">IFERROR(__xludf.DUMMYFUNCTION("IMPORTRANGE(""https://docs.google.com/spreadsheets/d/11923uPwbBZFjjGgGUA6NLw09EwE0CqkOc4q9oUmW1yo/edit?usp=sharing"",""เชียงราย!J382"")"),0)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IFERROR(__xludf.DUMMYFUNCTION("IMPORTRANGE(""https://docs.google.com/spreadsheets/d/11923uPwbBZFjjGgGUA6NLw09EwE0CqkOc4q9oUmW1yo/edit?usp=sharing"",""เชียงราย!I383"")"),0)</f>
        <v>0</v>
      </c>
      <c r="J488" s="422">
        <f ca="1">IFERROR(__xludf.DUMMYFUNCTION("IMPORTRANGE(""https://docs.google.com/spreadsheets/d/11923uPwbBZFjjGgGUA6NLw09EwE0CqkOc4q9oUmW1yo/edit?usp=sharing"",""เชียงราย!J383"")"),0)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IFERROR(__xludf.DUMMYFUNCTION("IMPORTRANGE(""https://docs.google.com/spreadsheets/d/11923uPwbBZFjjGgGUA6NLw09EwE0CqkOc4q9oUmW1yo/edit?usp=sharing"",""เชียงราย!I384"")"),0)</f>
        <v>0</v>
      </c>
      <c r="J489" s="190">
        <f ca="1">IFERROR(__xludf.DUMMYFUNCTION("IMPORTRANGE(""https://docs.google.com/spreadsheets/d/11923uPwbBZFjjGgGUA6NLw09EwE0CqkOc4q9oUmW1yo/edit?usp=sharing"",""เชียงราย!J384"")"),0)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IFERROR(__xludf.DUMMYFUNCTION("IMPORTRANGE(""https://docs.google.com/spreadsheets/d/11923uPwbBZFjjGgGUA6NLw09EwE0CqkOc4q9oUmW1yo/edit?usp=sharing"",""เชียงราย!I385"")"),0)</f>
        <v>0</v>
      </c>
      <c r="J490" s="190">
        <f ca="1">IFERROR(__xludf.DUMMYFUNCTION("IMPORTRANGE(""https://docs.google.com/spreadsheets/d/11923uPwbBZFjjGgGUA6NLw09EwE0CqkOc4q9oUmW1yo/edit?usp=sharing"",""เชียงราย!J385"")"),0)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IFERROR(__xludf.DUMMYFUNCTION("IMPORTRANGE(""https://docs.google.com/spreadsheets/d/11923uPwbBZFjjGgGUA6NLw09EwE0CqkOc4q9oUmW1yo/edit?usp=sharing"",""เชียงราย!I386"")"),0)</f>
        <v>0</v>
      </c>
      <c r="J491" s="190">
        <f ca="1">IFERROR(__xludf.DUMMYFUNCTION("IMPORTRANGE(""https://docs.google.com/spreadsheets/d/11923uPwbBZFjjGgGUA6NLw09EwE0CqkOc4q9oUmW1yo/edit?usp=sharing"",""เชียงราย!J386"")"),0)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IFERROR(__xludf.DUMMYFUNCTION("IMPORTRANGE(""https://docs.google.com/spreadsheets/d/11923uPwbBZFjjGgGUA6NLw09EwE0CqkOc4q9oUmW1yo/edit?usp=sharing"",""เชียงราย!I387"")"),0)</f>
        <v>0</v>
      </c>
      <c r="J492" s="190">
        <f ca="1">IFERROR(__xludf.DUMMYFUNCTION("IMPORTRANGE(""https://docs.google.com/spreadsheets/d/11923uPwbBZFjjGgGUA6NLw09EwE0CqkOc4q9oUmW1yo/edit?usp=sharing"",""เชียงราย!J387"")"),0)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IFERROR(__xludf.DUMMYFUNCTION("IMPORTRANGE(""https://docs.google.com/spreadsheets/d/11923uPwbBZFjjGgGUA6NLw09EwE0CqkOc4q9oUmW1yo/edit?usp=sharing"",""เชียงราย!I388"")"),0)</f>
        <v>0</v>
      </c>
      <c r="J493" s="190">
        <f ca="1">IFERROR(__xludf.DUMMYFUNCTION("IMPORTRANGE(""https://docs.google.com/spreadsheets/d/11923uPwbBZFjjGgGUA6NLw09EwE0CqkOc4q9oUmW1yo/edit?usp=sharing"",""เชียงราย!J388"")"),0)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IFERROR(__xludf.DUMMYFUNCTION("IMPORTRANGE(""https://docs.google.com/spreadsheets/d/11923uPwbBZFjjGgGUA6NLw09EwE0CqkOc4q9oUmW1yo/edit?usp=sharing"",""เชียงราย!I389"")"),0)</f>
        <v>0</v>
      </c>
      <c r="J494" s="438">
        <f ca="1">IFERROR(__xludf.DUMMYFUNCTION("IMPORTRANGE(""https://docs.google.com/spreadsheets/d/11923uPwbBZFjjGgGUA6NLw09EwE0CqkOc4q9oUmW1yo/edit?usp=sharing"",""เชียงราย!J389"")"),0)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IFERROR(__xludf.DUMMYFUNCTION("IMPORTRANGE(""https://docs.google.com/spreadsheets/d/11923uPwbBZFjjGgGUA6NLw09EwE0CqkOc4q9oUmW1yo/edit?usp=sharing"",""เชียงราย!I390"")"),0)</f>
        <v>0</v>
      </c>
      <c r="J495" s="438">
        <f ca="1">IFERROR(__xludf.DUMMYFUNCTION("IMPORTRANGE(""https://docs.google.com/spreadsheets/d/11923uPwbBZFjjGgGUA6NLw09EwE0CqkOc4q9oUmW1yo/edit?usp=sharing"",""เชียงราย!J390"")"),0)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IFERROR(__xludf.DUMMYFUNCTION("IMPORTRANGE(""https://docs.google.com/spreadsheets/d/11923uPwbBZFjjGgGUA6NLw09EwE0CqkOc4q9oUmW1yo/edit?usp=sharing"",""เชียงราย!I391"")"),0)</f>
        <v>0</v>
      </c>
      <c r="J496" s="438">
        <f ca="1">IFERROR(__xludf.DUMMYFUNCTION("IMPORTRANGE(""https://docs.google.com/spreadsheets/d/11923uPwbBZFjjGgGUA6NLw09EwE0CqkOc4q9oUmW1yo/edit?usp=sharing"",""เชียงราย!J391"")"),0)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IFERROR(__xludf.DUMMYFUNCTION("IMPORTRANGE(""https://docs.google.com/spreadsheets/d/11923uPwbBZFjjGgGUA6NLw09EwE0CqkOc4q9oUmW1yo/edit?usp=sharing"",""เชียงราย!I392"")"),707)</f>
        <v>707</v>
      </c>
      <c r="J497" s="445">
        <f ca="1">IFERROR(__xludf.DUMMYFUNCTION("IMPORTRANGE(""https://docs.google.com/spreadsheets/d/11923uPwbBZFjjGgGUA6NLw09EwE0CqkOc4q9oUmW1yo/edit?usp=sharing"",""เชียงราย!J392"")"),694)</f>
        <v>694</v>
      </c>
      <c r="K497" s="446">
        <f t="shared" ca="1" si="117"/>
        <v>98.161244695898162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IFERROR(__xludf.DUMMYFUNCTION("IMPORTRANGE(""https://docs.google.com/spreadsheets/d/11923uPwbBZFjjGgGUA6NLw09EwE0CqkOc4q9oUmW1yo/edit?usp=sharing"",""เชียงราย!I393"")"),707)</f>
        <v>707</v>
      </c>
      <c r="J498" s="422">
        <f ca="1">IFERROR(__xludf.DUMMYFUNCTION("IMPORTRANGE(""https://docs.google.com/spreadsheets/d/11923uPwbBZFjjGgGUA6NLw09EwE0CqkOc4q9oUmW1yo/edit?usp=sharing"",""เชียงราย!J393"")"),694)</f>
        <v>694</v>
      </c>
      <c r="K498" s="203">
        <f t="shared" ca="1" si="117"/>
        <v>98.161244695898162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IFERROR(__xludf.DUMMYFUNCTION("IMPORTRANGE(""https://docs.google.com/spreadsheets/d/11923uPwbBZFjjGgGUA6NLw09EwE0CqkOc4q9oUmW1yo/edit?usp=sharing"",""เชียงราย!I394"")"),94)</f>
        <v>94</v>
      </c>
      <c r="J499" s="422">
        <f ca="1">IFERROR(__xludf.DUMMYFUNCTION("IMPORTRANGE(""https://docs.google.com/spreadsheets/d/11923uPwbBZFjjGgGUA6NLw09EwE0CqkOc4q9oUmW1yo/edit?usp=sharing"",""เชียงราย!J394"")"),92)</f>
        <v>92</v>
      </c>
      <c r="K499" s="203">
        <f t="shared" ca="1" si="117"/>
        <v>97.872340425531917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IFERROR(__xludf.DUMMYFUNCTION("IMPORTRANGE(""https://docs.google.com/spreadsheets/d/11923uPwbBZFjjGgGUA6NLw09EwE0CqkOc4q9oUmW1yo/edit?usp=sharing"",""เชียงราย!I395"")"),0)</f>
        <v>0</v>
      </c>
      <c r="J500" s="164">
        <f ca="1">IFERROR(__xludf.DUMMYFUNCTION("IMPORTRANGE(""https://docs.google.com/spreadsheets/d/11923uPwbBZFjjGgGUA6NLw09EwE0CqkOc4q9oUmW1yo/edit?usp=sharing"",""เชียงราย!J395"")"),552)</f>
        <v>552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IFERROR(__xludf.DUMMYFUNCTION("IMPORTRANGE(""https://docs.google.com/spreadsheets/d/11923uPwbBZFjjGgGUA6NLw09EwE0CqkOc4q9oUmW1yo/edit?usp=sharing"",""เชียงราย!I396"")"),0)</f>
        <v>0</v>
      </c>
      <c r="J501" s="164">
        <f ca="1">IFERROR(__xludf.DUMMYFUNCTION("IMPORTRANGE(""https://docs.google.com/spreadsheets/d/11923uPwbBZFjjGgGUA6NLw09EwE0CqkOc4q9oUmW1yo/edit?usp=sharing"",""เชียงราย!J396"")"),73)</f>
        <v>73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IFERROR(__xludf.DUMMYFUNCTION("IMPORTRANGE(""https://docs.google.com/spreadsheets/d/11923uPwbBZFjjGgGUA6NLw09EwE0CqkOc4q9oUmW1yo/edit?usp=sharing"",""เชียงราย!I397"")"),0)</f>
        <v>0</v>
      </c>
      <c r="J502" s="190">
        <f ca="1">IFERROR(__xludf.DUMMYFUNCTION("IMPORTRANGE(""https://docs.google.com/spreadsheets/d/11923uPwbBZFjjGgGUA6NLw09EwE0CqkOc4q9oUmW1yo/edit?usp=sharing"",""เชียงราย!J397"")"),552)</f>
        <v>552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IFERROR(__xludf.DUMMYFUNCTION("IMPORTRANGE(""https://docs.google.com/spreadsheets/d/11923uPwbBZFjjGgGUA6NLw09EwE0CqkOc4q9oUmW1yo/edit?usp=sharing"",""เชียงราย!I398"")"),0)</f>
        <v>0</v>
      </c>
      <c r="J503" s="199">
        <f ca="1">IFERROR(__xludf.DUMMYFUNCTION("IMPORTRANGE(""https://docs.google.com/spreadsheets/d/11923uPwbBZFjjGgGUA6NLw09EwE0CqkOc4q9oUmW1yo/edit?usp=sharing"",""เชียงราย!J398"")"),73)</f>
        <v>73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IFERROR(__xludf.DUMMYFUNCTION("IMPORTRANGE(""https://docs.google.com/spreadsheets/d/11923uPwbBZFjjGgGUA6NLw09EwE0CqkOc4q9oUmW1yo/edit?usp=sharing"",""เชียงราย!I399"")"),0)</f>
        <v>0</v>
      </c>
      <c r="J504" s="190">
        <f ca="1">IFERROR(__xludf.DUMMYFUNCTION("IMPORTRANGE(""https://docs.google.com/spreadsheets/d/11923uPwbBZFjjGgGUA6NLw09EwE0CqkOc4q9oUmW1yo/edit?usp=sharing"",""เชียงราย!J399"")"),0)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IFERROR(__xludf.DUMMYFUNCTION("IMPORTRANGE(""https://docs.google.com/spreadsheets/d/11923uPwbBZFjjGgGUA6NLw09EwE0CqkOc4q9oUmW1yo/edit?usp=sharing"",""เชียงราย!I400"")"),0)</f>
        <v>0</v>
      </c>
      <c r="J505" s="199">
        <f ca="1">IFERROR(__xludf.DUMMYFUNCTION("IMPORTRANGE(""https://docs.google.com/spreadsheets/d/11923uPwbBZFjjGgGUA6NLw09EwE0CqkOc4q9oUmW1yo/edit?usp=sharing"",""เชียงราย!J400"")"),0)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IFERROR(__xludf.DUMMYFUNCTION("IMPORTRANGE(""https://docs.google.com/spreadsheets/d/11923uPwbBZFjjGgGUA6NLw09EwE0CqkOc4q9oUmW1yo/edit?usp=sharing"",""เชียงราย!I401"")"),0)</f>
        <v>0</v>
      </c>
      <c r="J506" s="190">
        <f ca="1">IFERROR(__xludf.DUMMYFUNCTION("IMPORTRANGE(""https://docs.google.com/spreadsheets/d/11923uPwbBZFjjGgGUA6NLw09EwE0CqkOc4q9oUmW1yo/edit?usp=sharing"",""เชียงราย!J401"")"),0)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IFERROR(__xludf.DUMMYFUNCTION("IMPORTRANGE(""https://docs.google.com/spreadsheets/d/11923uPwbBZFjjGgGUA6NLw09EwE0CqkOc4q9oUmW1yo/edit?usp=sharing"",""เชียงราย!I402"")"),0)</f>
        <v>0</v>
      </c>
      <c r="J507" s="199">
        <f ca="1">IFERROR(__xludf.DUMMYFUNCTION("IMPORTRANGE(""https://docs.google.com/spreadsheets/d/11923uPwbBZFjjGgGUA6NLw09EwE0CqkOc4q9oUmW1yo/edit?usp=sharing"",""เชียงราย!J402"")"),0)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IFERROR(__xludf.DUMMYFUNCTION("IMPORTRANGE(""https://docs.google.com/spreadsheets/d/11923uPwbBZFjjGgGUA6NLw09EwE0CqkOc4q9oUmW1yo/edit?usp=sharing"",""เชียงราย!I403"")"),0)</f>
        <v>0</v>
      </c>
      <c r="J508" s="164">
        <f ca="1">IFERROR(__xludf.DUMMYFUNCTION("IMPORTRANGE(""https://docs.google.com/spreadsheets/d/11923uPwbBZFjjGgGUA6NLw09EwE0CqkOc4q9oUmW1yo/edit?usp=sharing"",""เชียงราย!J403"")"),141)</f>
        <v>141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IFERROR(__xludf.DUMMYFUNCTION("IMPORTRANGE(""https://docs.google.com/spreadsheets/d/11923uPwbBZFjjGgGUA6NLw09EwE0CqkOc4q9oUmW1yo/edit?usp=sharing"",""เชียงราย!I404"")"),0)</f>
        <v>0</v>
      </c>
      <c r="J509" s="164">
        <f ca="1">IFERROR(__xludf.DUMMYFUNCTION("IMPORTRANGE(""https://docs.google.com/spreadsheets/d/11923uPwbBZFjjGgGUA6NLw09EwE0CqkOc4q9oUmW1yo/edit?usp=sharing"",""เชียงราย!J404"")"),18)</f>
        <v>18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IFERROR(__xludf.DUMMYFUNCTION("IMPORTRANGE(""https://docs.google.com/spreadsheets/d/11923uPwbBZFjjGgGUA6NLw09EwE0CqkOc4q9oUmW1yo/edit?usp=sharing"",""เชียงราย!I405"")"),0)</f>
        <v>0</v>
      </c>
      <c r="J510" s="199">
        <f ca="1">IFERROR(__xludf.DUMMYFUNCTION("IMPORTRANGE(""https://docs.google.com/spreadsheets/d/11923uPwbBZFjjGgGUA6NLw09EwE0CqkOc4q9oUmW1yo/edit?usp=sharing"",""เชียงราย!J405"")"),141)</f>
        <v>141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IFERROR(__xludf.DUMMYFUNCTION("IMPORTRANGE(""https://docs.google.com/spreadsheets/d/11923uPwbBZFjjGgGUA6NLw09EwE0CqkOc4q9oUmW1yo/edit?usp=sharing"",""เชียงราย!I406"")"),0)</f>
        <v>0</v>
      </c>
      <c r="J511" s="199">
        <f ca="1">IFERROR(__xludf.DUMMYFUNCTION("IMPORTRANGE(""https://docs.google.com/spreadsheets/d/11923uPwbBZFjjGgGUA6NLw09EwE0CqkOc4q9oUmW1yo/edit?usp=sharing"",""เชียงราย!J406"")"),18)</f>
        <v>18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IFERROR(__xludf.DUMMYFUNCTION("IMPORTRANGE(""https://docs.google.com/spreadsheets/d/11923uPwbBZFjjGgGUA6NLw09EwE0CqkOc4q9oUmW1yo/edit?usp=sharing"",""เชียงราย!I407"")"),0)</f>
        <v>0</v>
      </c>
      <c r="J512" s="199">
        <f ca="1">IFERROR(__xludf.DUMMYFUNCTION("IMPORTRANGE(""https://docs.google.com/spreadsheets/d/11923uPwbBZFjjGgGUA6NLw09EwE0CqkOc4q9oUmW1yo/edit?usp=sharing"",""เชียงราย!J407"")"),0)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IFERROR(__xludf.DUMMYFUNCTION("IMPORTRANGE(""https://docs.google.com/spreadsheets/d/11923uPwbBZFjjGgGUA6NLw09EwE0CqkOc4q9oUmW1yo/edit?usp=sharing"",""เชียงราย!I408"")"),0)</f>
        <v>0</v>
      </c>
      <c r="J513" s="199">
        <f ca="1">IFERROR(__xludf.DUMMYFUNCTION("IMPORTRANGE(""https://docs.google.com/spreadsheets/d/11923uPwbBZFjjGgGUA6NLw09EwE0CqkOc4q9oUmW1yo/edit?usp=sharing"",""เชียงราย!J408"")"),0)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IFERROR(__xludf.DUMMYFUNCTION("IMPORTRANGE(""https://docs.google.com/spreadsheets/d/11923uPwbBZFjjGgGUA6NLw09EwE0CqkOc4q9oUmW1yo/edit?usp=sharing"",""เชียงราย!I409"")"),0)</f>
        <v>0</v>
      </c>
      <c r="J514" s="199">
        <f ca="1">IFERROR(__xludf.DUMMYFUNCTION("IMPORTRANGE(""https://docs.google.com/spreadsheets/d/11923uPwbBZFjjGgGUA6NLw09EwE0CqkOc4q9oUmW1yo/edit?usp=sharing"",""เชียงราย!J409"")"),1)</f>
        <v>1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IFERROR(__xludf.DUMMYFUNCTION("IMPORTRANGE(""https://docs.google.com/spreadsheets/d/11923uPwbBZFjjGgGUA6NLw09EwE0CqkOc4q9oUmW1yo/edit?usp=sharing"",""เชียงราย!I410"")"),0)</f>
        <v>0</v>
      </c>
      <c r="J515" s="199">
        <f ca="1">IFERROR(__xludf.DUMMYFUNCTION("IMPORTRANGE(""https://docs.google.com/spreadsheets/d/11923uPwbBZFjjGgGUA6NLw09EwE0CqkOc4q9oUmW1yo/edit?usp=sharing"",""เชียงราย!J410"")"),1)</f>
        <v>1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IFERROR(__xludf.DUMMYFUNCTION("IMPORTRANGE(""https://docs.google.com/spreadsheets/d/11923uPwbBZFjjGgGUA6NLw09EwE0CqkOc4q9oUmW1yo/edit?usp=sharing"",""เชียงราย!I411"")"),0)</f>
        <v>0</v>
      </c>
      <c r="J516" s="268">
        <f ca="1">IFERROR(__xludf.DUMMYFUNCTION("IMPORTRANGE(""https://docs.google.com/spreadsheets/d/11923uPwbBZFjjGgGUA6NLw09EwE0CqkOc4q9oUmW1yo/edit?usp=sharing"",""เชียงราย!J411"")"),0)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IFERROR(__xludf.DUMMYFUNCTION("IMPORTRANGE(""https://docs.google.com/spreadsheets/d/11923uPwbBZFjjGgGUA6NLw09EwE0CqkOc4q9oUmW1yo/edit?usp=sharing"",""เชียงราย!I412"")"),0)</f>
        <v>0</v>
      </c>
      <c r="J517" s="285">
        <f ca="1">IFERROR(__xludf.DUMMYFUNCTION("IMPORTRANGE(""https://docs.google.com/spreadsheets/d/11923uPwbBZFjjGgGUA6NLw09EwE0CqkOc4q9oUmW1yo/edit?usp=sharing"",""เชียงราย!J412"")"),0)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IFERROR(__xludf.DUMMYFUNCTION("IMPORTRANGE(""https://docs.google.com/spreadsheets/d/11923uPwbBZFjjGgGUA6NLw09EwE0CqkOc4q9oUmW1yo/edit?usp=sharing"",""เชียงราย!I413"")"),0)</f>
        <v>0</v>
      </c>
      <c r="J518" s="285">
        <f ca="1">IFERROR(__xludf.DUMMYFUNCTION("IMPORTRANGE(""https://docs.google.com/spreadsheets/d/11923uPwbBZFjjGgGUA6NLw09EwE0CqkOc4q9oUmW1yo/edit?usp=sharing"",""เชียงราย!J413"")"),0)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IFERROR(__xludf.DUMMYFUNCTION("IMPORTRANGE(""https://docs.google.com/spreadsheets/d/11923uPwbBZFjjGgGUA6NLw09EwE0CqkOc4q9oUmW1yo/edit?usp=sharing"",""เชียงราย!I414"")"),0)</f>
        <v>0</v>
      </c>
      <c r="J519" s="189">
        <f ca="1">IFERROR(__xludf.DUMMYFUNCTION("IMPORTRANGE(""https://docs.google.com/spreadsheets/d/11923uPwbBZFjjGgGUA6NLw09EwE0CqkOc4q9oUmW1yo/edit?usp=sharing"",""เชียงราย!J414"")"),0)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IFERROR(__xludf.DUMMYFUNCTION("IMPORTRANGE(""https://docs.google.com/spreadsheets/d/11923uPwbBZFjjGgGUA6NLw09EwE0CqkOc4q9oUmW1yo/edit?usp=sharing"",""เชียงราย!I415"")"),0)</f>
        <v>0</v>
      </c>
      <c r="J520" s="189">
        <f ca="1">IFERROR(__xludf.DUMMYFUNCTION("IMPORTRANGE(""https://docs.google.com/spreadsheets/d/11923uPwbBZFjjGgGUA6NLw09EwE0CqkOc4q9oUmW1yo/edit?usp=sharing"",""เชียงราย!J415"")"),0)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IFERROR(__xludf.DUMMYFUNCTION("IMPORTRANGE(""https://docs.google.com/spreadsheets/d/11923uPwbBZFjjGgGUA6NLw09EwE0CqkOc4q9oUmW1yo/edit?usp=sharing"",""เชียงราย!I416"")"),0)</f>
        <v>0</v>
      </c>
      <c r="J521" s="189">
        <f ca="1">IFERROR(__xludf.DUMMYFUNCTION("IMPORTRANGE(""https://docs.google.com/spreadsheets/d/11923uPwbBZFjjGgGUA6NLw09EwE0CqkOc4q9oUmW1yo/edit?usp=sharing"",""เชียงราย!J416"")"),0)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IFERROR(__xludf.DUMMYFUNCTION("IMPORTRANGE(""https://docs.google.com/spreadsheets/d/11923uPwbBZFjjGgGUA6NLw09EwE0CqkOc4q9oUmW1yo/edit?usp=sharing"",""เชียงราย!I417"")"),0)</f>
        <v>0</v>
      </c>
      <c r="J522" s="189">
        <f ca="1">IFERROR(__xludf.DUMMYFUNCTION("IMPORTRANGE(""https://docs.google.com/spreadsheets/d/11923uPwbBZFjjGgGUA6NLw09EwE0CqkOc4q9oUmW1yo/edit?usp=sharing"",""เชียงราย!J417"")"),0)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IFERROR(__xludf.DUMMYFUNCTION("IMPORTRANGE(""https://docs.google.com/spreadsheets/d/11923uPwbBZFjjGgGUA6NLw09EwE0CqkOc4q9oUmW1yo/edit?usp=sharing"",""เชียงราย!I418"")"),0)</f>
        <v>0</v>
      </c>
      <c r="J523" s="189">
        <f ca="1">IFERROR(__xludf.DUMMYFUNCTION("IMPORTRANGE(""https://docs.google.com/spreadsheets/d/11923uPwbBZFjjGgGUA6NLw09EwE0CqkOc4q9oUmW1yo/edit?usp=sharing"",""เชียงราย!J418"")"),110)</f>
        <v>110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IFERROR(__xludf.DUMMYFUNCTION("IMPORTRANGE(""https://docs.google.com/spreadsheets/d/11923uPwbBZFjjGgGUA6NLw09EwE0CqkOc4q9oUmW1yo/edit?usp=sharing"",""เชียงราย!I419"")"),0)</f>
        <v>0</v>
      </c>
      <c r="J524" s="189">
        <f ca="1">IFERROR(__xludf.DUMMYFUNCTION("IMPORTRANGE(""https://docs.google.com/spreadsheets/d/11923uPwbBZFjjGgGUA6NLw09EwE0CqkOc4q9oUmW1yo/edit?usp=sharing"",""เชียงราย!J419"")"),15)</f>
        <v>15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IFERROR(__xludf.DUMMYFUNCTION("IMPORTRANGE(""https://docs.google.com/spreadsheets/d/11923uPwbBZFjjGgGUA6NLw09EwE0CqkOc4q9oUmW1yo/edit?usp=sharing"",""เชียงราย!I420"")"),110)</f>
        <v>110</v>
      </c>
      <c r="J525" s="285">
        <f ca="1">IFERROR(__xludf.DUMMYFUNCTION("IMPORTRANGE(""https://docs.google.com/spreadsheets/d/11923uPwbBZFjjGgGUA6NLw09EwE0CqkOc4q9oUmW1yo/edit?usp=sharing"",""เชียงราย!J420"")"),110)</f>
        <v>110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IFERROR(__xludf.DUMMYFUNCTION("IMPORTRANGE(""https://docs.google.com/spreadsheets/d/11923uPwbBZFjjGgGUA6NLw09EwE0CqkOc4q9oUmW1yo/edit?usp=sharing"",""เชียงราย!I421"")"),15)</f>
        <v>15</v>
      </c>
      <c r="J526" s="285">
        <f ca="1">IFERROR(__xludf.DUMMYFUNCTION("IMPORTRANGE(""https://docs.google.com/spreadsheets/d/11923uPwbBZFjjGgGUA6NLw09EwE0CqkOc4q9oUmW1yo/edit?usp=sharing"",""เชียงราย!J421"")"),15)</f>
        <v>15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IFERROR(__xludf.DUMMYFUNCTION("IMPORTRANGE(""https://docs.google.com/spreadsheets/d/11923uPwbBZFjjGgGUA6NLw09EwE0CqkOc4q9oUmW1yo/edit?usp=sharing"",""เชียงราย!I422"")"),0)</f>
        <v>0</v>
      </c>
      <c r="J527" s="199">
        <f ca="1">IFERROR(__xludf.DUMMYFUNCTION("IMPORTRANGE(""https://docs.google.com/spreadsheets/d/11923uPwbBZFjjGgGUA6NLw09EwE0CqkOc4q9oUmW1yo/edit?usp=sharing"",""เชียงราย!J422"")"),110)</f>
        <v>110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IFERROR(__xludf.DUMMYFUNCTION("IMPORTRANGE(""https://docs.google.com/spreadsheets/d/11923uPwbBZFjjGgGUA6NLw09EwE0CqkOc4q9oUmW1yo/edit?usp=sharing"",""เชียงราย!I423"")"),0)</f>
        <v>0</v>
      </c>
      <c r="J528" s="199">
        <f ca="1">IFERROR(__xludf.DUMMYFUNCTION("IMPORTRANGE(""https://docs.google.com/spreadsheets/d/11923uPwbBZFjjGgGUA6NLw09EwE0CqkOc4q9oUmW1yo/edit?usp=sharing"",""เชียงราย!J423"")"),15)</f>
        <v>15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IFERROR(__xludf.DUMMYFUNCTION("IMPORTRANGE(""https://docs.google.com/spreadsheets/d/11923uPwbBZFjjGgGUA6NLw09EwE0CqkOc4q9oUmW1yo/edit?usp=sharing"",""เชียงราย!I424"")"),0)</f>
        <v>0</v>
      </c>
      <c r="J529" s="199">
        <f ca="1">IFERROR(__xludf.DUMMYFUNCTION("IMPORTRANGE(""https://docs.google.com/spreadsheets/d/11923uPwbBZFjjGgGUA6NLw09EwE0CqkOc4q9oUmW1yo/edit?usp=sharing"",""เชียงราย!J424"")"),0)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IFERROR(__xludf.DUMMYFUNCTION("IMPORTRANGE(""https://docs.google.com/spreadsheets/d/11923uPwbBZFjjGgGUA6NLw09EwE0CqkOc4q9oUmW1yo/edit?usp=sharing"",""เชียงราย!I425"")"),0)</f>
        <v>0</v>
      </c>
      <c r="J530" s="199">
        <f ca="1">IFERROR(__xludf.DUMMYFUNCTION("IMPORTRANGE(""https://docs.google.com/spreadsheets/d/11923uPwbBZFjjGgGUA6NLw09EwE0CqkOc4q9oUmW1yo/edit?usp=sharing"",""เชียงราย!J425"")"),0)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IFERROR(__xludf.DUMMYFUNCTION("IMPORTRANGE(""https://docs.google.com/spreadsheets/d/11923uPwbBZFjjGgGUA6NLw09EwE0CqkOc4q9oUmW1yo/edit?usp=sharing"",""เชียงราย!I426"")"),0)</f>
        <v>0</v>
      </c>
      <c r="J531" s="199">
        <f ca="1">IFERROR(__xludf.DUMMYFUNCTION("IMPORTRANGE(""https://docs.google.com/spreadsheets/d/11923uPwbBZFjjGgGUA6NLw09EwE0CqkOc4q9oUmW1yo/edit?usp=sharing"",""เชียงราย!J426"")"),0)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IFERROR(__xludf.DUMMYFUNCTION("IMPORTRANGE(""https://docs.google.com/spreadsheets/d/11923uPwbBZFjjGgGUA6NLw09EwE0CqkOc4q9oUmW1yo/edit?usp=sharing"",""เชียงราย!I427"")"),0)</f>
        <v>0</v>
      </c>
      <c r="J532" s="468">
        <f ca="1">IFERROR(__xludf.DUMMYFUNCTION("IMPORTRANGE(""https://docs.google.com/spreadsheets/d/11923uPwbBZFjjGgGUA6NLw09EwE0CqkOc4q9oUmW1yo/edit?usp=sharing"",""เชียงราย!J427"")"),0)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IFERROR(__xludf.DUMMYFUNCTION("IMPORTRANGE(""https://docs.google.com/spreadsheets/d/11923uPwbBZFjjGgGUA6NLw09EwE0CqkOc4q9oUmW1yo/edit?usp=sharing"",""เชียงราย!I428"")"),30)</f>
        <v>30</v>
      </c>
      <c r="J533" s="411">
        <f ca="1">IFERROR(__xludf.DUMMYFUNCTION("IMPORTRANGE(""https://docs.google.com/spreadsheets/d/11923uPwbBZFjjGgGUA6NLw09EwE0CqkOc4q9oUmW1yo/edit?usp=sharing"",""เชียงราย!J428"")"),30)</f>
        <v>30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IFERROR(__xludf.DUMMYFUNCTION("IMPORTRANGE(""https://docs.google.com/spreadsheets/d/11923uPwbBZFjjGgGUA6NLw09EwE0CqkOc4q9oUmW1yo/edit?usp=sharing"",""เชียงราย!L428"")"),41150)</f>
        <v>41150</v>
      </c>
      <c r="M533" s="413"/>
      <c r="N533" s="413">
        <f ca="1">IFERROR(__xludf.DUMMYFUNCTION("IMPORTRANGE(""https://docs.google.com/spreadsheets/d/11923uPwbBZFjjGgGUA6NLw09EwE0CqkOc4q9oUmW1yo/edit?usp=sharing"",""เชียงราย!M428"")"),30893)</f>
        <v>30893</v>
      </c>
      <c r="O533" s="413">
        <f t="shared" ref="O533:O537" ca="1" si="118">+IF(L533&gt;0,N533*100/L533,0)</f>
        <v>75.074119076549209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IFERROR(__xludf.DUMMYFUNCTION("IMPORTRANGE(""https://docs.google.com/spreadsheets/d/11923uPwbBZFjjGgGUA6NLw09EwE0CqkOc4q9oUmW1yo/edit?usp=sharing"",""เชียงราย!L429"")"),0)</f>
        <v>0</v>
      </c>
      <c r="M534" s="166"/>
      <c r="N534" s="170">
        <f ca="1">IFERROR(__xludf.DUMMYFUNCTION("IMPORTRANGE(""https://docs.google.com/spreadsheets/d/11923uPwbBZFjjGgGUA6NLw09EwE0CqkOc4q9oUmW1yo/edit?usp=sharing"",""เชียงราย!M429"")"),0)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IFERROR(__xludf.DUMMYFUNCTION("IMPORTRANGE(""https://docs.google.com/spreadsheets/d/11923uPwbBZFjjGgGUA6NLw09EwE0CqkOc4q9oUmW1yo/edit?usp=sharing"",""เชียงราย!L430"")"),41150)</f>
        <v>41150</v>
      </c>
      <c r="M535" s="167"/>
      <c r="N535" s="170">
        <f ca="1">IFERROR(__xludf.DUMMYFUNCTION("IMPORTRANGE(""https://docs.google.com/spreadsheets/d/11923uPwbBZFjjGgGUA6NLw09EwE0CqkOc4q9oUmW1yo/edit?usp=sharing"",""เชียงราย!M430"")"),30893)</f>
        <v>30893</v>
      </c>
      <c r="O535" s="170">
        <f t="shared" ca="1" si="118"/>
        <v>75.074119076549209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IFERROR(__xludf.DUMMYFUNCTION("IMPORTRANGE(""https://docs.google.com/spreadsheets/d/11923uPwbBZFjjGgGUA6NLw09EwE0CqkOc4q9oUmW1yo/edit?usp=sharing"",""เชียงราย!L431"")"),0)</f>
        <v>0</v>
      </c>
      <c r="M536" s="170"/>
      <c r="N536" s="170">
        <f ca="1">IFERROR(__xludf.DUMMYFUNCTION("IMPORTRANGE(""https://docs.google.com/spreadsheets/d/11923uPwbBZFjjGgGUA6NLw09EwE0CqkOc4q9oUmW1yo/edit?usp=sharing"",""เชียงราย!M431"")"),0)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IFERROR(__xludf.DUMMYFUNCTION("IMPORTRANGE(""https://docs.google.com/spreadsheets/d/11923uPwbBZFjjGgGUA6NLw09EwE0CqkOc4q9oUmW1yo/edit?usp=sharing"",""เชียงราย!L432"")"),41150)</f>
        <v>41150</v>
      </c>
      <c r="M537" s="170"/>
      <c r="N537" s="170">
        <f ca="1">IFERROR(__xludf.DUMMYFUNCTION("IMPORTRANGE(""https://docs.google.com/spreadsheets/d/11923uPwbBZFjjGgGUA6NLw09EwE0CqkOc4q9oUmW1yo/edit?usp=sharing"",""เชียงราย!M432"")"),30893)</f>
        <v>30893</v>
      </c>
      <c r="O537" s="170">
        <f t="shared" ca="1" si="118"/>
        <v>75.074119076549209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IFERROR(__xludf.DUMMYFUNCTION("IMPORTRANGE(""https://docs.google.com/spreadsheets/d/11923uPwbBZFjjGgGUA6NLw09EwE0CqkOc4q9oUmW1yo/edit?usp=sharing"",""เชียงราย!M433"")"),30893)</f>
        <v>30893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IFERROR(__xludf.DUMMYFUNCTION("IMPORTRANGE(""https://docs.google.com/spreadsheets/d/11923uPwbBZFjjGgGUA6NLw09EwE0CqkOc4q9oUmW1yo/edit?usp=sharing"",""เชียงราย!M434"")"),0)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IFERROR(__xludf.DUMMYFUNCTION("IMPORTRANGE(""https://docs.google.com/spreadsheets/d/11923uPwbBZFjjGgGUA6NLw09EwE0CqkOc4q9oUmW1yo/edit?usp=sharing"",""เชียงราย!M435"")"),0)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IFERROR(__xludf.DUMMYFUNCTION("IMPORTRANGE(""https://docs.google.com/spreadsheets/d/11923uPwbBZFjjGgGUA6NLw09EwE0CqkOc4q9oUmW1yo/edit?usp=sharing"",""เชียงราย!M436"")"),0)</f>
        <v>0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IFERROR(__xludf.DUMMYFUNCTION("IMPORTRANGE(""https://docs.google.com/spreadsheets/d/11923uPwbBZFjjGgGUA6NLw09EwE0CqkOc4q9oUmW1yo/edit?usp=sharing"",""เชียงราย!J438"")"),0)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IFERROR(__xludf.DUMMYFUNCTION("IMPORTRANGE(""https://docs.google.com/spreadsheets/d/11923uPwbBZFjjGgGUA6NLw09EwE0CqkOc4q9oUmW1yo/edit?usp=sharing"",""เชียงราย!J439"")"),1)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IFERROR(__xludf.DUMMYFUNCTION("IMPORTRANGE(""https://docs.google.com/spreadsheets/d/11923uPwbBZFjjGgGUA6NLw09EwE0CqkOc4q9oUmW1yo/edit?usp=sharing"",""เชียงราย!J440"")"),1)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IFERROR(__xludf.DUMMYFUNCTION("IMPORTRANGE(""https://docs.google.com/spreadsheets/d/11923uPwbBZFjjGgGUA6NLw09EwE0CqkOc4q9oUmW1yo/edit?usp=sharing"",""เชียงราย!J441"")"),1)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IFERROR(__xludf.DUMMYFUNCTION("IMPORTRANGE(""https://docs.google.com/spreadsheets/d/11923uPwbBZFjjGgGUA6NLw09EwE0CqkOc4q9oUmW1yo/edit?usp=sharing"",""เชียงราย!I442"")"),30)</f>
        <v>30</v>
      </c>
      <c r="J547" s="190">
        <f ca="1">IFERROR(__xludf.DUMMYFUNCTION("IMPORTRANGE(""https://docs.google.com/spreadsheets/d/11923uPwbBZFjjGgGUA6NLw09EwE0CqkOc4q9oUmW1yo/edit?usp=sharing"",""เชียงราย!J442"")"),30)</f>
        <v>30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IFERROR(__xludf.DUMMYFUNCTION("IMPORTRANGE(""https://docs.google.com/spreadsheets/d/11923uPwbBZFjjGgGUA6NLw09EwE0CqkOc4q9oUmW1yo/edit?usp=sharing"",""เชียงราย!J166"")"),0)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IFERROR(__xludf.DUMMYFUNCTION("IMPORTRANGE(""https://docs.google.com/spreadsheets/d/11923uPwbBZFjjGgGUA6NLw09EwE0CqkOc4q9oUmW1yo/edit?usp=sharing"",""เชียงราย!J444"")"),0)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IFERROR(__xludf.DUMMYFUNCTION("IMPORTRANGE(""https://docs.google.com/spreadsheets/d/11923uPwbBZFjjGgGUA6NLw09EwE0CqkOc4q9oUmW1yo/edit?usp=sharing"",""เชียงราย!J445"")"),0)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IFERROR(__xludf.DUMMYFUNCTION("IMPORTRANGE(""https://docs.google.com/spreadsheets/d/11923uPwbBZFjjGgGUA6NLw09EwE0CqkOc4q9oUmW1yo/edit?usp=sharing"",""เชียงราย!I446"")"),0)</f>
        <v>0</v>
      </c>
      <c r="J551" s="411">
        <f ca="1">IFERROR(__xludf.DUMMYFUNCTION("IMPORTRANGE(""https://docs.google.com/spreadsheets/d/11923uPwbBZFjjGgGUA6NLw09EwE0CqkOc4q9oUmW1yo/edit?usp=sharing"",""เชียงราย!J446"")"),0)</f>
        <v>0</v>
      </c>
      <c r="K551" s="412">
        <f ca="1">IF(I551&gt;0,J551*100/I551,0)</f>
        <v>0</v>
      </c>
      <c r="L551" s="413">
        <f ca="1">IFERROR(__xludf.DUMMYFUNCTION("IMPORTRANGE(""https://docs.google.com/spreadsheets/d/11923uPwbBZFjjGgGUA6NLw09EwE0CqkOc4q9oUmW1yo/edit?usp=sharing"",""เชียงราย!L446"")"),0)</f>
        <v>0</v>
      </c>
      <c r="M551" s="413"/>
      <c r="N551" s="413">
        <f ca="1">IFERROR(__xludf.DUMMYFUNCTION("IMPORTRANGE(""https://docs.google.com/spreadsheets/d/11923uPwbBZFjjGgGUA6NLw09EwE0CqkOc4q9oUmW1yo/edit?usp=sharing"",""เชียงราย!M446"")"),0)</f>
        <v>0</v>
      </c>
      <c r="O551" s="413">
        <f t="shared" ref="O551:O555" ca="1" si="120">+IF(L551&gt;0,N551*100/L551,0)</f>
        <v>0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IFERROR(__xludf.DUMMYFUNCTION("IMPORTRANGE(""https://docs.google.com/spreadsheets/d/11923uPwbBZFjjGgGUA6NLw09EwE0CqkOc4q9oUmW1yo/edit?usp=sharing"",""เชียงราย!L447"")"),0)</f>
        <v>0</v>
      </c>
      <c r="M552" s="166"/>
      <c r="N552" s="170">
        <f ca="1">IFERROR(__xludf.DUMMYFUNCTION("IMPORTRANGE(""https://docs.google.com/spreadsheets/d/11923uPwbBZFjjGgGUA6NLw09EwE0CqkOc4q9oUmW1yo/edit?usp=sharing"",""เชียงราย!M447"")"),0)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IFERROR(__xludf.DUMMYFUNCTION("IMPORTRANGE(""https://docs.google.com/spreadsheets/d/11923uPwbBZFjjGgGUA6NLw09EwE0CqkOc4q9oUmW1yo/edit?usp=sharing"",""เชียงราย!L448"")"),0)</f>
        <v>0</v>
      </c>
      <c r="M553" s="167"/>
      <c r="N553" s="170">
        <f ca="1">IFERROR(__xludf.DUMMYFUNCTION("IMPORTRANGE(""https://docs.google.com/spreadsheets/d/11923uPwbBZFjjGgGUA6NLw09EwE0CqkOc4q9oUmW1yo/edit?usp=sharing"",""เชียงราย!M448"")"),0)</f>
        <v>0</v>
      </c>
      <c r="O553" s="170">
        <f t="shared" ca="1" si="120"/>
        <v>0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IFERROR(__xludf.DUMMYFUNCTION("IMPORTRANGE(""https://docs.google.com/spreadsheets/d/11923uPwbBZFjjGgGUA6NLw09EwE0CqkOc4q9oUmW1yo/edit?usp=sharing"",""เชียงราย!L449"")"),0)</f>
        <v>0</v>
      </c>
      <c r="M554" s="170"/>
      <c r="N554" s="170">
        <f ca="1">IFERROR(__xludf.DUMMYFUNCTION("IMPORTRANGE(""https://docs.google.com/spreadsheets/d/11923uPwbBZFjjGgGUA6NLw09EwE0CqkOc4q9oUmW1yo/edit?usp=sharing"",""เชียงราย!M449"")"),0)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IFERROR(__xludf.DUMMYFUNCTION("IMPORTRANGE(""https://docs.google.com/spreadsheets/d/11923uPwbBZFjjGgGUA6NLw09EwE0CqkOc4q9oUmW1yo/edit?usp=sharing"",""เชียงราย!L450"")"),0)</f>
        <v>0</v>
      </c>
      <c r="M555" s="170"/>
      <c r="N555" s="170">
        <f ca="1">IFERROR(__xludf.DUMMYFUNCTION("IMPORTRANGE(""https://docs.google.com/spreadsheets/d/11923uPwbBZFjjGgGUA6NLw09EwE0CqkOc4q9oUmW1yo/edit?usp=sharing"",""เชียงราย!M450"")"),0)</f>
        <v>0</v>
      </c>
      <c r="O555" s="170">
        <f t="shared" ca="1" si="120"/>
        <v>0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IFERROR(__xludf.DUMMYFUNCTION("IMPORTRANGE(""https://docs.google.com/spreadsheets/d/11923uPwbBZFjjGgGUA6NLw09EwE0CqkOc4q9oUmW1yo/edit?usp=sharing"",""เชียงราย!M451"")"),0)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IFERROR(__xludf.DUMMYFUNCTION("IMPORTRANGE(""https://docs.google.com/spreadsheets/d/11923uPwbBZFjjGgGUA6NLw09EwE0CqkOc4q9oUmW1yo/edit?usp=sharing"",""เชียงราย!M452"")"),0)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IFERROR(__xludf.DUMMYFUNCTION("IMPORTRANGE(""https://docs.google.com/spreadsheets/d/11923uPwbBZFjjGgGUA6NLw09EwE0CqkOc4q9oUmW1yo/edit?usp=sharing"",""เชียงราย!M453"")"),0)</f>
        <v>0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IFERROR(__xludf.DUMMYFUNCTION("IMPORTRANGE(""https://docs.google.com/spreadsheets/d/11923uPwbBZFjjGgGUA6NLw09EwE0CqkOc4q9oUmW1yo/edit?usp=sharing"",""เชียงราย!M454"")"),0)</f>
        <v>0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IFERROR(__xludf.DUMMYFUNCTION("IMPORTRANGE(""https://docs.google.com/spreadsheets/d/11923uPwbBZFjjGgGUA6NLw09EwE0CqkOc4q9oUmW1yo/edit?usp=sharing"",""เชียงราย!I455"")"),0)</f>
        <v>0</v>
      </c>
      <c r="J560" s="164">
        <f ca="1">IFERROR(__xludf.DUMMYFUNCTION("IMPORTRANGE(""https://docs.google.com/spreadsheets/d/11923uPwbBZFjjGgGUA6NLw09EwE0CqkOc4q9oUmW1yo/edit?usp=sharing"",""เชียงราย!J455"")"),0)</f>
        <v>0</v>
      </c>
      <c r="K560" s="225">
        <f t="shared" ref="K560:K561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IFERROR(__xludf.DUMMYFUNCTION("IMPORTRANGE(""https://docs.google.com/spreadsheets/d/11923uPwbBZFjjGgGUA6NLw09EwE0CqkOc4q9oUmW1yo/edit?usp=sharing"",""เชียงราย!I456"")"),0)</f>
        <v>0</v>
      </c>
      <c r="J561" s="205">
        <f ca="1">IFERROR(__xludf.DUMMYFUNCTION("IMPORTRANGE(""https://docs.google.com/spreadsheets/d/11923uPwbBZFjjGgGUA6NLw09EwE0CqkOc4q9oUmW1yo/edit?usp=sharing"",""เชียงราย!J456"")"),0)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IFERROR(__xludf.DUMMYFUNCTION("IMPORTRANGE(""https://docs.google.com/spreadsheets/d/11923uPwbBZFjjGgGUA6NLw09EwE0CqkOc4q9oUmW1yo/edit?usp=sharing"",""เชียงราย!I459"")"),3400)</f>
        <v>3400</v>
      </c>
      <c r="J564" s="372">
        <f ca="1">IFERROR(__xludf.DUMMYFUNCTION("IMPORTRANGE(""https://docs.google.com/spreadsheets/d/11923uPwbBZFjjGgGUA6NLw09EwE0CqkOc4q9oUmW1yo/edit?usp=sharing"",""เชียงราย!J459"")"),5406)</f>
        <v>5406</v>
      </c>
      <c r="K564" s="373">
        <f ca="1">IF(I564&gt;0,J564*100/I564,0)</f>
        <v>159</v>
      </c>
      <c r="L564" s="374">
        <f ca="1">IFERROR(__xludf.DUMMYFUNCTION("IMPORTRANGE(""https://docs.google.com/spreadsheets/d/11923uPwbBZFjjGgGUA6NLw09EwE0CqkOc4q9oUmW1yo/edit?usp=sharing"",""เชียงราย!L459"")"),165600)</f>
        <v>165600</v>
      </c>
      <c r="M564" s="374"/>
      <c r="N564" s="374">
        <f ca="1">IFERROR(__xludf.DUMMYFUNCTION("IMPORTRANGE(""https://docs.google.com/spreadsheets/d/11923uPwbBZFjjGgGUA6NLw09EwE0CqkOc4q9oUmW1yo/edit?usp=sharing"",""เชียงราย!M459"")"),102900)</f>
        <v>102900</v>
      </c>
      <c r="O564" s="374">
        <f t="shared" ref="O564:O568" ca="1" si="122">+IF(L564&gt;0,N564*100/L564,0)</f>
        <v>62.137681159420289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IFERROR(__xludf.DUMMYFUNCTION("IMPORTRANGE(""https://docs.google.com/spreadsheets/d/11923uPwbBZFjjGgGUA6NLw09EwE0CqkOc4q9oUmW1yo/edit?usp=sharing"",""เชียงราย!L460"")"),0)</f>
        <v>0</v>
      </c>
      <c r="M565" s="166"/>
      <c r="N565" s="170">
        <f ca="1">IFERROR(__xludf.DUMMYFUNCTION("IMPORTRANGE(""https://docs.google.com/spreadsheets/d/11923uPwbBZFjjGgGUA6NLw09EwE0CqkOc4q9oUmW1yo/edit?usp=sharing"",""เชียงราย!M460"")"),0)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IFERROR(__xludf.DUMMYFUNCTION("IMPORTRANGE(""https://docs.google.com/spreadsheets/d/11923uPwbBZFjjGgGUA6NLw09EwE0CqkOc4q9oUmW1yo/edit?usp=sharing"",""เชียงราย!L461"")"),165600)</f>
        <v>165600</v>
      </c>
      <c r="M566" s="167"/>
      <c r="N566" s="170">
        <f ca="1">IFERROR(__xludf.DUMMYFUNCTION("IMPORTRANGE(""https://docs.google.com/spreadsheets/d/11923uPwbBZFjjGgGUA6NLw09EwE0CqkOc4q9oUmW1yo/edit?usp=sharing"",""เชียงราย!M461"")"),102900)</f>
        <v>102900</v>
      </c>
      <c r="O566" s="170">
        <f t="shared" ca="1" si="122"/>
        <v>62.137681159420289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IFERROR(__xludf.DUMMYFUNCTION("IMPORTRANGE(""https://docs.google.com/spreadsheets/d/11923uPwbBZFjjGgGUA6NLw09EwE0CqkOc4q9oUmW1yo/edit?usp=sharing"",""เชียงราย!L462"")"),0)</f>
        <v>0</v>
      </c>
      <c r="M567" s="170"/>
      <c r="N567" s="170">
        <f ca="1">IFERROR(__xludf.DUMMYFUNCTION("IMPORTRANGE(""https://docs.google.com/spreadsheets/d/11923uPwbBZFjjGgGUA6NLw09EwE0CqkOc4q9oUmW1yo/edit?usp=sharing"",""เชียงราย!M462"")"),0)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IFERROR(__xludf.DUMMYFUNCTION("IMPORTRANGE(""https://docs.google.com/spreadsheets/d/11923uPwbBZFjjGgGUA6NLw09EwE0CqkOc4q9oUmW1yo/edit?usp=sharing"",""เชียงราย!L463"")"),165600)</f>
        <v>165600</v>
      </c>
      <c r="M568" s="170"/>
      <c r="N568" s="170">
        <f ca="1">IFERROR(__xludf.DUMMYFUNCTION("IMPORTRANGE(""https://docs.google.com/spreadsheets/d/11923uPwbBZFjjGgGUA6NLw09EwE0CqkOc4q9oUmW1yo/edit?usp=sharing"",""เชียงราย!M463"")"),102900)</f>
        <v>102900</v>
      </c>
      <c r="O568" s="170">
        <f t="shared" ca="1" si="122"/>
        <v>62.137681159420289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IFERROR(__xludf.DUMMYFUNCTION("IMPORTRANGE(""https://docs.google.com/spreadsheets/d/11923uPwbBZFjjGgGUA6NLw09EwE0CqkOc4q9oUmW1yo/edit?usp=sharing"",""เชียงราย!M464"")"),0)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IFERROR(__xludf.DUMMYFUNCTION("IMPORTRANGE(""https://docs.google.com/spreadsheets/d/11923uPwbBZFjjGgGUA6NLw09EwE0CqkOc4q9oUmW1yo/edit?usp=sharing"",""เชียงราย!M465"")"),0)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IFERROR(__xludf.DUMMYFUNCTION("IMPORTRANGE(""https://docs.google.com/spreadsheets/d/11923uPwbBZFjjGgGUA6NLw09EwE0CqkOc4q9oUmW1yo/edit?usp=sharing"",""เชียงราย!M466"")"),62300)</f>
        <v>62300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IFERROR(__xludf.DUMMYFUNCTION("IMPORTRANGE(""https://docs.google.com/spreadsheets/d/11923uPwbBZFjjGgGUA6NLw09EwE0CqkOc4q9oUmW1yo/edit?usp=sharing"",""เชียงราย!M467"")"),40600)</f>
        <v>40600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IFERROR(__xludf.DUMMYFUNCTION("IMPORTRANGE(""https://docs.google.com/spreadsheets/d/11923uPwbBZFjjGgGUA6NLw09EwE0CqkOc4q9oUmW1yo/edit?usp=sharing"",""เชียงราย!I468"")"),3400)</f>
        <v>3400</v>
      </c>
      <c r="J573" s="422">
        <f ca="1">IFERROR(__xludf.DUMMYFUNCTION("IMPORTRANGE(""https://docs.google.com/spreadsheets/d/11923uPwbBZFjjGgGUA6NLw09EwE0CqkOc4q9oUmW1yo/edit?usp=sharing"",""เชียงราย!J468"")"),5406)</f>
        <v>5406</v>
      </c>
      <c r="K573" s="203">
        <f ca="1">IF(I573&gt;0,J573*100/I573,0)</f>
        <v>159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IFERROR(__xludf.DUMMYFUNCTION("IMPORTRANGE(""https://docs.google.com/spreadsheets/d/11923uPwbBZFjjGgGUA6NLw09EwE0CqkOc4q9oUmW1yo/edit?usp=sharing"",""เชียงราย!I470"")"),0)</f>
        <v>0</v>
      </c>
      <c r="J575" s="199">
        <f ca="1">IFERROR(__xludf.DUMMYFUNCTION("IMPORTRANGE(""https://docs.google.com/spreadsheets/d/11923uPwbBZFjjGgGUA6NLw09EwE0CqkOc4q9oUmW1yo/edit?usp=sharing"",""เชียงราย!J470"")"),4)</f>
        <v>4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IFERROR(__xludf.DUMMYFUNCTION("IMPORTRANGE(""https://docs.google.com/spreadsheets/d/11923uPwbBZFjjGgGUA6NLw09EwE0CqkOc4q9oUmW1yo/edit?usp=sharing"",""เชียงราย!I471"")"),0)</f>
        <v>0</v>
      </c>
      <c r="J576" s="199">
        <f ca="1">IFERROR(__xludf.DUMMYFUNCTION("IMPORTRANGE(""https://docs.google.com/spreadsheets/d/11923uPwbBZFjjGgGUA6NLw09EwE0CqkOc4q9oUmW1yo/edit?usp=sharing"",""เชียงราย!J471"")"),239)</f>
        <v>239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IFERROR(__xludf.DUMMYFUNCTION("IMPORTRANGE(""https://docs.google.com/spreadsheets/d/11923uPwbBZFjjGgGUA6NLw09EwE0CqkOc4q9oUmW1yo/edit?usp=sharing"",""เชียงราย!I472"")"),0)</f>
        <v>0</v>
      </c>
      <c r="J577" s="190">
        <f ca="1">IFERROR(__xludf.DUMMYFUNCTION("IMPORTRANGE(""https://docs.google.com/spreadsheets/d/11923uPwbBZFjjGgGUA6NLw09EwE0CqkOc4q9oUmW1yo/edit?usp=sharing"",""เชียงราย!J472"")"),5148)</f>
        <v>5148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IFERROR(__xludf.DUMMYFUNCTION("IMPORTRANGE(""https://docs.google.com/spreadsheets/d/11923uPwbBZFjjGgGUA6NLw09EwE0CqkOc4q9oUmW1yo/edit?usp=sharing"",""เชียงราย!I473"")"),0)</f>
        <v>0</v>
      </c>
      <c r="J578" s="199">
        <f ca="1">IFERROR(__xludf.DUMMYFUNCTION("IMPORTRANGE(""https://docs.google.com/spreadsheets/d/11923uPwbBZFjjGgGUA6NLw09EwE0CqkOc4q9oUmW1yo/edit?usp=sharing"",""เชียงราย!J473"")"),7)</f>
        <v>7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IFERROR(__xludf.DUMMYFUNCTION("IMPORTRANGE(""https://docs.google.com/spreadsheets/d/11923uPwbBZFjjGgGUA6NLw09EwE0CqkOc4q9oUmW1yo/edit?usp=sharing"",""เชียงราย!I474"")"),0)</f>
        <v>0</v>
      </c>
      <c r="J579" s="199">
        <f ca="1">IFERROR(__xludf.DUMMYFUNCTION("IMPORTRANGE(""https://docs.google.com/spreadsheets/d/11923uPwbBZFjjGgGUA6NLw09EwE0CqkOc4q9oUmW1yo/edit?usp=sharing"",""เชียงราย!J474"")"),12)</f>
        <v>12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IFERROR(__xludf.DUMMYFUNCTION("IMPORTRANGE(""https://docs.google.com/spreadsheets/d/11923uPwbBZFjjGgGUA6NLw09EwE0CqkOc4q9oUmW1yo/edit?usp=sharing"",""เชียงราย!I475"")"),176)</f>
        <v>176</v>
      </c>
      <c r="J580" s="372">
        <f ca="1">IFERROR(__xludf.DUMMYFUNCTION("IMPORTRANGE(""https://docs.google.com/spreadsheets/d/11923uPwbBZFjjGgGUA6NLw09EwE0CqkOc4q9oUmW1yo/edit?usp=sharing"",""เชียงราย!J475"")"),4)</f>
        <v>4</v>
      </c>
      <c r="K580" s="373">
        <f ca="1">IF(I580&gt;0,J580*100/I580,0)</f>
        <v>2.2727272727272729</v>
      </c>
      <c r="L580" s="374">
        <f ca="1">IFERROR(__xludf.DUMMYFUNCTION("IMPORTRANGE(""https://docs.google.com/spreadsheets/d/11923uPwbBZFjjGgGUA6NLw09EwE0CqkOc4q9oUmW1yo/edit?usp=sharing"",""เชียงราย!L475"")"),359076)</f>
        <v>359076</v>
      </c>
      <c r="M580" s="374"/>
      <c r="N580" s="374">
        <f ca="1">IFERROR(__xludf.DUMMYFUNCTION("IMPORTRANGE(""https://docs.google.com/spreadsheets/d/11923uPwbBZFjjGgGUA6NLw09EwE0CqkOc4q9oUmW1yo/edit?usp=sharing"",""เชียงราย!M475"")"),81447)</f>
        <v>81447</v>
      </c>
      <c r="O580" s="374">
        <f t="shared" ref="O580:O584" ca="1" si="124">+IF(L580&gt;0,N580*100/L580,0)</f>
        <v>22.682384787621562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IFERROR(__xludf.DUMMYFUNCTION("IMPORTRANGE(""https://docs.google.com/spreadsheets/d/11923uPwbBZFjjGgGUA6NLw09EwE0CqkOc4q9oUmW1yo/edit?usp=sharing"",""เชียงราย!L476"")"),0)</f>
        <v>0</v>
      </c>
      <c r="M581" s="166"/>
      <c r="N581" s="170">
        <f ca="1">IFERROR(__xludf.DUMMYFUNCTION("IMPORTRANGE(""https://docs.google.com/spreadsheets/d/11923uPwbBZFjjGgGUA6NLw09EwE0CqkOc4q9oUmW1yo/edit?usp=sharing"",""เชียงราย!M476"")"),0)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IFERROR(__xludf.DUMMYFUNCTION("IMPORTRANGE(""https://docs.google.com/spreadsheets/d/11923uPwbBZFjjGgGUA6NLw09EwE0CqkOc4q9oUmW1yo/edit?usp=sharing"",""เชียงราย!L477"")"),359076)</f>
        <v>359076</v>
      </c>
      <c r="M582" s="167"/>
      <c r="N582" s="170">
        <f ca="1">IFERROR(__xludf.DUMMYFUNCTION("IMPORTRANGE(""https://docs.google.com/spreadsheets/d/11923uPwbBZFjjGgGUA6NLw09EwE0CqkOc4q9oUmW1yo/edit?usp=sharing"",""เชียงราย!M477"")"),81447)</f>
        <v>81447</v>
      </c>
      <c r="O582" s="170">
        <f t="shared" ca="1" si="124"/>
        <v>22.682384787621562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IFERROR(__xludf.DUMMYFUNCTION("IMPORTRANGE(""https://docs.google.com/spreadsheets/d/11923uPwbBZFjjGgGUA6NLw09EwE0CqkOc4q9oUmW1yo/edit?usp=sharing"",""เชียงราย!L478"")"),0)</f>
        <v>0</v>
      </c>
      <c r="M583" s="170"/>
      <c r="N583" s="170">
        <f ca="1">IFERROR(__xludf.DUMMYFUNCTION("IMPORTRANGE(""https://docs.google.com/spreadsheets/d/11923uPwbBZFjjGgGUA6NLw09EwE0CqkOc4q9oUmW1yo/edit?usp=sharing"",""เชียงราย!M478"")"),0)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IFERROR(__xludf.DUMMYFUNCTION("IMPORTRANGE(""https://docs.google.com/spreadsheets/d/11923uPwbBZFjjGgGUA6NLw09EwE0CqkOc4q9oUmW1yo/edit?usp=sharing"",""เชียงราย!L479"")"),359076)</f>
        <v>359076</v>
      </c>
      <c r="M584" s="170"/>
      <c r="N584" s="170">
        <f ca="1">IFERROR(__xludf.DUMMYFUNCTION("IMPORTRANGE(""https://docs.google.com/spreadsheets/d/11923uPwbBZFjjGgGUA6NLw09EwE0CqkOc4q9oUmW1yo/edit?usp=sharing"",""เชียงราย!M479"")"),81447)</f>
        <v>81447</v>
      </c>
      <c r="O584" s="170">
        <f t="shared" ca="1" si="124"/>
        <v>22.682384787621562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IFERROR(__xludf.DUMMYFUNCTION("IMPORTRANGE(""https://docs.google.com/spreadsheets/d/11923uPwbBZFjjGgGUA6NLw09EwE0CqkOc4q9oUmW1yo/edit?usp=sharing"",""เชียงราย!M480"")"),0)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IFERROR(__xludf.DUMMYFUNCTION("IMPORTRANGE(""https://docs.google.com/spreadsheets/d/11923uPwbBZFjjGgGUA6NLw09EwE0CqkOc4q9oUmW1yo/edit?usp=sharing"",""เชียงราย!M481"")"),0)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IFERROR(__xludf.DUMMYFUNCTION("IMPORTRANGE(""https://docs.google.com/spreadsheets/d/11923uPwbBZFjjGgGUA6NLw09EwE0CqkOc4q9oUmW1yo/edit?usp=sharing"",""เชียงราย!M482"")"),57000)</f>
        <v>57000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IFERROR(__xludf.DUMMYFUNCTION("IMPORTRANGE(""https://docs.google.com/spreadsheets/d/11923uPwbBZFjjGgGUA6NLw09EwE0CqkOc4q9oUmW1yo/edit?usp=sharing"",""เชียงราย!M483"")"),24447)</f>
        <v>24447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IFERROR(__xludf.DUMMYFUNCTION("IMPORTRANGE(""https://docs.google.com/spreadsheets/d/11923uPwbBZFjjGgGUA6NLw09EwE0CqkOc4q9oUmW1yo/edit?usp=sharing"",""เชียงราย!I484"")"),176)</f>
        <v>176</v>
      </c>
      <c r="J589" s="189">
        <f ca="1">IFERROR(__xludf.DUMMYFUNCTION("IMPORTRANGE(""https://docs.google.com/spreadsheets/d/11923uPwbBZFjjGgGUA6NLw09EwE0CqkOc4q9oUmW1yo/edit?usp=sharing"",""เชียงราย!J484"")"),68)</f>
        <v>68</v>
      </c>
      <c r="K589" s="165">
        <f t="shared" ref="K589:K596" ca="1" si="125">IF(I589&gt;0,J589*100/I589,0)</f>
        <v>38.636363636363633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IFERROR(__xludf.DUMMYFUNCTION("IMPORTRANGE(""https://docs.google.com/spreadsheets/d/11923uPwbBZFjjGgGUA6NLw09EwE0CqkOc4q9oUmW1yo/edit?usp=sharing"",""เชียงราย!I485"")"),0)</f>
        <v>0</v>
      </c>
      <c r="J590" s="189">
        <f ca="1">IFERROR(__xludf.DUMMYFUNCTION("IMPORTRANGE(""https://docs.google.com/spreadsheets/d/11923uPwbBZFjjGgGUA6NLw09EwE0CqkOc4q9oUmW1yo/edit?usp=sharing"",""เชียงราย!J485"")"),41.67)</f>
        <v>41.67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IFERROR(__xludf.DUMMYFUNCTION("IMPORTRANGE(""https://docs.google.com/spreadsheets/d/11923uPwbBZFjjGgGUA6NLw09EwE0CqkOc4q9oUmW1yo/edit?usp=sharing"",""เชียงราย!I486"")"),176)</f>
        <v>176</v>
      </c>
      <c r="J591" s="189">
        <f ca="1">IFERROR(__xludf.DUMMYFUNCTION("IMPORTRANGE(""https://docs.google.com/spreadsheets/d/11923uPwbBZFjjGgGUA6NLw09EwE0CqkOc4q9oUmW1yo/edit?usp=sharing"",""เชียงราย!J486"")"),2)</f>
        <v>2</v>
      </c>
      <c r="K591" s="165">
        <f t="shared" ca="1" si="125"/>
        <v>1.1363636363636365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IFERROR(__xludf.DUMMYFUNCTION("IMPORTRANGE(""https://docs.google.com/spreadsheets/d/11923uPwbBZFjjGgGUA6NLw09EwE0CqkOc4q9oUmW1yo/edit?usp=sharing"",""เชียงราย!I487"")"),0)</f>
        <v>0</v>
      </c>
      <c r="J592" s="189">
        <f ca="1">IFERROR(__xludf.DUMMYFUNCTION("IMPORTRANGE(""https://docs.google.com/spreadsheets/d/11923uPwbBZFjjGgGUA6NLw09EwE0CqkOc4q9oUmW1yo/edit?usp=sharing"",""เชียงราย!J487"")"),0.62)</f>
        <v>0.62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IFERROR(__xludf.DUMMYFUNCTION("IMPORTRANGE(""https://docs.google.com/spreadsheets/d/11923uPwbBZFjjGgGUA6NLw09EwE0CqkOc4q9oUmW1yo/edit?usp=sharing"",""เชียงราย!I488"")"),176)</f>
        <v>176</v>
      </c>
      <c r="J593" s="189">
        <f ca="1">IFERROR(__xludf.DUMMYFUNCTION("IMPORTRANGE(""https://docs.google.com/spreadsheets/d/11923uPwbBZFjjGgGUA6NLw09EwE0CqkOc4q9oUmW1yo/edit?usp=sharing"",""เชียงราย!J488"")"),2)</f>
        <v>2</v>
      </c>
      <c r="K593" s="165">
        <f t="shared" ca="1" si="125"/>
        <v>1.1363636363636365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IFERROR(__xludf.DUMMYFUNCTION("IMPORTRANGE(""https://docs.google.com/spreadsheets/d/11923uPwbBZFjjGgGUA6NLw09EwE0CqkOc4q9oUmW1yo/edit?usp=sharing"",""เชียงราย!I489"")"),0)</f>
        <v>0</v>
      </c>
      <c r="J594" s="189">
        <f ca="1">IFERROR(__xludf.DUMMYFUNCTION("IMPORTRANGE(""https://docs.google.com/spreadsheets/d/11923uPwbBZFjjGgGUA6NLw09EwE0CqkOc4q9oUmW1yo/edit?usp=sharing"",""เชียงราย!J489"")"),1.28)</f>
        <v>1.28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IFERROR(__xludf.DUMMYFUNCTION("IMPORTRANGE(""https://docs.google.com/spreadsheets/d/11923uPwbBZFjjGgGUA6NLw09EwE0CqkOc4q9oUmW1yo/edit?usp=sharing"",""เชียงราย!I490"")"),176)</f>
        <v>176</v>
      </c>
      <c r="J595" s="189">
        <f ca="1">IFERROR(__xludf.DUMMYFUNCTION("IMPORTRANGE(""https://docs.google.com/spreadsheets/d/11923uPwbBZFjjGgGUA6NLw09EwE0CqkOc4q9oUmW1yo/edit?usp=sharing"",""เชียงราย!J490"")"),4)</f>
        <v>4</v>
      </c>
      <c r="K595" s="165">
        <f t="shared" ca="1" si="125"/>
        <v>2.2727272727272729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IFERROR(__xludf.DUMMYFUNCTION("IMPORTRANGE(""https://docs.google.com/spreadsheets/d/11923uPwbBZFjjGgGUA6NLw09EwE0CqkOc4q9oUmW1yo/edit?usp=sharing"",""เชียงราย!I491"")"),0)</f>
        <v>0</v>
      </c>
      <c r="J596" s="242">
        <f ca="1">IFERROR(__xludf.DUMMYFUNCTION("IMPORTRANGE(""https://docs.google.com/spreadsheets/d/11923uPwbBZFjjGgGUA6NLw09EwE0CqkOc4q9oUmW1yo/edit?usp=sharing"",""เชียงราย!J491"")"),2.04)</f>
        <v>2.04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IFERROR(__xludf.DUMMYFUNCTION("IMPORTRANGE(""https://docs.google.com/spreadsheets/d/11923uPwbBZFjjGgGUA6NLw09EwE0CqkOc4q9oUmW1yo/edit?usp=sharing"",""เชียงราย!I492"")"),220)</f>
        <v>220</v>
      </c>
      <c r="J597" s="489">
        <f ca="1">IFERROR(__xludf.DUMMYFUNCTION("IMPORTRANGE(""https://docs.google.com/spreadsheets/d/11923uPwbBZFjjGgGUA6NLw09EwE0CqkOc4q9oUmW1yo/edit?usp=sharing"",""เชียงราย!J492"")"),0)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IFERROR(__xludf.DUMMYFUNCTION("IMPORTRANGE(""https://docs.google.com/spreadsheets/d/11923uPwbBZFjjGgGUA6NLw09EwE0CqkOc4q9oUmW1yo/edit?usp=sharing"",""เชียงราย!L492"")"),15500)</f>
        <v>15500</v>
      </c>
      <c r="M597" s="413"/>
      <c r="N597" s="413">
        <f ca="1">IFERROR(__xludf.DUMMYFUNCTION("IMPORTRANGE(""https://docs.google.com/spreadsheets/d/11923uPwbBZFjjGgGUA6NLw09EwE0CqkOc4q9oUmW1yo/edit?usp=sharing"",""เชียงราย!M492"")"),1800)</f>
        <v>1800</v>
      </c>
      <c r="O597" s="413">
        <f t="shared" ref="O597:O601" ca="1" si="126">+IF(L597&gt;0,N597*100/L597,0)</f>
        <v>11.612903225806452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IFERROR(__xludf.DUMMYFUNCTION("IMPORTRANGE(""https://docs.google.com/spreadsheets/d/11923uPwbBZFjjGgGUA6NLw09EwE0CqkOc4q9oUmW1yo/edit?usp=sharing"",""เชียงราย!L493"")"),0)</f>
        <v>0</v>
      </c>
      <c r="M598" s="166"/>
      <c r="N598" s="170">
        <f ca="1">IFERROR(__xludf.DUMMYFUNCTION("IMPORTRANGE(""https://docs.google.com/spreadsheets/d/11923uPwbBZFjjGgGUA6NLw09EwE0CqkOc4q9oUmW1yo/edit?usp=sharing"",""เชียงราย!M493"")"),0)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IFERROR(__xludf.DUMMYFUNCTION("IMPORTRANGE(""https://docs.google.com/spreadsheets/d/11923uPwbBZFjjGgGUA6NLw09EwE0CqkOc4q9oUmW1yo/edit?usp=sharing"",""เชียงราย!L494"")"),15500)</f>
        <v>15500</v>
      </c>
      <c r="M599" s="167"/>
      <c r="N599" s="170">
        <f ca="1">IFERROR(__xludf.DUMMYFUNCTION("IMPORTRANGE(""https://docs.google.com/spreadsheets/d/11923uPwbBZFjjGgGUA6NLw09EwE0CqkOc4q9oUmW1yo/edit?usp=sharing"",""เชียงราย!M494"")"),1800)</f>
        <v>1800</v>
      </c>
      <c r="O599" s="170">
        <f t="shared" ca="1" si="126"/>
        <v>11.612903225806452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IFERROR(__xludf.DUMMYFUNCTION("IMPORTRANGE(""https://docs.google.com/spreadsheets/d/11923uPwbBZFjjGgGUA6NLw09EwE0CqkOc4q9oUmW1yo/edit?usp=sharing"",""เชียงราย!L495"")"),0)</f>
        <v>0</v>
      </c>
      <c r="M600" s="170"/>
      <c r="N600" s="170">
        <f ca="1">IFERROR(__xludf.DUMMYFUNCTION("IMPORTRANGE(""https://docs.google.com/spreadsheets/d/11923uPwbBZFjjGgGUA6NLw09EwE0CqkOc4q9oUmW1yo/edit?usp=sharing"",""เชียงราย!M495"")"),0)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IFERROR(__xludf.DUMMYFUNCTION("IMPORTRANGE(""https://docs.google.com/spreadsheets/d/11923uPwbBZFjjGgGUA6NLw09EwE0CqkOc4q9oUmW1yo/edit?usp=sharing"",""เชียงราย!L496"")"),15500)</f>
        <v>15500</v>
      </c>
      <c r="M601" s="170"/>
      <c r="N601" s="170">
        <f ca="1">IFERROR(__xludf.DUMMYFUNCTION("IMPORTRANGE(""https://docs.google.com/spreadsheets/d/11923uPwbBZFjjGgGUA6NLw09EwE0CqkOc4q9oUmW1yo/edit?usp=sharing"",""เชียงราย!M496"")"),1800)</f>
        <v>1800</v>
      </c>
      <c r="O601" s="170">
        <f t="shared" ca="1" si="126"/>
        <v>11.612903225806452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IFERROR(__xludf.DUMMYFUNCTION("IMPORTRANGE(""https://docs.google.com/spreadsheets/d/11923uPwbBZFjjGgGUA6NLw09EwE0CqkOc4q9oUmW1yo/edit?usp=sharing"",""เชียงราย!M497"")"),0)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IFERROR(__xludf.DUMMYFUNCTION("IMPORTRANGE(""https://docs.google.com/spreadsheets/d/11923uPwbBZFjjGgGUA6NLw09EwE0CqkOc4q9oUmW1yo/edit?usp=sharing"",""เชียงราย!M498"")"),0)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IFERROR(__xludf.DUMMYFUNCTION("IMPORTRANGE(""https://docs.google.com/spreadsheets/d/11923uPwbBZFjjGgGUA6NLw09EwE0CqkOc4q9oUmW1yo/edit?usp=sharing"",""เชียงราย!M499"")"),0)</f>
        <v>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IFERROR(__xludf.DUMMYFUNCTION("IMPORTRANGE(""https://docs.google.com/spreadsheets/d/11923uPwbBZFjjGgGUA6NLw09EwE0CqkOc4q9oUmW1yo/edit?usp=sharing"",""เชียงราย!M500"")"),1800)</f>
        <v>1800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IFERROR(__xludf.DUMMYFUNCTION("IMPORTRANGE(""https://docs.google.com/spreadsheets/d/11923uPwbBZFjjGgGUA6NLw09EwE0CqkOc4q9oUmW1yo/edit?usp=sharing"",""เชียงราย!J502"")"),0)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IFERROR(__xludf.DUMMYFUNCTION("IMPORTRANGE(""https://docs.google.com/spreadsheets/d/11923uPwbBZFjjGgGUA6NLw09EwE0CqkOc4q9oUmW1yo/edit?usp=sharing"",""เชียงราย!J503"")"),1)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IFERROR(__xludf.DUMMYFUNCTION("IMPORTRANGE(""https://docs.google.com/spreadsheets/d/11923uPwbBZFjjGgGUA6NLw09EwE0CqkOc4q9oUmW1yo/edit?usp=sharing"",""เชียงราย!J166"")"),0)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IFERROR(__xludf.DUMMYFUNCTION("IMPORTRANGE(""https://docs.google.com/spreadsheets/d/11923uPwbBZFjjGgGUA6NLw09EwE0CqkOc4q9oUmW1yo/edit?usp=sharing"",""เชียงราย!J166"")"),0)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IFERROR(__xludf.DUMMYFUNCTION("IMPORTRANGE(""https://docs.google.com/spreadsheets/d/11923uPwbBZFjjGgGUA6NLw09EwE0CqkOc4q9oUmW1yo/edit?usp=sharing"",""เชียงราย!I506"")"),220)</f>
        <v>220</v>
      </c>
      <c r="J611" s="164">
        <f ca="1">IFERROR(__xludf.DUMMYFUNCTION("IMPORTRANGE(""https://docs.google.com/spreadsheets/d/11923uPwbBZFjjGgGUA6NLw09EwE0CqkOc4q9oUmW1yo/edit?usp=sharing"",""เชียงราย!J506"")"),0)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IFERROR(__xludf.DUMMYFUNCTION("IMPORTRANGE(""https://docs.google.com/spreadsheets/d/11923uPwbBZFjjGgGUA6NLw09EwE0CqkOc4q9oUmW1yo/edit?usp=sharing"",""เชียงราย!I507"")"),0)</f>
        <v>0</v>
      </c>
      <c r="J612" s="199">
        <f ca="1">IFERROR(__xludf.DUMMYFUNCTION("IMPORTRANGE(""https://docs.google.com/spreadsheets/d/11923uPwbBZFjjGgGUA6NLw09EwE0CqkOc4q9oUmW1yo/edit?usp=sharing"",""เชียงราย!J507"")"),876)</f>
        <v>876</v>
      </c>
      <c r="K612" s="165">
        <f t="shared" ca="1" si="127"/>
        <v>398.18181818181819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IFERROR(__xludf.DUMMYFUNCTION("IMPORTRANGE(""https://docs.google.com/spreadsheets/d/11923uPwbBZFjjGgGUA6NLw09EwE0CqkOc4q9oUmW1yo/edit?usp=sharing"",""เชียงราย!I508"")"),0)</f>
        <v>0</v>
      </c>
      <c r="J613" s="199">
        <f ca="1">IFERROR(__xludf.DUMMYFUNCTION("IMPORTRANGE(""https://docs.google.com/spreadsheets/d/11923uPwbBZFjjGgGUA6NLw09EwE0CqkOc4q9oUmW1yo/edit?usp=sharing"",""เชียงราย!J508"")"),876)</f>
        <v>876</v>
      </c>
      <c r="K613" s="165">
        <f t="shared" ca="1" si="127"/>
        <v>398.18181818181819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IFERROR(__xludf.DUMMYFUNCTION("IMPORTRANGE(""https://docs.google.com/spreadsheets/d/11923uPwbBZFjjGgGUA6NLw09EwE0CqkOc4q9oUmW1yo/edit?usp=sharing"",""เชียงราย!I509"")"),0)</f>
        <v>0</v>
      </c>
      <c r="J614" s="199">
        <f ca="1">IFERROR(__xludf.DUMMYFUNCTION("IMPORTRANGE(""https://docs.google.com/spreadsheets/d/11923uPwbBZFjjGgGUA6NLw09EwE0CqkOc4q9oUmW1yo/edit?usp=sharing"",""เชียงราย!J509"")"),0)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IFERROR(__xludf.DUMMYFUNCTION("IMPORTRANGE(""https://docs.google.com/spreadsheets/d/11923uPwbBZFjjGgGUA6NLw09EwE0CqkOc4q9oUmW1yo/edit?usp=sharing"",""เชียงราย!I510"")"),0)</f>
        <v>0</v>
      </c>
      <c r="J615" s="199">
        <f ca="1">IFERROR(__xludf.DUMMYFUNCTION("IMPORTRANGE(""https://docs.google.com/spreadsheets/d/11923uPwbBZFjjGgGUA6NLw09EwE0CqkOc4q9oUmW1yo/edit?usp=sharing"",""เชียงราย!J510"")"),0)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IFERROR(__xludf.DUMMYFUNCTION("IMPORTRANGE(""https://docs.google.com/spreadsheets/d/11923uPwbBZFjjGgGUA6NLw09EwE0CqkOc4q9oUmW1yo/edit?usp=sharing"",""เชียงราย!I511"")"),0)</f>
        <v>0</v>
      </c>
      <c r="J616" s="199">
        <f ca="1">IFERROR(__xludf.DUMMYFUNCTION("IMPORTRANGE(""https://docs.google.com/spreadsheets/d/11923uPwbBZFjjGgGUA6NLw09EwE0CqkOc4q9oUmW1yo/edit?usp=sharing"",""เชียงราย!J511"")"),0)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IFERROR(__xludf.DUMMYFUNCTION("IMPORTRANGE(""https://docs.google.com/spreadsheets/d/11923uPwbBZFjjGgGUA6NLw09EwE0CqkOc4q9oUmW1yo/edit?usp=sharing"",""เชียงราย!I512"")"),0)</f>
        <v>0</v>
      </c>
      <c r="J617" s="189">
        <f ca="1">IFERROR(__xludf.DUMMYFUNCTION("IMPORTRANGE(""https://docs.google.com/spreadsheets/d/11923uPwbBZFjjGgGUA6NLw09EwE0CqkOc4q9oUmW1yo/edit?usp=sharing"",""เชียงราย!J512"")"),0)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IFERROR(__xludf.DUMMYFUNCTION("IMPORTRANGE(""https://docs.google.com/spreadsheets/d/11923uPwbBZFjjGgGUA6NLw09EwE0CqkOc4q9oUmW1yo/edit?usp=sharing"",""เชียงราย!I513"")"),0)</f>
        <v>0</v>
      </c>
      <c r="J618" s="190">
        <f ca="1">IFERROR(__xludf.DUMMYFUNCTION("IMPORTRANGE(""https://docs.google.com/spreadsheets/d/11923uPwbBZFjjGgGUA6NLw09EwE0CqkOc4q9oUmW1yo/edit?usp=sharing"",""เชียงราย!J513"")"),0)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IFERROR(__xludf.DUMMYFUNCTION("IMPORTRANGE(""https://docs.google.com/spreadsheets/d/11923uPwbBZFjjGgGUA6NLw09EwE0CqkOc4q9oUmW1yo/edit?usp=sharing"",""เชียงราย!I514"")"),0)</f>
        <v>0</v>
      </c>
      <c r="J619" s="190">
        <f ca="1">IFERROR(__xludf.DUMMYFUNCTION("IMPORTRANGE(""https://docs.google.com/spreadsheets/d/11923uPwbBZFjjGgGUA6NLw09EwE0CqkOc4q9oUmW1yo/edit?usp=sharing"",""เชียงราย!J514"")"),0)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IFERROR(__xludf.DUMMYFUNCTION("IMPORTRANGE(""https://docs.google.com/spreadsheets/d/11923uPwbBZFjjGgGUA6NLw09EwE0CqkOc4q9oUmW1yo/edit?usp=sharing"",""เชียงราย!I515"")"),2288)</f>
        <v>2288</v>
      </c>
      <c r="J620" s="204">
        <f ca="1">IFERROR(__xludf.DUMMYFUNCTION("IMPORTRANGE(""https://docs.google.com/spreadsheets/d/11923uPwbBZFjjGgGUA6NLw09EwE0CqkOc4q9oUmW1yo/edit?usp=sharing"",""เชียงราย!J515"")"),0)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IFERROR(__xludf.DUMMYFUNCTION("IMPORTRANGE(""https://docs.google.com/spreadsheets/d/11923uPwbBZFjjGgGUA6NLw09EwE0CqkOc4q9oUmW1yo/edit?usp=sharing"",""เชียงราย!I516"")"),0)</f>
        <v>0</v>
      </c>
      <c r="J621" s="204">
        <f ca="1">IFERROR(__xludf.DUMMYFUNCTION("IMPORTRANGE(""https://docs.google.com/spreadsheets/d/11923uPwbBZFjjGgGUA6NLw09EwE0CqkOc4q9oUmW1yo/edit?usp=sharing"",""เชียงราย!J516"")"),0)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IFERROR(__xludf.DUMMYFUNCTION("IMPORTRANGE(""https://docs.google.com/spreadsheets/d/11923uPwbBZFjjGgGUA6NLw09EwE0CqkOc4q9oUmW1yo/edit?usp=sharing"",""เชียงราย!I517"")"),0)</f>
        <v>0</v>
      </c>
      <c r="J622" s="190">
        <f ca="1">IFERROR(__xludf.DUMMYFUNCTION("IMPORTRANGE(""https://docs.google.com/spreadsheets/d/11923uPwbBZFjjGgGUA6NLw09EwE0CqkOc4q9oUmW1yo/edit?usp=sharing"",""เชียงราย!J517"")"),0)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IFERROR(__xludf.DUMMYFUNCTION("IMPORTRANGE(""https://docs.google.com/spreadsheets/d/11923uPwbBZFjjGgGUA6NLw09EwE0CqkOc4q9oUmW1yo/edit?usp=sharing"",""เชียงราย!I518"")"),0)</f>
        <v>0</v>
      </c>
      <c r="J623" s="190">
        <f ca="1">IFERROR(__xludf.DUMMYFUNCTION("IMPORTRANGE(""https://docs.google.com/spreadsheets/d/11923uPwbBZFjjGgGUA6NLw09EwE0CqkOc4q9oUmW1yo/edit?usp=sharing"",""เชียงราย!J518"")"),0)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IFERROR(__xludf.DUMMYFUNCTION("IMPORTRANGE(""https://docs.google.com/spreadsheets/d/11923uPwbBZFjjGgGUA6NLw09EwE0CqkOc4q9oUmW1yo/edit?usp=sharing"",""เชียงราย!I519"")"),0)</f>
        <v>0</v>
      </c>
      <c r="J624" s="189">
        <f ca="1">IFERROR(__xludf.DUMMYFUNCTION("IMPORTRANGE(""https://docs.google.com/spreadsheets/d/11923uPwbBZFjjGgGUA6NLw09EwE0CqkOc4q9oUmW1yo/edit?usp=sharing"",""เชียงราย!J519"")"),0)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IFERROR(__xludf.DUMMYFUNCTION("IMPORTRANGE(""https://docs.google.com/spreadsheets/d/11923uPwbBZFjjGgGUA6NLw09EwE0CqkOc4q9oUmW1yo/edit?usp=sharing"",""เชียงราย!I520"")"),0)</f>
        <v>0</v>
      </c>
      <c r="J625" s="190">
        <f ca="1">IFERROR(__xludf.DUMMYFUNCTION("IMPORTRANGE(""https://docs.google.com/spreadsheets/d/11923uPwbBZFjjGgGUA6NLw09EwE0CqkOc4q9oUmW1yo/edit?usp=sharing"",""เชียงราย!J520"")"),0)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IFERROR(__xludf.DUMMYFUNCTION("IMPORTRANGE(""https://docs.google.com/spreadsheets/d/11923uPwbBZFjjGgGUA6NLw09EwE0CqkOc4q9oUmW1yo/edit?usp=sharing"",""เชียงราย!I521"")"),0)</f>
        <v>0</v>
      </c>
      <c r="J626" s="190">
        <f ca="1">IFERROR(__xludf.DUMMYFUNCTION("IMPORTRANGE(""https://docs.google.com/spreadsheets/d/11923uPwbBZFjjGgGUA6NLw09EwE0CqkOc4q9oUmW1yo/edit?usp=sharing"",""เชียงราย!J521"")"),0)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IFERROR(__xludf.DUMMYFUNCTION("IMPORTRANGE(""https://docs.google.com/spreadsheets/d/11923uPwbBZFjjGgGUA6NLw09EwE0CqkOc4q9oUmW1yo/edit?usp=sharing"",""เชียงราย!I523"")"),7774600)</f>
        <v>7774600</v>
      </c>
      <c r="J628" s="342">
        <f ca="1">IFERROR(__xludf.DUMMYFUNCTION("IMPORTRANGE(""https://docs.google.com/spreadsheets/d/11923uPwbBZFjjGgGUA6NLw09EwE0CqkOc4q9oUmW1yo/edit?usp=sharing"",""เชียงราย!J523"")"),1454238.08)</f>
        <v>1454238.08</v>
      </c>
      <c r="K628" s="343">
        <f t="shared" ref="K628:K635" ca="1" si="129">IF(I628&gt;0,J628*100/I628,0)</f>
        <v>18.704989066961645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IFERROR(__xludf.DUMMYFUNCTION("IMPORTRANGE(""https://docs.google.com/spreadsheets/d/11923uPwbBZFjjGgGUA6NLw09EwE0CqkOc4q9oUmW1yo/edit?usp=sharing"",""เชียงราย!I524"")"),325)</f>
        <v>325</v>
      </c>
      <c r="J629" s="342">
        <f ca="1">IFERROR(__xludf.DUMMYFUNCTION("IMPORTRANGE(""https://docs.google.com/spreadsheets/d/11923uPwbBZFjjGgGUA6NLw09EwE0CqkOc4q9oUmW1yo/edit?usp=sharing"",""เชียงราย!J524"")"),56)</f>
        <v>56</v>
      </c>
      <c r="K629" s="343">
        <f t="shared" ca="1" si="129"/>
        <v>17.23076923076923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42">
        <f ca="1">IFERROR(__xludf.DUMMYFUNCTION("IMPORTRANGE(""https://docs.google.com/spreadsheets/d/11923uPwbBZFjjGgGUA6NLw09EwE0CqkOc4q9oUmW1yo/edit?usp=sharing"",""เชียงราย!J525"")"),690146.04)</f>
        <v>690146.04</v>
      </c>
      <c r="K630" s="343">
        <f t="shared" ca="1" si="129"/>
        <v>10.788589515193209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IFERROR(__xludf.DUMMYFUNCTION("IMPORTRANGE(""https://docs.google.com/spreadsheets/d/11923uPwbBZFjjGgGUA6NLw09EwE0CqkOc4q9oUmW1yo/edit?usp=sharing"",""เชียงราย!I526"")"),162)</f>
        <v>162</v>
      </c>
      <c r="J631" s="342">
        <f ca="1">IFERROR(__xludf.DUMMYFUNCTION("IMPORTRANGE(""https://docs.google.com/spreadsheets/d/11923uPwbBZFjjGgGUA6NLw09EwE0CqkOc4q9oUmW1yo/edit?usp=sharing"",""เชียงราย!J526"")"),75)</f>
        <v>75</v>
      </c>
      <c r="K631" s="343">
        <f t="shared" ca="1" si="129"/>
        <v>46.296296296296298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IFERROR(__xludf.DUMMYFUNCTION("IMPORTRANGE(""https://docs.google.com/spreadsheets/d/11923uPwbBZFjjGgGUA6NLw09EwE0CqkOc4q9oUmW1yo/edit?usp=sharing"",""เชียงราย!I527"")"),742206.51)</f>
        <v>742206.51</v>
      </c>
      <c r="J632" s="342">
        <f ca="1">IFERROR(__xludf.DUMMYFUNCTION("IMPORTRANGE(""https://docs.google.com/spreadsheets/d/11923uPwbBZFjjGgGUA6NLw09EwE0CqkOc4q9oUmW1yo/edit?usp=sharing"",""เชียงราย!J527"")"),0)</f>
        <v>0</v>
      </c>
      <c r="K632" s="343">
        <f t="shared" ca="1" si="129"/>
        <v>0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IFERROR(__xludf.DUMMYFUNCTION("IMPORTRANGE(""https://docs.google.com/spreadsheets/d/11923uPwbBZFjjGgGUA6NLw09EwE0CqkOc4q9oUmW1yo/edit?usp=sharing"",""เชียงราย!I528"")"),15)</f>
        <v>15</v>
      </c>
      <c r="J633" s="342">
        <f ca="1">IFERROR(__xludf.DUMMYFUNCTION("IMPORTRANGE(""https://docs.google.com/spreadsheets/d/11923uPwbBZFjjGgGUA6NLw09EwE0CqkOc4q9oUmW1yo/edit?usp=sharing"",""เชียงราย!J528"")"),0)</f>
        <v>0</v>
      </c>
      <c r="K633" s="343">
        <f t="shared" ca="1" si="129"/>
        <v>0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IFERROR(__xludf.DUMMYFUNCTION("IMPORTRANGE(""https://docs.google.com/spreadsheets/d/11923uPwbBZFjjGgGUA6NLw09EwE0CqkOc4q9oUmW1yo/edit?usp=sharing"",""เชียงราย!I529"")"),4000000)</f>
        <v>4000000</v>
      </c>
      <c r="J634" s="342">
        <f ca="1">IFERROR(__xludf.DUMMYFUNCTION("IMPORTRANGE(""https://docs.google.com/spreadsheets/d/11923uPwbBZFjjGgGUA6NLw09EwE0CqkOc4q9oUmW1yo/edit?usp=sharing"",""เชียงราย!J529"")"),1380000)</f>
        <v>1380000</v>
      </c>
      <c r="K634" s="343">
        <f t="shared" ca="1" si="129"/>
        <v>34.5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IFERROR(__xludf.DUMMYFUNCTION("IMPORTRANGE(""https://docs.google.com/spreadsheets/d/11923uPwbBZFjjGgGUA6NLw09EwE0CqkOc4q9oUmW1yo/edit?usp=sharing"",""เชียงราย!I530"")"),162)</f>
        <v>162</v>
      </c>
      <c r="J635" s="506">
        <f ca="1">IFERROR(__xludf.DUMMYFUNCTION("IMPORTRANGE(""https://docs.google.com/spreadsheets/d/11923uPwbBZFjjGgGUA6NLw09EwE0CqkOc4q9oUmW1yo/edit?usp=sharing"",""เชียงราย!J530"")"),47)</f>
        <v>47</v>
      </c>
      <c r="K635" s="488">
        <f t="shared" ca="1" si="129"/>
        <v>29.012345679012345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IFERROR(__xludf.DUMMYFUNCTION("IMPORTRANGE(""https://docs.google.com/spreadsheets/d/11923uPwbBZFjjGgGUA6NLw09EwE0CqkOc4q9oUmW1yo/edit?usp=sharing"",""เชียงราย!J541"")"),0)</f>
        <v>0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IFERROR(__xludf.DUMMYFUNCTION("IMPORTRANGE(""https://docs.google.com/spreadsheets/d/11923uPwbBZFjjGgGUA6NLw09EwE0CqkOc4q9oUmW1yo/edit?usp=sharing"",""เชียงราย!J542"")"),0)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IFERROR(__xludf.DUMMYFUNCTION("IMPORTRANGE(""https://docs.google.com/spreadsheets/d/11923uPwbBZFjjGgGUA6NLw09EwE0CqkOc4q9oUmW1yo/edit?usp=sharing"",""เชียงราย!I543"")"),0)</f>
        <v>0</v>
      </c>
      <c r="J648" s="537">
        <f ca="1">IFERROR(__xludf.DUMMYFUNCTION("IMPORTRANGE(""https://docs.google.com/spreadsheets/d/11923uPwbBZFjjGgGUA6NLw09EwE0CqkOc4q9oUmW1yo/edit?usp=sharing"",""เชียงราย!J543"")"),0)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IFERROR(__xludf.DUMMYFUNCTION("IMPORTRANGE(""https://docs.google.com/spreadsheets/d/11923uPwbBZFjjGgGUA6NLw09EwE0CqkOc4q9oUmW1yo/edit?usp=sharing"",""เชียงราย!L543"")"),0)</f>
        <v>0</v>
      </c>
      <c r="M648" s="522"/>
      <c r="N648" s="539">
        <f ca="1">IFERROR(__xludf.DUMMYFUNCTION("IMPORTRANGE(""https://docs.google.com/spreadsheets/d/11923uPwbBZFjjGgGUA6NLw09EwE0CqkOc4q9oUmW1yo/edit?usp=sharing"",""เชียงราย!M543"")"),0)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IFERROR(__xludf.DUMMYFUNCTION("IMPORTRANGE(""https://docs.google.com/spreadsheets/d/11923uPwbBZFjjGgGUA6NLw09EwE0CqkOc4q9oUmW1yo/edit?usp=sharing"",""เชียงราย!I544"")"),0)</f>
        <v>0</v>
      </c>
      <c r="J649" s="537">
        <f ca="1">IFERROR(__xludf.DUMMYFUNCTION("IMPORTRANGE(""https://docs.google.com/spreadsheets/d/11923uPwbBZFjjGgGUA6NLw09EwE0CqkOc4q9oUmW1yo/edit?usp=sharing"",""เชียงราย!J544"")"),0)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IFERROR(__xludf.DUMMYFUNCTION("IMPORTRANGE(""https://docs.google.com/spreadsheets/d/11923uPwbBZFjjGgGUA6NLw09EwE0CqkOc4q9oUmW1yo/edit?usp=sharing"",""เชียงราย!L544"")"),0)</f>
        <v>0</v>
      </c>
      <c r="M649" s="522"/>
      <c r="N649" s="539">
        <f ca="1">IFERROR(__xludf.DUMMYFUNCTION("IMPORTRANGE(""https://docs.google.com/spreadsheets/d/11923uPwbBZFjjGgGUA6NLw09EwE0CqkOc4q9oUmW1yo/edit?usp=sharing"",""เชียงราย!M544"")"),0)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IFERROR(__xludf.DUMMYFUNCTION("IMPORTRANGE(""https://docs.google.com/spreadsheets/d/11923uPwbBZFjjGgGUA6NLw09EwE0CqkOc4q9oUmW1yo/edit?usp=sharing"",""เชียงราย!I545"")"),0)</f>
        <v>0</v>
      </c>
      <c r="J650" s="537">
        <f ca="1">IFERROR(__xludf.DUMMYFUNCTION("IMPORTRANGE(""https://docs.google.com/spreadsheets/d/11923uPwbBZFjjGgGUA6NLw09EwE0CqkOc4q9oUmW1yo/edit?usp=sharing"",""เชียงราย!J545"")"),0)</f>
        <v>0</v>
      </c>
      <c r="K650" s="538">
        <f t="shared" ca="1" si="131"/>
        <v>0</v>
      </c>
      <c r="L650" s="523">
        <f ca="1">IFERROR(__xludf.DUMMYFUNCTION("IMPORTRANGE(""https://docs.google.com/spreadsheets/d/11923uPwbBZFjjGgGUA6NLw09EwE0CqkOc4q9oUmW1yo/edit?usp=sharing"",""เชียงราย!L545"")"),0)</f>
        <v>0</v>
      </c>
      <c r="M650" s="522"/>
      <c r="N650" s="539">
        <f ca="1">IFERROR(__xludf.DUMMYFUNCTION("IMPORTRANGE(""https://docs.google.com/spreadsheets/d/11923uPwbBZFjjGgGUA6NLw09EwE0CqkOc4q9oUmW1yo/edit?usp=sharing"",""เชียงราย!M545"")"),0)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IFERROR(__xludf.DUMMYFUNCTION("IMPORTRANGE(""https://docs.google.com/spreadsheets/d/11923uPwbBZFjjGgGUA6NLw09EwE0CqkOc4q9oUmW1yo/edit?usp=sharing"",""เชียงราย!I546"")"),0)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IFERROR(__xludf.DUMMYFUNCTION("IMPORTRANGE(""https://docs.google.com/spreadsheets/d/11923uPwbBZFjjGgGUA6NLw09EwE0CqkOc4q9oUmW1yo/edit?usp=sharing"",""เชียงราย!L546"")"),0)</f>
        <v>0</v>
      </c>
      <c r="M651" s="522"/>
      <c r="N651" s="539">
        <f ca="1">IFERROR(__xludf.DUMMYFUNCTION("IMPORTRANGE(""https://docs.google.com/spreadsheets/d/11923uPwbBZFjjGgGUA6NLw09EwE0CqkOc4q9oUmW1yo/edit?usp=sharing"",""เชียงราย!M546"")"),0)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IFERROR(__xludf.DUMMYFUNCTION("IMPORTRANGE(""https://docs.google.com/spreadsheets/d/11923uPwbBZFjjGgGUA6NLw09EwE0CqkOc4q9oUmW1yo/edit?usp=sharing"",""เชียงราย!J547"")"),0)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IFERROR(__xludf.DUMMYFUNCTION("IMPORTRANGE(""https://docs.google.com/spreadsheets/d/11923uPwbBZFjjGgGUA6NLw09EwE0CqkOc4q9oUmW1yo/edit?usp=sharing"",""เชียงราย!J548"")"),0)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IFERROR(__xludf.DUMMYFUNCTION("IMPORTRANGE(""https://docs.google.com/spreadsheets/d/11923uPwbBZFjjGgGUA6NLw09EwE0CqkOc4q9oUmW1yo/edit?usp=sharing"",""เชียงราย!J550"")"),0)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IFERROR(__xludf.DUMMYFUNCTION("IMPORTRANGE(""https://docs.google.com/spreadsheets/d/11923uPwbBZFjjGgGUA6NLw09EwE0CqkOc4q9oUmW1yo/edit?usp=sharing"",""เชียงราย!J551"")"),0)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IFERROR(__xludf.DUMMYFUNCTION("IMPORTRANGE(""https://docs.google.com/spreadsheets/d/11923uPwbBZFjjGgGUA6NLw09EwE0CqkOc4q9oUmW1yo/edit?usp=sharing"",""เชียงราย!J552"")"),0)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IFERROR(__xludf.DUMMYFUNCTION("IMPORTRANGE(""https://docs.google.com/spreadsheets/d/11923uPwbBZFjjGgGUA6NLw09EwE0CqkOc4q9oUmW1yo/edit?usp=sharing"",""เชียงราย!J553"")"),0)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IFERROR(__xludf.DUMMYFUNCTION("IMPORTRANGE(""https://docs.google.com/spreadsheets/d/11923uPwbBZFjjGgGUA6NLw09EwE0CqkOc4q9oUmW1yo/edit?usp=sharing"",""เชียงราย!J554"")"),0)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IFERROR(__xludf.DUMMYFUNCTION("IMPORTRANGE(""https://docs.google.com/spreadsheets/d/11923uPwbBZFjjGgGUA6NLw09EwE0CqkOc4q9oUmW1yo/edit?usp=sharing"",""เชียงราย!J555"")"),0)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IFERROR(__xludf.DUMMYFUNCTION("IMPORTRANGE(""https://docs.google.com/spreadsheets/d/11923uPwbBZFjjGgGUA6NLw09EwE0CqkOc4q9oUmW1yo/edit?usp=sharing"",""เชียงราย!J556"")"),0)</f>
        <v>0</v>
      </c>
      <c r="K661" s="538"/>
      <c r="L661" s="523">
        <f ca="1">IFERROR(__xludf.DUMMYFUNCTION("IMPORTRANGE(""https://docs.google.com/spreadsheets/d/11923uPwbBZFjjGgGUA6NLw09EwE0CqkOc4q9oUmW1yo/edit?usp=sharing"",""เชียงราย!L556"")"),0)</f>
        <v>0</v>
      </c>
      <c r="M661" s="522"/>
      <c r="N661" s="539">
        <f ca="1">IFERROR(__xludf.DUMMYFUNCTION("IMPORTRANGE(""https://docs.google.com/spreadsheets/d/11923uPwbBZFjjGgGUA6NLw09EwE0CqkOc4q9oUmW1yo/edit?usp=sharing"",""เชียงราย!M556"")"),0)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IFERROR(__xludf.DUMMYFUNCTION("IMPORTRANGE(""https://docs.google.com/spreadsheets/d/11923uPwbBZFjjGgGUA6NLw09EwE0CqkOc4q9oUmW1yo/edit?usp=sharing"",""เชียงราย!J557"")"),0)</f>
        <v>0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IFERROR(__xludf.DUMMYFUNCTION("IMPORTRANGE(""https://docs.google.com/spreadsheets/d/11923uPwbBZFjjGgGUA6NLw09EwE0CqkOc4q9oUmW1yo/edit?usp=sharing"",""เชียงราย!I558"")"),0)</f>
        <v>0</v>
      </c>
      <c r="J663" s="537">
        <f ca="1">IFERROR(__xludf.DUMMYFUNCTION("IMPORTRANGE(""https://docs.google.com/spreadsheets/d/11923uPwbBZFjjGgGUA6NLw09EwE0CqkOc4q9oUmW1yo/edit?usp=sharing"",""เชียงราย!J558"")"),0)</f>
        <v>0</v>
      </c>
      <c r="K663" s="538">
        <f ca="1">IF(I663&gt;0,J663*100/I663,0)</f>
        <v>0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IFERROR(__xludf.DUMMYFUNCTION("IMPORTRANGE(""https://docs.google.com/spreadsheets/d/11923uPwbBZFjjGgGUA6NLw09EwE0CqkOc4q9oUmW1yo/edit?usp=sharing"",""เชียงราย!I560"")"),0)</f>
        <v>0</v>
      </c>
      <c r="J665" s="537">
        <f ca="1">IFERROR(__xludf.DUMMYFUNCTION("IMPORTRANGE(""https://docs.google.com/spreadsheets/d/11923uPwbBZFjjGgGUA6NLw09EwE0CqkOc4q9oUmW1yo/edit?usp=sharing"",""เชียงราย!J560"")"),0)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IFERROR(__xludf.DUMMYFUNCTION("IMPORTRANGE(""https://docs.google.com/spreadsheets/d/11923uPwbBZFjjGgGUA6NLw09EwE0CqkOc4q9oUmW1yo/edit?usp=sharing"",""เชียงราย!L560"")"),0)</f>
        <v>0</v>
      </c>
      <c r="M665" s="522"/>
      <c r="N665" s="539">
        <f ca="1">IFERROR(__xludf.DUMMYFUNCTION("IMPORTRANGE(""https://docs.google.com/spreadsheets/d/11923uPwbBZFjjGgGUA6NLw09EwE0CqkOc4q9oUmW1yo/edit?usp=sharing"",""เชียงราย!M560"")"),0)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IFERROR(__xludf.DUMMYFUNCTION("IMPORTRANGE(""https://docs.google.com/spreadsheets/d/11923uPwbBZFjjGgGUA6NLw09EwE0CqkOc4q9oUmW1yo/edit?usp=sharing"",""เชียงราย!J561"")"),0)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IFERROR(__xludf.DUMMYFUNCTION("IMPORTRANGE(""https://docs.google.com/spreadsheets/d/11923uPwbBZFjjGgGUA6NLw09EwE0CqkOc4q9oUmW1yo/edit?usp=sharing"",""เชียงราย!J562"")"),0)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IFERROR(__xludf.DUMMYFUNCTION("IMPORTRANGE(""https://docs.google.com/spreadsheets/d/11923uPwbBZFjjGgGUA6NLw09EwE0CqkOc4q9oUmW1yo/edit?usp=sharing"",""เชียงราย!I563"")"),0)</f>
        <v>0</v>
      </c>
      <c r="J668" s="537">
        <f ca="1">IFERROR(__xludf.DUMMYFUNCTION("IMPORTRANGE(""https://docs.google.com/spreadsheets/d/11923uPwbBZFjjGgGUA6NLw09EwE0CqkOc4q9oUmW1yo/edit?usp=sharing"",""เชียงราย!J563"")"),0)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IFERROR(__xludf.DUMMYFUNCTION("IMPORTRANGE(""https://docs.google.com/spreadsheets/d/11923uPwbBZFjjGgGUA6NLw09EwE0CqkOc4q9oUmW1yo/edit?usp=sharing"",""เชียงราย!L563"")"),0)</f>
        <v>0</v>
      </c>
      <c r="M668" s="522"/>
      <c r="N668" s="539">
        <f ca="1">IFERROR(__xludf.DUMMYFUNCTION("IMPORTRANGE(""https://docs.google.com/spreadsheets/d/11923uPwbBZFjjGgGUA6NLw09EwE0CqkOc4q9oUmW1yo/edit?usp=sharing"",""เชียงราย!M563"")"),0)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IFERROR(__xludf.DUMMYFUNCTION("IMPORTRANGE(""https://docs.google.com/spreadsheets/d/11923uPwbBZFjjGgGUA6NLw09EwE0CqkOc4q9oUmW1yo/edit?usp=sharing"",""เชียงราย!J564"")"),0)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IFERROR(__xludf.DUMMYFUNCTION("IMPORTRANGE(""https://docs.google.com/spreadsheets/d/11923uPwbBZFjjGgGUA6NLw09EwE0CqkOc4q9oUmW1yo/edit?usp=sharing"",""เชียงราย!J565"")"),0)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IFERROR(__xludf.DUMMYFUNCTION("IMPORTRANGE(""https://docs.google.com/spreadsheets/d/11923uPwbBZFjjGgGUA6NLw09EwE0CqkOc4q9oUmW1yo/edit?usp=sharing"",""เชียงราย!I566"")"),0)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IFERROR(__xludf.DUMMYFUNCTION("IMPORTRANGE(""https://docs.google.com/spreadsheets/d/11923uPwbBZFjjGgGUA6NLw09EwE0CqkOc4q9oUmW1yo/edit?usp=sharing"",""เชียงราย!L566"")"),0)</f>
        <v>0</v>
      </c>
      <c r="M671" s="522"/>
      <c r="N671" s="539">
        <f ca="1">IFERROR(__xludf.DUMMYFUNCTION("IMPORTRANGE(""https://docs.google.com/spreadsheets/d/11923uPwbBZFjjGgGUA6NLw09EwE0CqkOc4q9oUmW1yo/edit?usp=sharing"",""เชียงราย!M566"")"),0)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IFERROR(__xludf.DUMMYFUNCTION("IMPORTRANGE(""https://docs.google.com/spreadsheets/d/11923uPwbBZFjjGgGUA6NLw09EwE0CqkOc4q9oUmW1yo/edit?usp=sharing"",""เชียงราย!J567"")"),0)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IFERROR(__xludf.DUMMYFUNCTION("IMPORTRANGE(""https://docs.google.com/spreadsheets/d/11923uPwbBZFjjGgGUA6NLw09EwE0CqkOc4q9oUmW1yo/edit?usp=sharing"",""เชียงราย!J568"")"),0)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IFERROR(__xludf.DUMMYFUNCTION("IMPORTRANGE(""https://docs.google.com/spreadsheets/d/11923uPwbBZFjjGgGUA6NLw09EwE0CqkOc4q9oUmW1yo/edit?usp=sharing"",""เชียงราย!J569"")"),0)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IFERROR(__xludf.DUMMYFUNCTION("IMPORTRANGE(""https://docs.google.com/spreadsheets/d/11923uPwbBZFjjGgGUA6NLw09EwE0CqkOc4q9oUmW1yo/edit?usp=sharing"",""เชียงราย!J570"")"),0)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IFERROR(__xludf.DUMMYFUNCTION("IMPORTRANGE(""https://docs.google.com/spreadsheets/d/11923uPwbBZFjjGgGUA6NLw09EwE0CqkOc4q9oUmW1yo/edit?usp=sharing"",""เชียงราย!J571"")"),0)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IFERROR(__xludf.DUMMYFUNCTION("IMPORTRANGE(""https://docs.google.com/spreadsheets/d/11923uPwbBZFjjGgGUA6NLw09EwE0CqkOc4q9oUmW1yo/edit?usp=sharing"",""เชียงราย!J572"")"),0)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61"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264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7355684</v>
      </c>
      <c r="M8" s="25">
        <f t="shared" ca="1" si="0"/>
        <v>3711865</v>
      </c>
      <c r="N8" s="25">
        <f t="shared" ca="1" si="0"/>
        <v>3524136.01</v>
      </c>
      <c r="O8" s="24">
        <f t="shared" ref="O8:O16" ca="1" si="1">IF(L8&gt;0,N8*100/L8,0)</f>
        <v>47.910378015151274</v>
      </c>
      <c r="P8" s="24">
        <f t="shared" ref="P8:P16" ca="1" si="2">IF(M8&gt;0,N8*100/M8,0)</f>
        <v>94.94246180828236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7355684</v>
      </c>
      <c r="M10" s="32">
        <f t="shared" ca="1" si="4"/>
        <v>3711865</v>
      </c>
      <c r="N10" s="32">
        <f t="shared" ca="1" si="4"/>
        <v>3524136.01</v>
      </c>
      <c r="O10" s="31">
        <f t="shared" ca="1" si="1"/>
        <v>47.910378015151274</v>
      </c>
      <c r="P10" s="31">
        <f t="shared" ca="1" si="2"/>
        <v>94.94246180828236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7044284</v>
      </c>
      <c r="M12" s="41">
        <f t="shared" ca="1" si="6"/>
        <v>3400465</v>
      </c>
      <c r="N12" s="41">
        <f t="shared" ca="1" si="6"/>
        <v>3212736.01</v>
      </c>
      <c r="O12" s="41">
        <f t="shared" ca="1" si="1"/>
        <v>45.607701364680928</v>
      </c>
      <c r="P12" s="41">
        <f t="shared" ca="1" si="2"/>
        <v>94.479314152623246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2412000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4632284</v>
      </c>
      <c r="M14" s="41">
        <f t="shared" si="8"/>
        <v>0</v>
      </c>
      <c r="N14" s="41">
        <f t="shared" ca="1" si="8"/>
        <v>953156.47</v>
      </c>
      <c r="O14" s="41">
        <f t="shared" ca="1" si="1"/>
        <v>20.576382406605468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311400</v>
      </c>
      <c r="M16" s="41">
        <f t="shared" ca="1" si="10"/>
        <v>311400</v>
      </c>
      <c r="N16" s="41">
        <f t="shared" ca="1" si="10"/>
        <v>311400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4736305</v>
      </c>
      <c r="M18" s="25">
        <f t="shared" ca="1" si="11"/>
        <v>3711865</v>
      </c>
      <c r="N18" s="25">
        <f t="shared" ca="1" si="11"/>
        <v>2570979.54</v>
      </c>
      <c r="O18" s="24">
        <f t="shared" ref="O18:O20" ca="1" si="12">IF(L18&gt;0,N18*100/L18,0)</f>
        <v>54.282389753193684</v>
      </c>
      <c r="P18" s="24">
        <f t="shared" ref="P18:P26" ca="1" si="13">IF(M18&gt;0,N18*100/M18,0)</f>
        <v>69.2638212866039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4736305</v>
      </c>
      <c r="M20" s="32">
        <f t="shared" ca="1" si="15"/>
        <v>3711865</v>
      </c>
      <c r="N20" s="32">
        <f t="shared" ca="1" si="15"/>
        <v>2570979.54</v>
      </c>
      <c r="O20" s="31">
        <f t="shared" ca="1" si="12"/>
        <v>54.282389753193684</v>
      </c>
      <c r="P20" s="31">
        <f t="shared" ca="1" si="13"/>
        <v>69.2638212866039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4424905</v>
      </c>
      <c r="M22" s="44">
        <f t="shared" ca="1" si="18"/>
        <v>3400465</v>
      </c>
      <c r="N22" s="41">
        <f t="shared" ca="1" si="18"/>
        <v>2259579.54</v>
      </c>
      <c r="O22" s="41">
        <f t="shared" ca="1" si="17"/>
        <v>51.065040718388303</v>
      </c>
      <c r="P22" s="41">
        <f t="shared" ca="1" si="13"/>
        <v>66.449133868456229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2412000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2012905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311400</v>
      </c>
      <c r="M26" s="52">
        <f t="shared" ca="1" si="22"/>
        <v>311400</v>
      </c>
      <c r="N26" s="52">
        <f t="shared" ca="1" si="22"/>
        <v>311400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2619379</v>
      </c>
      <c r="M28" s="25">
        <f t="shared" si="23"/>
        <v>0</v>
      </c>
      <c r="N28" s="25">
        <f t="shared" ca="1" si="23"/>
        <v>953156.47</v>
      </c>
      <c r="O28" s="24">
        <f t="shared" ref="O28:O30" ca="1" si="24">IF(L28&gt;0,N28*100/L28,0)</f>
        <v>36.388642880621703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2619379</v>
      </c>
      <c r="M30" s="32">
        <f t="shared" si="27"/>
        <v>0</v>
      </c>
      <c r="N30" s="32">
        <f t="shared" ca="1" si="27"/>
        <v>953156.47</v>
      </c>
      <c r="O30" s="31">
        <f t="shared" ca="1" si="24"/>
        <v>36.388642880621703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2619379</v>
      </c>
      <c r="M32" s="41">
        <f t="shared" si="30"/>
        <v>0</v>
      </c>
      <c r="N32" s="41">
        <f t="shared" ca="1" si="30"/>
        <v>953156.47</v>
      </c>
      <c r="O32" s="41">
        <f t="shared" ca="1" si="29"/>
        <v>36.388642880621703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2619379</v>
      </c>
      <c r="M34" s="41">
        <f t="shared" si="32"/>
        <v>0</v>
      </c>
      <c r="N34" s="41">
        <f t="shared" ca="1" si="32"/>
        <v>953156.47</v>
      </c>
      <c r="O34" s="41">
        <f t="shared" ca="1" si="29"/>
        <v>36.388642880621703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4736305</v>
      </c>
      <c r="M37" s="57">
        <f t="shared" ca="1" si="33"/>
        <v>3711865</v>
      </c>
      <c r="N37" s="57">
        <f t="shared" ca="1" si="33"/>
        <v>2570979.54</v>
      </c>
      <c r="O37" s="58">
        <f t="shared" ca="1" si="29"/>
        <v>54.282389753193684</v>
      </c>
      <c r="P37" s="58">
        <f t="shared" ca="1" si="25"/>
        <v>69.2638212866039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885000</v>
      </c>
      <c r="M41" s="81">
        <f t="shared" ca="1" si="34"/>
        <v>707800</v>
      </c>
      <c r="N41" s="81">
        <f t="shared" ca="1" si="34"/>
        <v>631874</v>
      </c>
      <c r="O41" s="80">
        <f t="shared" ref="O41:O43" ca="1" si="35">IF(L41&gt;0,N41*100/L41,0)</f>
        <v>71.398192090395483</v>
      </c>
      <c r="P41" s="80">
        <f t="shared" ref="P41:P43" ca="1" si="36">IF(M41&gt;0,N41*100/M41,0)</f>
        <v>89.27295846284261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885000</v>
      </c>
      <c r="M43" s="81">
        <f t="shared" ca="1" si="38"/>
        <v>707800</v>
      </c>
      <c r="N43" s="81">
        <f t="shared" ca="1" si="38"/>
        <v>631874</v>
      </c>
      <c r="O43" s="80">
        <f t="shared" ca="1" si="35"/>
        <v>71.398192090395483</v>
      </c>
      <c r="P43" s="80">
        <f t="shared" ca="1" si="36"/>
        <v>89.27295846284261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709000</v>
      </c>
      <c r="M45" s="52">
        <f ca="1">IFERROR(__xludf.DUMMYFUNCTION("IMPORTRANGE(""https://docs.google.com/spreadsheets/d/1Yj_ptqi66GCucihVvJfMjLAmec39IyEx_6qawtMGysU/edit?usp=sharing"",""สบก!Q22"")"),531800)</f>
        <v>531800</v>
      </c>
      <c r="N45" s="52">
        <f ca="1">IFERROR(__xludf.DUMMYFUNCTION("IMPORTRANGE(""https://docs.google.com/spreadsheets/d/1Yj_ptqi66GCucihVvJfMjLAmec39IyEx_6qawtMGysU/edit?usp=sharing"",""สบก!R22"")"),455874)</f>
        <v>455874</v>
      </c>
      <c r="O45" s="41">
        <f ca="1">IF(L45&gt;0,N45*100/L45,0)</f>
        <v>64.298166431593799</v>
      </c>
      <c r="P45" s="41">
        <f ca="1">IF(M45&gt;0,N45*100/M45,0)</f>
        <v>85.722828130876266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IFERROR(__xludf.DUMMYFUNCTION("IMPORTRANGE(""https://docs.google.com/spreadsheets/d/1Yj_ptqi66GCucihVvJfMjLAmec39IyEx_6qawtMGysU/edit?usp=sharing"",""สบก!M22"")"),709000)</f>
        <v>709000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IFERROR(__xludf.DUMMYFUNCTION("IMPORTRANGE(""https://docs.google.com/spreadsheets/d/1Yj_ptqi66GCucihVvJfMjLAmec39IyEx_6qawtMGysU/edit?usp=sharing"",""สบก!N22"")"),0)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IFERROR(__xludf.DUMMYFUNCTION("IMPORTRANGE(""https://docs.google.com/spreadsheets/d/1Yj_ptqi66GCucihVvJfMjLAmec39IyEx_6qawtMGysU/edit?usp=sharing"",""สบก!O22"")"),176000)</f>
        <v>176000</v>
      </c>
      <c r="M49" s="52">
        <f ca="1">L49</f>
        <v>176000</v>
      </c>
      <c r="N49" s="52">
        <f ca="1">IFERROR(__xludf.DUMMYFUNCTION("IMPORTRANGE(""https://docs.google.com/spreadsheets/d/1Yj_ptqi66GCucihVvJfMjLAmec39IyEx_6qawtMGysU/edit?usp=sharing"",""สบก!S22"")"),176000)</f>
        <v>176000</v>
      </c>
      <c r="O49" s="52">
        <f ca="1">IF(L49&gt;0,N49*100/L49,0)</f>
        <v>100</v>
      </c>
      <c r="P49" s="52">
        <f ca="1">IF(M49&gt;0,N49*100/M49,0)</f>
        <v>100</v>
      </c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900000</v>
      </c>
      <c r="M53" s="123">
        <f t="shared" ca="1" si="39"/>
        <v>682230</v>
      </c>
      <c r="N53" s="123">
        <f t="shared" ca="1" si="39"/>
        <v>508408</v>
      </c>
      <c r="O53" s="122">
        <f t="shared" ref="O53:O55" ca="1" si="40">IF(L53&gt;0,N53*100/L53,0)</f>
        <v>56.489777777777775</v>
      </c>
      <c r="P53" s="122">
        <f t="shared" ref="P53:P55" ca="1" si="41">IF(M53&gt;0,N53*100/M53,0)</f>
        <v>74.521495683273969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900000</v>
      </c>
      <c r="M55" s="123">
        <f t="shared" ca="1" si="43"/>
        <v>682230</v>
      </c>
      <c r="N55" s="123">
        <f t="shared" ca="1" si="43"/>
        <v>508408</v>
      </c>
      <c r="O55" s="122">
        <f t="shared" ca="1" si="40"/>
        <v>56.489777777777775</v>
      </c>
      <c r="P55" s="122">
        <f t="shared" ca="1" si="41"/>
        <v>74.521495683273969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900000</v>
      </c>
      <c r="M57" s="52">
        <f ca="1">IFERROR(__xludf.DUMMYFUNCTION("IMPORTRANGE(""https://docs.google.com/spreadsheets/d/1Yj_ptqi66GCucihVvJfMjLAmec39IyEx_6qawtMGysU/edit?usp=sharing"",""สบก!Z22"")"),682230)</f>
        <v>682230</v>
      </c>
      <c r="N57" s="52">
        <f ca="1">IFERROR(__xludf.DUMMYFUNCTION("IMPORTRANGE(""https://docs.google.com/spreadsheets/d/1Yj_ptqi66GCucihVvJfMjLAmec39IyEx_6qawtMGysU/edit?usp=sharing"",""สบก!AA22"")"),508408)</f>
        <v>508408</v>
      </c>
      <c r="O57" s="41">
        <f ca="1">IF(L57&gt;0,N57*100/L57,0)</f>
        <v>56.489777777777775</v>
      </c>
      <c r="P57" s="41">
        <f ca="1">IF(M57&gt;0,N57*100/M57,0)</f>
        <v>74.521495683273969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IFERROR(__xludf.DUMMYFUNCTION("IMPORTRANGE(""https://docs.google.com/spreadsheets/d/1Yj_ptqi66GCucihVvJfMjLAmec39IyEx_6qawtMGysU/edit?usp=sharing"",""สบก!V22"")"),900000)</f>
        <v>900000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IFERROR(__xludf.DUMMYFUNCTION("IMPORTRANGE(""https://docs.google.com/spreadsheets/d/1Yj_ptqi66GCucihVvJfMjLAmec39IyEx_6qawtMGysU/edit?usp=sharing"",""สบก!W22"")"),0)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IFERROR(__xludf.DUMMYFUNCTION("IMPORTRANGE(""https://docs.google.com/spreadsheets/d/1Yj_ptqi66GCucihVvJfMjLAmec39IyEx_6qawtMGysU/edit?usp=sharing"",""สบก!X22"")"),0)</f>
        <v>0</v>
      </c>
      <c r="M61" s="52"/>
      <c r="N61" s="52">
        <f ca="1">IFERROR(__xludf.DUMMYFUNCTION("IMPORTRANGE(""https://docs.google.com/spreadsheets/d/1Yj_ptqi66GCucihVvJfMjLAmec39IyEx_6qawtMGysU/edit?usp=sharing"",""สบก!AB22"")"),0)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IFERROR(__xludf.DUMMYFUNCTION("IMPORTRANGE(""https://docs.google.com/spreadsheets/d/11923uPwbBZFjjGgGUA6NLw09EwE0CqkOc4q9oUmW1yo/edit?usp=sharing"",""เชียงใหม่!I9"")"),1)</f>
        <v>1</v>
      </c>
      <c r="J64" s="144">
        <f ca="1">IFERROR(__xludf.DUMMYFUNCTION("IMPORTRANGE(""https://docs.google.com/spreadsheets/d/11923uPwbBZFjjGgGUA6NLw09EwE0CqkOc4q9oUmW1yo/edit?usp=sharing"",""เชียงใหม่!J9"")"),1)</f>
        <v>1</v>
      </c>
      <c r="K64" s="145">
        <f t="shared" ref="K64:K65" ca="1" si="44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IFERROR(__xludf.DUMMYFUNCTION("IMPORTRANGE(""https://docs.google.com/spreadsheets/d/11923uPwbBZFjjGgGUA6NLw09EwE0CqkOc4q9oUmW1yo/edit?usp=sharing"",""เชียงใหม่!I10"")"),50)</f>
        <v>50</v>
      </c>
      <c r="J65" s="144">
        <f ca="1">IFERROR(__xludf.DUMMYFUNCTION("IMPORTRANGE(""https://docs.google.com/spreadsheets/d/11923uPwbBZFjjGgGUA6NLw09EwE0CqkOc4q9oUmW1yo/edit?usp=sharing"",""เชียงใหม่!J10"")"),50)</f>
        <v>50</v>
      </c>
      <c r="K65" s="145">
        <f t="shared" ca="1" si="44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486000</v>
      </c>
      <c r="M66" s="154">
        <f t="shared" ca="1" si="45"/>
        <v>413620</v>
      </c>
      <c r="N66" s="154">
        <f t="shared" ca="1" si="45"/>
        <v>265120.27</v>
      </c>
      <c r="O66" s="153">
        <f t="shared" ref="O66:O68" ca="1" si="46">IF(L66&gt;0,N66*100/L66,0)</f>
        <v>54.551495884773665</v>
      </c>
      <c r="P66" s="153">
        <f t="shared" ref="P66:P68" ca="1" si="47">IF(M66&gt;0,N66*100/M66,0)</f>
        <v>64.097546056767086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486000</v>
      </c>
      <c r="M68" s="90">
        <f t="shared" ca="1" si="49"/>
        <v>413620</v>
      </c>
      <c r="N68" s="90">
        <f t="shared" ca="1" si="49"/>
        <v>265120.27</v>
      </c>
      <c r="O68" s="158">
        <f t="shared" ca="1" si="46"/>
        <v>54.551495884773665</v>
      </c>
      <c r="P68" s="158">
        <f t="shared" ca="1" si="47"/>
        <v>64.097546056767086</v>
      </c>
    </row>
    <row r="69" spans="1:16" ht="21.75" customHeight="1">
      <c r="A69" s="159"/>
      <c r="B69" s="160"/>
      <c r="C69" s="160" t="s">
        <v>16</v>
      </c>
      <c r="D69" s="36" t="s">
        <v>20</v>
      </c>
      <c r="E69" s="161"/>
      <c r="F69" s="161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486000</v>
      </c>
      <c r="M70" s="169">
        <f ca="1">IFERROR(__xludf.DUMMYFUNCTION("IMPORTRANGE(""https://docs.google.com/spreadsheets/d/1Yj_ptqi66GCucihVvJfMjLAmec39IyEx_6qawtMGysU/edit?usp=sharing"",""สบก!AI22"")"),413620)</f>
        <v>413620</v>
      </c>
      <c r="N70" s="170">
        <f ca="1">IFERROR(__xludf.DUMMYFUNCTION("IMPORTRANGE(""https://docs.google.com/spreadsheets/d/1Yj_ptqi66GCucihVvJfMjLAmec39IyEx_6qawtMGysU/edit?usp=sharing"",""สบก!AJ22"")"),265120.27)</f>
        <v>265120.27</v>
      </c>
      <c r="O70" s="170">
        <f ca="1">IF(L70&gt;0,N70*100/L70,0)</f>
        <v>54.551495884773665</v>
      </c>
      <c r="P70" s="170">
        <f ca="1">IF(M70&gt;0,N70*100/M70,0)</f>
        <v>64.097546056767086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IFERROR(__xludf.DUMMYFUNCTION("IMPORTRANGE(""https://docs.google.com/spreadsheets/d/1Yj_ptqi66GCucihVvJfMjLAmec39IyEx_6qawtMGysU/edit?usp=sharing"",""สบก!AE22"")"),0)</f>
        <v>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IFERROR(__xludf.DUMMYFUNCTION("IMPORTRANGE(""https://docs.google.com/spreadsheets/d/1Yj_ptqi66GCucihVvJfMjLAmec39IyEx_6qawtMGysU/edit?usp=sharing"",""สบก!AF22"")"),486000)</f>
        <v>486000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IFERROR(__xludf.DUMMYFUNCTION("IMPORTRANGE(""https://docs.google.com/spreadsheets/d/1Yj_ptqi66GCucihVvJfMjLAmec39IyEx_6qawtMGysU/edit?usp=sharing"",""สบก!AG22"")"),0)</f>
        <v>0</v>
      </c>
      <c r="M74" s="52"/>
      <c r="N74" s="52">
        <f ca="1">IFERROR(__xludf.DUMMYFUNCTION("IMPORTRANGE(""https://docs.google.com/spreadsheets/d/1Yj_ptqi66GCucihVvJfMjLAmec39IyEx_6qawtMGysU/edit?usp=sharing"",""สบก!AK22"")"),0)</f>
        <v>0</v>
      </c>
      <c r="O74" s="52">
        <f ca="1">IF(L74&gt;0,N74*100/L74,0)</f>
        <v>0</v>
      </c>
      <c r="P74" s="52"/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IFERROR(__xludf.DUMMYFUNCTION("IMPORTRANGE(""https://docs.google.com/spreadsheets/d/11923uPwbBZFjjGgGUA6NLw09EwE0CqkOc4q9oUmW1yo/edit?usp=sharing"",""เชียงใหม่!J16"")"),0)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IFERROR(__xludf.DUMMYFUNCTION("IMPORTRANGE(""https://docs.google.com/spreadsheets/d/11923uPwbBZFjjGgGUA6NLw09EwE0CqkOc4q9oUmW1yo/edit?usp=sharing"",""เชียงใหม่!J17"")"),1)</f>
        <v>1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IFERROR(__xludf.DUMMYFUNCTION("IMPORTRANGE(""https://docs.google.com/spreadsheets/d/11923uPwbBZFjjGgGUA6NLw09EwE0CqkOc4q9oUmW1yo/edit?usp=sharing"",""เชียงใหม่!J18"")"),1)</f>
        <v>1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IFERROR(__xludf.DUMMYFUNCTION("IMPORTRANGE(""https://docs.google.com/spreadsheets/d/11923uPwbBZFjjGgGUA6NLw09EwE0CqkOc4q9oUmW1yo/edit?usp=sharing"",""เชียงใหม่!J19"")"),1)</f>
        <v>1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IFERROR(__xludf.DUMMYFUNCTION("IMPORTRANGE(""https://docs.google.com/spreadsheets/d/11923uPwbBZFjjGgGUA6NLw09EwE0CqkOc4q9oUmW1yo/edit?usp=sharing"",""เชียงใหม่!I20"")"),1)</f>
        <v>1</v>
      </c>
      <c r="J80" s="202">
        <f ca="1">IFERROR(__xludf.DUMMYFUNCTION("IMPORTRANGE(""https://docs.google.com/spreadsheets/d/11923uPwbBZFjjGgGUA6NLw09EwE0CqkOc4q9oUmW1yo/edit?usp=sharing"",""เชียงใหม่!J20"")"),1)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IFERROR(__xludf.DUMMYFUNCTION("IMPORTRANGE(""https://docs.google.com/spreadsheets/d/11923uPwbBZFjjGgGUA6NLw09EwE0CqkOc4q9oUmW1yo/edit?usp=sharing"",""เชียงใหม่!I21"")"),50)</f>
        <v>50</v>
      </c>
      <c r="J81" s="202">
        <f ca="1">IFERROR(__xludf.DUMMYFUNCTION("IMPORTRANGE(""https://docs.google.com/spreadsheets/d/11923uPwbBZFjjGgGUA6NLw09EwE0CqkOc4q9oUmW1yo/edit?usp=sharing"",""เชียงใหม่!J21"")"),50)</f>
        <v>50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IFERROR(__xludf.DUMMYFUNCTION("IMPORTRANGE(""https://docs.google.com/spreadsheets/d/11923uPwbBZFjjGgGUA6NLw09EwE0CqkOc4q9oUmW1yo/edit?usp=sharing"",""เชียงใหม่!I22"")"),0)</f>
        <v>0</v>
      </c>
      <c r="J82" s="205">
        <f ca="1">IFERROR(__xludf.DUMMYFUNCTION("IMPORTRANGE(""https://docs.google.com/spreadsheets/d/11923uPwbBZFjjGgGUA6NLw09EwE0CqkOc4q9oUmW1yo/edit?usp=sharing"",""เชียงใหม่!J22"")"),0)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IFERROR(__xludf.DUMMYFUNCTION("IMPORTRANGE(""https://docs.google.com/spreadsheets/d/11923uPwbBZFjjGgGUA6NLw09EwE0CqkOc4q9oUmW1yo/edit?usp=sharing"",""เชียงใหม่!I23"")"),0)</f>
        <v>0</v>
      </c>
      <c r="J83" s="205">
        <f ca="1">IFERROR(__xludf.DUMMYFUNCTION("IMPORTRANGE(""https://docs.google.com/spreadsheets/d/11923uPwbBZFjjGgGUA6NLw09EwE0CqkOc4q9oUmW1yo/edit?usp=sharing"",""เชียงใหม่!J23"")"),0)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IFERROR(__xludf.DUMMYFUNCTION("IMPORTRANGE(""https://docs.google.com/spreadsheets/d/11923uPwbBZFjjGgGUA6NLw09EwE0CqkOc4q9oUmW1yo/edit?usp=sharing"",""เชียงใหม่!I24"")"),0)</f>
        <v>0</v>
      </c>
      <c r="J84" s="190">
        <f ca="1">IFERROR(__xludf.DUMMYFUNCTION("IMPORTRANGE(""https://docs.google.com/spreadsheets/d/11923uPwbBZFjjGgGUA6NLw09EwE0CqkOc4q9oUmW1yo/edit?usp=sharing"",""เชียงใหม่!J24"")"),0)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IFERROR(__xludf.DUMMYFUNCTION("IMPORTRANGE(""https://docs.google.com/spreadsheets/d/11923uPwbBZFjjGgGUA6NLw09EwE0CqkOc4q9oUmW1yo/edit?usp=sharing"",""เชียงใหม่!I25"")"),0)</f>
        <v>0</v>
      </c>
      <c r="J85" s="190">
        <f ca="1">IFERROR(__xludf.DUMMYFUNCTION("IMPORTRANGE(""https://docs.google.com/spreadsheets/d/11923uPwbBZFjjGgGUA6NLw09EwE0CqkOc4q9oUmW1yo/edit?usp=sharing"",""เชียงใหม่!J25"")"),0)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IFERROR(__xludf.DUMMYFUNCTION("IMPORTRANGE(""https://docs.google.com/spreadsheets/d/11923uPwbBZFjjGgGUA6NLw09EwE0CqkOc4q9oUmW1yo/edit?usp=sharing"",""เชียงใหม่!I26"")"),1)</f>
        <v>1</v>
      </c>
      <c r="J86" s="205">
        <f ca="1">IFERROR(__xludf.DUMMYFUNCTION("IMPORTRANGE(""https://docs.google.com/spreadsheets/d/11923uPwbBZFjjGgGUA6NLw09EwE0CqkOc4q9oUmW1yo/edit?usp=sharing"",""เชียงใหม่!J26"")"),1)</f>
        <v>1</v>
      </c>
      <c r="K86" s="165">
        <f t="shared" ca="1" si="50"/>
        <v>100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IFERROR(__xludf.DUMMYFUNCTION("IMPORTRANGE(""https://docs.google.com/spreadsheets/d/11923uPwbBZFjjGgGUA6NLw09EwE0CqkOc4q9oUmW1yo/edit?usp=sharing"",""เชียงใหม่!I27"")"),50)</f>
        <v>50</v>
      </c>
      <c r="J87" s="205">
        <f ca="1">IFERROR(__xludf.DUMMYFUNCTION("IMPORTRANGE(""https://docs.google.com/spreadsheets/d/11923uPwbBZFjjGgGUA6NLw09EwE0CqkOc4q9oUmW1yo/edit?usp=sharing"",""เชียงใหม่!J27"")"),50)</f>
        <v>50</v>
      </c>
      <c r="K87" s="165">
        <f t="shared" ca="1" si="50"/>
        <v>100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IFERROR(__xludf.DUMMYFUNCTION("IMPORTRANGE(""https://docs.google.com/spreadsheets/d/11923uPwbBZFjjGgGUA6NLw09EwE0CqkOc4q9oUmW1yo/edit?usp=sharing"",""เชียงใหม่!I28"")"),0)</f>
        <v>0</v>
      </c>
      <c r="J88" s="205">
        <f ca="1">IFERROR(__xludf.DUMMYFUNCTION("IMPORTRANGE(""https://docs.google.com/spreadsheets/d/11923uPwbBZFjjGgGUA6NLw09EwE0CqkOc4q9oUmW1yo/edit?usp=sharing"",""เชียงใหม่!J28"")"),0)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IFERROR(__xludf.DUMMYFUNCTION("IMPORTRANGE(""https://docs.google.com/spreadsheets/d/11923uPwbBZFjjGgGUA6NLw09EwE0CqkOc4q9oUmW1yo/edit?usp=sharing"",""เชียงใหม่!J29"")"),0)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IFERROR(__xludf.DUMMYFUNCTION("IMPORTRANGE(""https://docs.google.com/spreadsheets/d/11923uPwbBZFjjGgGUA6NLw09EwE0CqkOc4q9oUmW1yo/edit?usp=sharing"",""เชียงใหม่!J30"")"),0)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IFERROR(__xludf.DUMMYFUNCTION("IMPORTRANGE(""https://docs.google.com/spreadsheets/d/11923uPwbBZFjjGgGUA6NLw09EwE0CqkOc4q9oUmW1yo/edit?usp=sharing"",""เชียงใหม่!I32"")"),4)</f>
        <v>4</v>
      </c>
      <c r="J92" s="144">
        <f ca="1">IFERROR(__xludf.DUMMYFUNCTION("IMPORTRANGE(""https://docs.google.com/spreadsheets/d/11923uPwbBZFjjGgGUA6NLw09EwE0CqkOc4q9oUmW1yo/edit?usp=sharing"",""เชียงใหม่!J32"")"),4)</f>
        <v>4</v>
      </c>
      <c r="K92" s="145">
        <f t="shared" ref="K92:K93" ca="1" si="51">IF(I92&gt;0,J92*100/I92,0)</f>
        <v>100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IFERROR(__xludf.DUMMYFUNCTION("IMPORTRANGE(""https://docs.google.com/spreadsheets/d/11923uPwbBZFjjGgGUA6NLw09EwE0CqkOc4q9oUmW1yo/edit?usp=sharing"",""เชียงใหม่!I33"")"),1)</f>
        <v>1</v>
      </c>
      <c r="J93" s="144">
        <f ca="1">IFERROR(__xludf.DUMMYFUNCTION("IMPORTRANGE(""https://docs.google.com/spreadsheets/d/11923uPwbBZFjjGgGUA6NLw09EwE0CqkOc4q9oUmW1yo/edit?usp=sharing"",""เชียงใหม่!J33"")"),1)</f>
        <v>1</v>
      </c>
      <c r="K93" s="145">
        <f t="shared" ca="1" si="51"/>
        <v>100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214500</v>
      </c>
      <c r="M94" s="154">
        <f t="shared" ca="1" si="52"/>
        <v>194455</v>
      </c>
      <c r="N94" s="154">
        <f t="shared" ca="1" si="52"/>
        <v>124420</v>
      </c>
      <c r="O94" s="153">
        <f t="shared" ref="O94:O96" ca="1" si="53">IF(L94&gt;0,N94*100/L94,0)</f>
        <v>58.004662004662002</v>
      </c>
      <c r="P94" s="153">
        <f t="shared" ref="P94:P96" ca="1" si="54">IF(M94&gt;0,N94*100/M94,0)</f>
        <v>63.983955156720064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214500</v>
      </c>
      <c r="M96" s="90">
        <f t="shared" ca="1" si="56"/>
        <v>194455</v>
      </c>
      <c r="N96" s="90">
        <f t="shared" ca="1" si="56"/>
        <v>124420</v>
      </c>
      <c r="O96" s="158">
        <f t="shared" ca="1" si="53"/>
        <v>58.004662004662002</v>
      </c>
      <c r="P96" s="158">
        <f t="shared" ca="1" si="54"/>
        <v>63.983955156720064</v>
      </c>
    </row>
    <row r="97" spans="1:16" ht="21.75" customHeight="1">
      <c r="A97" s="159"/>
      <c r="B97" s="160"/>
      <c r="C97" s="160" t="s">
        <v>16</v>
      </c>
      <c r="D97" s="36" t="s">
        <v>20</v>
      </c>
      <c r="E97" s="161"/>
      <c r="F97" s="161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IFERROR(__xludf.DUMMYFUNCTION("IMPORTRANGE(""https://docs.google.com/spreadsheets/d/1Yj_ptqi66GCucihVvJfMjLAmec39IyEx_6qawtMGysU/edit?usp=sharing"",""สบก!AR22"")"),102055)</f>
        <v>102055</v>
      </c>
      <c r="N98" s="170">
        <f ca="1">IFERROR(__xludf.DUMMYFUNCTION("IMPORTRANGE(""https://docs.google.com/spreadsheets/d/1Yj_ptqi66GCucihVvJfMjLAmec39IyEx_6qawtMGysU/edit?usp=sharing"",""สบก!AS22"")"),32020)</f>
        <v>32020</v>
      </c>
      <c r="O98" s="170">
        <f ca="1">IF(L98&gt;0,N98*100/L98,0)</f>
        <v>26.224406224406223</v>
      </c>
      <c r="P98" s="170">
        <f ca="1">IF(M98&gt;0,N98*100/M98,0)</f>
        <v>31.375238841800989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IFERROR(__xludf.DUMMYFUNCTION("IMPORTRANGE(""https://docs.google.com/spreadsheets/d/1Yj_ptqi66GCucihVvJfMjLAmec39IyEx_6qawtMGysU/edit?usp=sharing"",""สบก!AN22"")"),0)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IFERROR(__xludf.DUMMYFUNCTION("IMPORTRANGE(""https://docs.google.com/spreadsheets/d/1Yj_ptqi66GCucihVvJfMjLAmec39IyEx_6qawtMGysU/edit?usp=sharing"",""สบก!AO22"")"),122100)</f>
        <v>122100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IFERROR(__xludf.DUMMYFUNCTION("IMPORTRANGE(""https://docs.google.com/spreadsheets/d/1Yj_ptqi66GCucihVvJfMjLAmec39IyEx_6qawtMGysU/edit?usp=sharing"",""สบก!AP22"")"),92400)</f>
        <v>92400</v>
      </c>
      <c r="M102" s="52">
        <f ca="1">L102</f>
        <v>92400</v>
      </c>
      <c r="N102" s="52">
        <f ca="1">IFERROR(__xludf.DUMMYFUNCTION("IMPORTRANGE(""https://docs.google.com/spreadsheets/d/1Yj_ptqi66GCucihVvJfMjLAmec39IyEx_6qawtMGysU/edit?usp=sharing"",""สบก!AT22"")"),92400)</f>
        <v>92400</v>
      </c>
      <c r="O102" s="52">
        <f ca="1">IF(L102&gt;0,N102*100/L102,0)</f>
        <v>100</v>
      </c>
      <c r="P102" s="52">
        <f ca="1">IF(M102&gt;0,N102*100/M102,0)</f>
        <v>100</v>
      </c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IFERROR(__xludf.DUMMYFUNCTION("IMPORTRANGE(""https://docs.google.com/spreadsheets/d/11923uPwbBZFjjGgGUA6NLw09EwE0CqkOc4q9oUmW1yo/edit?usp=sharing"",""เชียงใหม่!J39"")"),0)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IFERROR(__xludf.DUMMYFUNCTION("IMPORTRANGE(""https://docs.google.com/spreadsheets/d/11923uPwbBZFjjGgGUA6NLw09EwE0CqkOc4q9oUmW1yo/edit?usp=sharing"",""เชียงใหม่!J40"")"),1)</f>
        <v>1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IFERROR(__xludf.DUMMYFUNCTION("IMPORTRANGE(""https://docs.google.com/spreadsheets/d/11923uPwbBZFjjGgGUA6NLw09EwE0CqkOc4q9oUmW1yo/edit?usp=sharing"",""เชียงใหม่!J41"")"),1)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IFERROR(__xludf.DUMMYFUNCTION("IMPORTRANGE(""https://docs.google.com/spreadsheets/d/11923uPwbBZFjjGgGUA6NLw09EwE0CqkOc4q9oUmW1yo/edit?usp=sharing"",""เชียงใหม่!J42"")"),1)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IFERROR(__xludf.DUMMYFUNCTION("IMPORTRANGE(""https://docs.google.com/spreadsheets/d/11923uPwbBZFjjGgGUA6NLw09EwE0CqkOc4q9oUmW1yo/edit?usp=sharing"",""เชียงใหม่!I43"")"),1)</f>
        <v>1</v>
      </c>
      <c r="J108" s="205">
        <f ca="1">IFERROR(__xludf.DUMMYFUNCTION("IMPORTRANGE(""https://docs.google.com/spreadsheets/d/11923uPwbBZFjjGgGUA6NLw09EwE0CqkOc4q9oUmW1yo/edit?usp=sharing"",""เชียงใหม่!J43"")"),1)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IFERROR(__xludf.DUMMYFUNCTION("IMPORTRANGE(""https://docs.google.com/spreadsheets/d/11923uPwbBZFjjGgGUA6NLw09EwE0CqkOc4q9oUmW1yo/edit?usp=sharing"",""เชียงใหม่!I44"")"),4)</f>
        <v>4</v>
      </c>
      <c r="J109" s="205">
        <f ca="1">IFERROR(__xludf.DUMMYFUNCTION("IMPORTRANGE(""https://docs.google.com/spreadsheets/d/11923uPwbBZFjjGgGUA6NLw09EwE0CqkOc4q9oUmW1yo/edit?usp=sharing"",""เชียงใหม่!J44"")"),4)</f>
        <v>4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IFERROR(__xludf.DUMMYFUNCTION("IMPORTRANGE(""https://docs.google.com/spreadsheets/d/11923uPwbBZFjjGgGUA6NLw09EwE0CqkOc4q9oUmW1yo/edit?usp=sharing"",""เชียงใหม่!I45"")"),4)</f>
        <v>4</v>
      </c>
      <c r="J110" s="205">
        <f ca="1">IFERROR(__xludf.DUMMYFUNCTION("IMPORTRANGE(""https://docs.google.com/spreadsheets/d/11923uPwbBZFjjGgGUA6NLw09EwE0CqkOc4q9oUmW1yo/edit?usp=sharing"",""เชียงใหม่!J45"")"),4)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IFERROR(__xludf.DUMMYFUNCTION("IMPORTRANGE(""https://docs.google.com/spreadsheets/d/11923uPwbBZFjjGgGUA6NLw09EwE0CqkOc4q9oUmW1yo/edit?usp=sharing"",""เชียงใหม่!I46"")"),4)</f>
        <v>4</v>
      </c>
      <c r="J111" s="205">
        <f ca="1">IFERROR(__xludf.DUMMYFUNCTION("IMPORTRANGE(""https://docs.google.com/spreadsheets/d/11923uPwbBZFjjGgGUA6NLw09EwE0CqkOc4q9oUmW1yo/edit?usp=sharing"",""เชียงใหม่!J46"")"),4)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IFERROR(__xludf.DUMMYFUNCTION("IMPORTRANGE(""https://docs.google.com/spreadsheets/d/11923uPwbBZFjjGgGUA6NLw09EwE0CqkOc4q9oUmW1yo/edit?usp=sharing"",""เชียงใหม่!I47"")"),4)</f>
        <v>4</v>
      </c>
      <c r="J112" s="205">
        <f ca="1">IFERROR(__xludf.DUMMYFUNCTION("IMPORTRANGE(""https://docs.google.com/spreadsheets/d/11923uPwbBZFjjGgGUA6NLw09EwE0CqkOc4q9oUmW1yo/edit?usp=sharing"",""เชียงใหม่!J47"")"),4)</f>
        <v>4</v>
      </c>
      <c r="K112" s="225">
        <f t="shared" ca="1" si="57"/>
        <v>100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IFERROR(__xludf.DUMMYFUNCTION("IMPORTRANGE(""https://docs.google.com/spreadsheets/d/11923uPwbBZFjjGgGUA6NLw09EwE0CqkOc4q9oUmW1yo/edit?usp=sharing"",""เชียงใหม่!I48"")"),1)</f>
        <v>1</v>
      </c>
      <c r="J113" s="205">
        <f ca="1">IFERROR(__xludf.DUMMYFUNCTION("IMPORTRANGE(""https://docs.google.com/spreadsheets/d/11923uPwbBZFjjGgGUA6NLw09EwE0CqkOc4q9oUmW1yo/edit?usp=sharing"",""เชียงใหม่!J48"")"),1)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IFERROR(__xludf.DUMMYFUNCTION("IMPORTRANGE(""https://docs.google.com/spreadsheets/d/11923uPwbBZFjjGgGUA6NLw09EwE0CqkOc4q9oUmW1yo/edit?usp=sharing"",""เชียงใหม่!J49"")"),0)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IFERROR(__xludf.DUMMYFUNCTION("IMPORTRANGE(""https://docs.google.com/spreadsheets/d/11923uPwbBZFjjGgGUA6NLw09EwE0CqkOc4q9oUmW1yo/edit?usp=sharing"",""เชียงใหม่!J50"")"),0)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IFERROR(__xludf.DUMMYFUNCTION("IMPORTRANGE(""https://docs.google.com/spreadsheets/d/11923uPwbBZFjjGgGUA6NLw09EwE0CqkOc4q9oUmW1yo/edit?usp=sharing"",""เชียงใหม่!I52"")"),0)</f>
        <v>0</v>
      </c>
      <c r="J117" s="144">
        <f ca="1">IFERROR(__xludf.DUMMYFUNCTION("IMPORTRANGE(""https://docs.google.com/spreadsheets/d/11923uPwbBZFjjGgGUA6NLw09EwE0CqkOc4q9oUmW1yo/edit?usp=sharing"",""เชียงใหม่!J52"")"),0)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0</v>
      </c>
      <c r="M120" s="90">
        <f t="shared" ca="1" si="62"/>
        <v>0</v>
      </c>
      <c r="N120" s="90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59"/>
      <c r="B121" s="160"/>
      <c r="C121" s="160" t="s">
        <v>16</v>
      </c>
      <c r="D121" s="36" t="s">
        <v>20</v>
      </c>
      <c r="E121" s="161"/>
      <c r="F121" s="161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IFERROR(__xludf.DUMMYFUNCTION("IMPORTRANGE(""https://docs.google.com/spreadsheets/d/1Yj_ptqi66GCucihVvJfMjLAmec39IyEx_6qawtMGysU/edit?usp=sharing"",""สบก!BA22"")"),0)</f>
        <v>0</v>
      </c>
      <c r="N122" s="170">
        <f ca="1">IFERROR(__xludf.DUMMYFUNCTION("IMPORTRANGE(""https://docs.google.com/spreadsheets/d/1Yj_ptqi66GCucihVvJfMjLAmec39IyEx_6qawtMGysU/edit?usp=sharing"",""สบก!BB22"")"),0)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IFERROR(__xludf.DUMMYFUNCTION("IMPORTRANGE(""https://docs.google.com/spreadsheets/d/1Yj_ptqi66GCucihVvJfMjLAmec39IyEx_6qawtMGysU/edit?usp=sharing"",""สบก!AW22"")"),0)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IFERROR(__xludf.DUMMYFUNCTION("IMPORTRANGE(""https://docs.google.com/spreadsheets/d/1Yj_ptqi66GCucihVvJfMjLAmec39IyEx_6qawtMGysU/edit?usp=sharing"",""สบก!AX22"")"),0)</f>
        <v>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IFERROR(__xludf.DUMMYFUNCTION("IMPORTRANGE(""https://docs.google.com/spreadsheets/d/1Yj_ptqi66GCucihVvJfMjLAmec39IyEx_6qawtMGysU/edit?usp=sharing"",""สบก!AY22"")"),0)</f>
        <v>0</v>
      </c>
      <c r="M126" s="52"/>
      <c r="N126" s="52">
        <f ca="1">IFERROR(__xludf.DUMMYFUNCTION("IMPORTRANGE(""https://docs.google.com/spreadsheets/d/1Yj_ptqi66GCucihVvJfMjLAmec39IyEx_6qawtMGysU/edit?usp=sharing"",""สบก!BC22"")"),0)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265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IFERROR(__xludf.DUMMYFUNCTION("IMPORTRANGE(""https://docs.google.com/spreadsheets/d/11923uPwbBZFjjGgGUA6NLw09EwE0CqkOc4q9oUmW1yo/edit?usp=sharing"",""เชียงใหม่!J58"")"),0)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IFERROR(__xludf.DUMMYFUNCTION("IMPORTRANGE(""https://docs.google.com/spreadsheets/d/11923uPwbBZFjjGgGUA6NLw09EwE0CqkOc4q9oUmW1yo/edit?usp=sharing"",""เชียงใหม่!J59"")"),0)</f>
        <v>0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IFERROR(__xludf.DUMMYFUNCTION("IMPORTRANGE(""https://docs.google.com/spreadsheets/d/11923uPwbBZFjjGgGUA6NLw09EwE0CqkOc4q9oUmW1yo/edit?usp=sharing"",""เชียงใหม่!J60"")"),0)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IFERROR(__xludf.DUMMYFUNCTION("IMPORTRANGE(""https://docs.google.com/spreadsheets/d/11923uPwbBZFjjGgGUA6NLw09EwE0CqkOc4q9oUmW1yo/edit?usp=sharing"",""เชียงใหม่!J61"")"),0)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IFERROR(__xludf.DUMMYFUNCTION("IMPORTRANGE(""https://docs.google.com/spreadsheets/d/11923uPwbBZFjjGgGUA6NLw09EwE0CqkOc4q9oUmW1yo/edit?usp=sharing"",""เชียงใหม่!I62"")"),0)</f>
        <v>0</v>
      </c>
      <c r="J132" s="205">
        <f ca="1">IFERROR(__xludf.DUMMYFUNCTION("IMPORTRANGE(""https://docs.google.com/spreadsheets/d/11923uPwbBZFjjGgGUA6NLw09EwE0CqkOc4q9oUmW1yo/edit?usp=sharing"",""เชียงใหม่!J62"")"),0)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IFERROR(__xludf.DUMMYFUNCTION("IMPORTRANGE(""https://docs.google.com/spreadsheets/d/11923uPwbBZFjjGgGUA6NLw09EwE0CqkOc4q9oUmW1yo/edit?usp=sharing"",""เชียงใหม่!I63"")"),0)</f>
        <v>0</v>
      </c>
      <c r="J133" s="205">
        <f ca="1">IFERROR(__xludf.DUMMYFUNCTION("IMPORTRANGE(""https://docs.google.com/spreadsheets/d/11923uPwbBZFjjGgGUA6NLw09EwE0CqkOc4q9oUmW1yo/edit?usp=sharing"",""เชียงใหม่!J63"")"),0)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IFERROR(__xludf.DUMMYFUNCTION("IMPORTRANGE(""https://docs.google.com/spreadsheets/d/11923uPwbBZFjjGgGUA6NLw09EwE0CqkOc4q9oUmW1yo/edit?usp=sharing"",""เชียงใหม่!J64"")"),0)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IFERROR(__xludf.DUMMYFUNCTION("IMPORTRANGE(""https://docs.google.com/spreadsheets/d/11923uPwbBZFjjGgGUA6NLw09EwE0CqkOc4q9oUmW1yo/edit?usp=sharing"",""เชียงใหม่!J65"")"),0)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IFERROR(__xludf.DUMMYFUNCTION("IMPORTRANGE(""https://docs.google.com/spreadsheets/d/11923uPwbBZFjjGgGUA6NLw09EwE0CqkOc4q9oUmW1yo/edit?usp=sharing"",""เชียงใหม่!I68"")"),100)</f>
        <v>100</v>
      </c>
      <c r="J138" s="268">
        <f ca="1">IFERROR(__xludf.DUMMYFUNCTION("IMPORTRANGE(""https://docs.google.com/spreadsheets/d/11923uPwbBZFjjGgGUA6NLw09EwE0CqkOc4q9oUmW1yo/edit?usp=sharing"",""เชียงใหม่!J68"")"),100)</f>
        <v>100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891700</v>
      </c>
      <c r="M140" s="154">
        <f t="shared" ca="1" si="64"/>
        <v>705175</v>
      </c>
      <c r="N140" s="154">
        <f t="shared" ca="1" si="64"/>
        <v>393153.03</v>
      </c>
      <c r="O140" s="153">
        <f t="shared" ref="O140:O142" ca="1" si="65">IF(L140&gt;0,N140*100/L140,0)</f>
        <v>44.0902803633509</v>
      </c>
      <c r="P140" s="153">
        <f t="shared" ref="P140:P142" ca="1" si="66">IF(M140&gt;0,N140*100/M140,0)</f>
        <v>55.752547949090655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891700</v>
      </c>
      <c r="M142" s="90">
        <f t="shared" ca="1" si="68"/>
        <v>705175</v>
      </c>
      <c r="N142" s="90">
        <f t="shared" ca="1" si="68"/>
        <v>393153.03</v>
      </c>
      <c r="O142" s="158">
        <f t="shared" ca="1" si="65"/>
        <v>44.0902803633509</v>
      </c>
      <c r="P142" s="158">
        <f t="shared" ca="1" si="66"/>
        <v>55.752547949090655</v>
      </c>
    </row>
    <row r="143" spans="1:16" ht="21.75" customHeight="1">
      <c r="A143" s="159"/>
      <c r="B143" s="160"/>
      <c r="C143" s="160" t="s">
        <v>16</v>
      </c>
      <c r="D143" s="36" t="s">
        <v>20</v>
      </c>
      <c r="E143" s="161"/>
      <c r="F143" s="161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891700</v>
      </c>
      <c r="M144" s="169">
        <f ca="1">IFERROR(__xludf.DUMMYFUNCTION("IMPORTRANGE(""https://docs.google.com/spreadsheets/d/1Yj_ptqi66GCucihVvJfMjLAmec39IyEx_6qawtMGysU/edit?usp=sharing"",""สบก!BJ22"")"),705175)</f>
        <v>705175</v>
      </c>
      <c r="N144" s="170">
        <f ca="1">IFERROR(__xludf.DUMMYFUNCTION("IMPORTRANGE(""https://docs.google.com/spreadsheets/d/1Yj_ptqi66GCucihVvJfMjLAmec39IyEx_6qawtMGysU/edit?usp=sharing"",""สบก!BK22"")"),393153.03)</f>
        <v>393153.03</v>
      </c>
      <c r="O144" s="170">
        <f ca="1">IF(L144&gt;0,N144*100/L144,0)</f>
        <v>44.0902803633509</v>
      </c>
      <c r="P144" s="170">
        <f ca="1">IF(M144&gt;0,N144*100/M144,0)</f>
        <v>55.752547949090655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IFERROR(__xludf.DUMMYFUNCTION("IMPORTRANGE(""https://docs.google.com/spreadsheets/d/1Yj_ptqi66GCucihVvJfMjLAmec39IyEx_6qawtMGysU/edit?usp=sharing"",""สบก!BF22"")"),331400)</f>
        <v>331400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IFERROR(__xludf.DUMMYFUNCTION("IMPORTRANGE(""https://docs.google.com/spreadsheets/d/1Yj_ptqi66GCucihVvJfMjLAmec39IyEx_6qawtMGysU/edit?usp=sharing"",""สบก!BG22"")"),560300)</f>
        <v>560300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IFERROR(__xludf.DUMMYFUNCTION("IMPORTRANGE(""https://docs.google.com/spreadsheets/d/1Yj_ptqi66GCucihVvJfMjLAmec39IyEx_6qawtMGysU/edit?usp=sharing"",""สบก!BH22"")"),0)</f>
        <v>0</v>
      </c>
      <c r="M148" s="52"/>
      <c r="N148" s="52">
        <f ca="1">IFERROR(__xludf.DUMMYFUNCTION("IMPORTRANGE(""https://docs.google.com/spreadsheets/d/1Yj_ptqi66GCucihVvJfMjLAmec39IyEx_6qawtMGysU/edit?usp=sharing"",""สบก!BL22"")"),0)</f>
        <v>0</v>
      </c>
      <c r="O148" s="52">
        <f ca="1">IF(L148&gt;0,N148*100/L148,0)</f>
        <v>0</v>
      </c>
      <c r="P148" s="52"/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IFERROR(__xludf.DUMMYFUNCTION("IMPORTRANGE(""https://docs.google.com/spreadsheets/d/11923uPwbBZFjjGgGUA6NLw09EwE0CqkOc4q9oUmW1yo/edit?usp=sharing"",""เชียงใหม่!I74"")"),4)</f>
        <v>4</v>
      </c>
      <c r="J149" s="276">
        <f ca="1">IFERROR(__xludf.DUMMYFUNCTION("IMPORTRANGE(""https://docs.google.com/spreadsheets/d/11923uPwbBZFjjGgGUA6NLw09EwE0CqkOc4q9oUmW1yo/edit?usp=sharing"",""เชียงใหม่!J74"")"),2)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IFERROR(__xludf.DUMMYFUNCTION("IMPORTRANGE(""https://docs.google.com/spreadsheets/d/11923uPwbBZFjjGgGUA6NLw09EwE0CqkOc4q9oUmW1yo/edit?usp=sharing"",""เชียงใหม่!J79"")"),0)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IFERROR(__xludf.DUMMYFUNCTION("IMPORTRANGE(""https://docs.google.com/spreadsheets/d/11923uPwbBZFjjGgGUA6NLw09EwE0CqkOc4q9oUmW1yo/edit?usp=sharing"",""เชียงใหม่!J80"")"),1)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IFERROR(__xludf.DUMMYFUNCTION("IMPORTRANGE(""https://docs.google.com/spreadsheets/d/11923uPwbBZFjjGgGUA6NLw09EwE0CqkOc4q9oUmW1yo/edit?usp=sharing"",""เชียงใหม่!J81"")"),1)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IFERROR(__xludf.DUMMYFUNCTION("IMPORTRANGE(""https://docs.google.com/spreadsheets/d/11923uPwbBZFjjGgGUA6NLw09EwE0CqkOc4q9oUmW1yo/edit?usp=sharing"",""เชียงใหม่!J82"")"),1)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IFERROR(__xludf.DUMMYFUNCTION("IMPORTRANGE(""https://docs.google.com/spreadsheets/d/11923uPwbBZFjjGgGUA6NLw09EwE0CqkOc4q9oUmW1yo/edit?usp=sharing"",""เชียงใหม่!I83"")"),4)</f>
        <v>4</v>
      </c>
      <c r="J158" s="190">
        <f ca="1">IFERROR(__xludf.DUMMYFUNCTION("IMPORTRANGE(""https://docs.google.com/spreadsheets/d/11923uPwbBZFjjGgGUA6NLw09EwE0CqkOc4q9oUmW1yo/edit?usp=sharing"",""เชียงใหม่!J83"")"),2)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IFERROR(__xludf.DUMMYFUNCTION("IMPORTRANGE(""https://docs.google.com/spreadsheets/d/11923uPwbBZFjjGgGUA6NLw09EwE0CqkOc4q9oUmW1yo/edit?usp=sharing"",""เชียงใหม่!J84"")"),53)</f>
        <v>53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IFERROR(__xludf.DUMMYFUNCTION("IMPORTRANGE(""https://docs.google.com/spreadsheets/d/11923uPwbBZFjjGgGUA6NLw09EwE0CqkOc4q9oUmW1yo/edit?usp=sharing"",""เชียงใหม่!J85"")"),53)</f>
        <v>53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IFERROR(__xludf.DUMMYFUNCTION("IMPORTRANGE(""https://docs.google.com/spreadsheets/d/11923uPwbBZFjjGgGUA6NLw09EwE0CqkOc4q9oUmW1yo/edit?usp=sharing"",""เชียงใหม่!J86"")"),0)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IFERROR(__xludf.DUMMYFUNCTION("IMPORTRANGE(""https://docs.google.com/spreadsheets/d/11923uPwbBZFjjGgGUA6NLw09EwE0CqkOc4q9oUmW1yo/edit?usp=sharing"",""เชียงใหม่!J87"")"),0)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IFERROR(__xludf.DUMMYFUNCTION("IMPORTRANGE(""https://docs.google.com/spreadsheets/d/11923uPwbBZFjjGgGUA6NLw09EwE0CqkOc4q9oUmW1yo/edit?usp=sharing"",""เชียงใหม่!J88"")"),0)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IFERROR(__xludf.DUMMYFUNCTION("IMPORTRANGE(""https://docs.google.com/spreadsheets/d/11923uPwbBZFjjGgGUA6NLw09EwE0CqkOc4q9oUmW1yo/edit?usp=sharing"",""เชียงใหม่!I89"")"),2)</f>
        <v>2</v>
      </c>
      <c r="J164" s="285">
        <f ca="1">IFERROR(__xludf.DUMMYFUNCTION("IMPORTRANGE(""https://docs.google.com/spreadsheets/d/11923uPwbBZFjjGgGUA6NLw09EwE0CqkOc4q9oUmW1yo/edit?usp=sharing"",""เชียงใหม่!J89"")"),2)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IFERROR(__xludf.DUMMYFUNCTION("IMPORTRANGE(""https://docs.google.com/spreadsheets/d/11923uPwbBZFjjGgGUA6NLw09EwE0CqkOc4q9oUmW1yo/edit?usp=sharing"",""เชียงใหม่!J94"")"),0)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IFERROR(__xludf.DUMMYFUNCTION("IMPORTRANGE(""https://docs.google.com/spreadsheets/d/11923uPwbBZFjjGgGUA6NLw09EwE0CqkOc4q9oUmW1yo/edit?usp=sharing"",""เชียงใหม่!J95"")"),1)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IFERROR(__xludf.DUMMYFUNCTION("IMPORTRANGE(""https://docs.google.com/spreadsheets/d/11923uPwbBZFjjGgGUA6NLw09EwE0CqkOc4q9oUmW1yo/edit?usp=sharing"",""เชียงใหม่!J96"")"),1)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IFERROR(__xludf.DUMMYFUNCTION("IMPORTRANGE(""https://docs.google.com/spreadsheets/d/11923uPwbBZFjjGgGUA6NLw09EwE0CqkOc4q9oUmW1yo/edit?usp=sharing"",""เชียงใหม่!J97"")"),1)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IFERROR(__xludf.DUMMYFUNCTION("IMPORTRANGE(""https://docs.google.com/spreadsheets/d/11923uPwbBZFjjGgGUA6NLw09EwE0CqkOc4q9oUmW1yo/edit?usp=sharing"",""เชียงใหม่!I98"")"),2)</f>
        <v>2</v>
      </c>
      <c r="J173" s="190">
        <f ca="1">IFERROR(__xludf.DUMMYFUNCTION("IMPORTRANGE(""https://docs.google.com/spreadsheets/d/11923uPwbBZFjjGgGUA6NLw09EwE0CqkOc4q9oUmW1yo/edit?usp=sharing"",""เชียงใหม่!J98"")"),2)</f>
        <v>2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IFERROR(__xludf.DUMMYFUNCTION("IMPORTRANGE(""https://docs.google.com/spreadsheets/d/11923uPwbBZFjjGgGUA6NLw09EwE0CqkOc4q9oUmW1yo/edit?usp=sharing"",""เชียงใหม่!J99"")"),0)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IFERROR(__xludf.DUMMYFUNCTION("IMPORTRANGE(""https://docs.google.com/spreadsheets/d/11923uPwbBZFjjGgGUA6NLw09EwE0CqkOc4q9oUmW1yo/edit?usp=sharing"",""เชียงใหม่!J100"")"),0)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IFERROR(__xludf.DUMMYFUNCTION("IMPORTRANGE(""https://docs.google.com/spreadsheets/d/11923uPwbBZFjjGgGUA6NLw09EwE0CqkOc4q9oUmW1yo/edit?usp=sharing"",""เชียงใหม่!I101"")"),1)</f>
        <v>1</v>
      </c>
      <c r="J176" s="285">
        <f ca="1">IFERROR(__xludf.DUMMYFUNCTION("IMPORTRANGE(""https://docs.google.com/spreadsheets/d/11923uPwbBZFjjGgGUA6NLw09EwE0CqkOc4q9oUmW1yo/edit?usp=sharing"",""เชียงใหม่!J101"")"),1)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IFERROR(__xludf.DUMMYFUNCTION("IMPORTRANGE(""https://docs.google.com/spreadsheets/d/11923uPwbBZFjjGgGUA6NLw09EwE0CqkOc4q9oUmW1yo/edit?usp=sharing"",""เชียงใหม่!J106"")"),0)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IFERROR(__xludf.DUMMYFUNCTION("IMPORTRANGE(""https://docs.google.com/spreadsheets/d/11923uPwbBZFjjGgGUA6NLw09EwE0CqkOc4q9oUmW1yo/edit?usp=sharing"",""เชียงใหม่!J107"")"),1)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IFERROR(__xludf.DUMMYFUNCTION("IMPORTRANGE(""https://docs.google.com/spreadsheets/d/11923uPwbBZFjjGgGUA6NLw09EwE0CqkOc4q9oUmW1yo/edit?usp=sharing"",""เชียงใหม่!J108"")"),1)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IFERROR(__xludf.DUMMYFUNCTION("IMPORTRANGE(""https://docs.google.com/spreadsheets/d/11923uPwbBZFjjGgGUA6NLw09EwE0CqkOc4q9oUmW1yo/edit?usp=sharing"",""เชียงใหม่!J109"")"),1)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IFERROR(__xludf.DUMMYFUNCTION("IMPORTRANGE(""https://docs.google.com/spreadsheets/d/11923uPwbBZFjjGgGUA6NLw09EwE0CqkOc4q9oUmW1yo/edit?usp=sharing"",""เชียงใหม่!I110"")"),1)</f>
        <v>1</v>
      </c>
      <c r="J185" s="205">
        <f ca="1">IFERROR(__xludf.DUMMYFUNCTION("IMPORTRANGE(""https://docs.google.com/spreadsheets/d/11923uPwbBZFjjGgGUA6NLw09EwE0CqkOc4q9oUmW1yo/edit?usp=sharing"",""เชียงใหม่!J110"")"),0)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IFERROR(__xludf.DUMMYFUNCTION("IMPORTRANGE(""https://docs.google.com/spreadsheets/d/11923uPwbBZFjjGgGUA6NLw09EwE0CqkOc4q9oUmW1yo/edit?usp=sharing"",""เชียงใหม่!I111"")"),1)</f>
        <v>1</v>
      </c>
      <c r="J186" s="205">
        <f ca="1">IFERROR(__xludf.DUMMYFUNCTION("IMPORTRANGE(""https://docs.google.com/spreadsheets/d/11923uPwbBZFjjGgGUA6NLw09EwE0CqkOc4q9oUmW1yo/edit?usp=sharing"",""เชียงใหม่!J111"")"),1)</f>
        <v>1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IFERROR(__xludf.DUMMYFUNCTION("IMPORTRANGE(""https://docs.google.com/spreadsheets/d/11923uPwbBZFjjGgGUA6NLw09EwE0CqkOc4q9oUmW1yo/edit?usp=sharing"",""เชียงใหม่!J112"")"),0)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IFERROR(__xludf.DUMMYFUNCTION("IMPORTRANGE(""https://docs.google.com/spreadsheets/d/11923uPwbBZFjjGgGUA6NLw09EwE0CqkOc4q9oUmW1yo/edit?usp=sharing"",""เชียงใหม่!J113"")"),0)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IFERROR(__xludf.DUMMYFUNCTION("IMPORTRANGE(""https://docs.google.com/spreadsheets/d/11923uPwbBZFjjGgGUA6NLw09EwE0CqkOc4q9oUmW1yo/edit?usp=sharing"",""เชียงใหม่!I114"")"),16000)</f>
        <v>16000</v>
      </c>
      <c r="J189" s="285">
        <f ca="1">IFERROR(__xludf.DUMMYFUNCTION("IMPORTRANGE(""https://docs.google.com/spreadsheets/d/11923uPwbBZFjjGgGUA6NLw09EwE0CqkOc4q9oUmW1yo/edit?usp=sharing"",""เชียงใหม่!J114"")"),0)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IFERROR(__xludf.DUMMYFUNCTION("IMPORTRANGE(""https://docs.google.com/spreadsheets/d/11923uPwbBZFjjGgGUA6NLw09EwE0CqkOc4q9oUmW1yo/edit?usp=sharing"",""เชียงใหม่!J119"")"),0)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IFERROR(__xludf.DUMMYFUNCTION("IMPORTRANGE(""https://docs.google.com/spreadsheets/d/11923uPwbBZFjjGgGUA6NLw09EwE0CqkOc4q9oUmW1yo/edit?usp=sharing"",""เชียงใหม่!J120"")"),1)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IFERROR(__xludf.DUMMYFUNCTION("IMPORTRANGE(""https://docs.google.com/spreadsheets/d/11923uPwbBZFjjGgGUA6NLw09EwE0CqkOc4q9oUmW1yo/edit?usp=sharing"",""เชียงใหม่!J121"")"),1)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IFERROR(__xludf.DUMMYFUNCTION("IMPORTRANGE(""https://docs.google.com/spreadsheets/d/11923uPwbBZFjjGgGUA6NLw09EwE0CqkOc4q9oUmW1yo/edit?usp=sharing"",""เชียงใหม่!J122"")"),1)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IFERROR(__xludf.DUMMYFUNCTION("IMPORTRANGE(""https://docs.google.com/spreadsheets/d/11923uPwbBZFjjGgGUA6NLw09EwE0CqkOc4q9oUmW1yo/edit?usp=sharing"",""เชียงใหม่!I124"")"),16000)</f>
        <v>16000</v>
      </c>
      <c r="J199" s="190">
        <f ca="1">IFERROR(__xludf.DUMMYFUNCTION("IMPORTRANGE(""https://docs.google.com/spreadsheets/d/11923uPwbBZFjjGgGUA6NLw09EwE0CqkOc4q9oUmW1yo/edit?usp=sharing"",""เชียงใหม่!J124"")"),16000)</f>
        <v>16000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IFERROR(__xludf.DUMMYFUNCTION("IMPORTRANGE(""https://docs.google.com/spreadsheets/d/11923uPwbBZFjjGgGUA6NLw09EwE0CqkOc4q9oUmW1yo/edit?usp=sharing"",""เชียงใหม่!I125"")"),16000)</f>
        <v>16000</v>
      </c>
      <c r="J200" s="190">
        <f ca="1">IFERROR(__xludf.DUMMYFUNCTION("IMPORTRANGE(""https://docs.google.com/spreadsheets/d/11923uPwbBZFjjGgGUA6NLw09EwE0CqkOc4q9oUmW1yo/edit?usp=sharing"",""เชียงใหม่!J125"")"),0)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IFERROR(__xludf.DUMMYFUNCTION("IMPORTRANGE(""https://docs.google.com/spreadsheets/d/11923uPwbBZFjjGgGUA6NLw09EwE0CqkOc4q9oUmW1yo/edit?usp=sharing"",""เชียงใหม่!I126"")"),0)</f>
        <v>0</v>
      </c>
      <c r="J201" s="190">
        <f ca="1">IFERROR(__xludf.DUMMYFUNCTION("IMPORTRANGE(""https://docs.google.com/spreadsheets/d/11923uPwbBZFjjGgGUA6NLw09EwE0CqkOc4q9oUmW1yo/edit?usp=sharing"",""เชียงใหม่!J126"")"),0)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IFERROR(__xludf.DUMMYFUNCTION("IMPORTRANGE(""https://docs.google.com/spreadsheets/d/11923uPwbBZFjjGgGUA6NLw09EwE0CqkOc4q9oUmW1yo/edit?usp=sharing"",""เชียงใหม่!J127"")"),0)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IFERROR(__xludf.DUMMYFUNCTION("IMPORTRANGE(""https://docs.google.com/spreadsheets/d/11923uPwbBZFjjGgGUA6NLw09EwE0CqkOc4q9oUmW1yo/edit?usp=sharing"",""เชียงใหม่!J128"")"),0)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IFERROR(__xludf.DUMMYFUNCTION("IMPORTRANGE(""https://docs.google.com/spreadsheets/d/11923uPwbBZFjjGgGUA6NLw09EwE0CqkOc4q9oUmW1yo/edit?usp=sharing"",""เชียงใหม่!I129"")"),100)</f>
        <v>100</v>
      </c>
      <c r="J204" s="285">
        <f ca="1">IFERROR(__xludf.DUMMYFUNCTION("IMPORTRANGE(""https://docs.google.com/spreadsheets/d/11923uPwbBZFjjGgGUA6NLw09EwE0CqkOc4q9oUmW1yo/edit?usp=sharing"",""เชียงใหม่!J129"")"),100)</f>
        <v>100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IFERROR(__xludf.DUMMYFUNCTION("IMPORTRANGE(""https://docs.google.com/spreadsheets/d/11923uPwbBZFjjGgGUA6NLw09EwE0CqkOc4q9oUmW1yo/edit?usp=sharing"",""เชียงใหม่!J134"")"),0)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IFERROR(__xludf.DUMMYFUNCTION("IMPORTRANGE(""https://docs.google.com/spreadsheets/d/11923uPwbBZFjjGgGUA6NLw09EwE0CqkOc4q9oUmW1yo/edit?usp=sharing"",""เชียงใหม่!J135"")"),1)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IFERROR(__xludf.DUMMYFUNCTION("IMPORTRANGE(""https://docs.google.com/spreadsheets/d/11923uPwbBZFjjGgGUA6NLw09EwE0CqkOc4q9oUmW1yo/edit?usp=sharing"",""เชียงใหม่!J136"")"),1)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IFERROR(__xludf.DUMMYFUNCTION("IMPORTRANGE(""https://docs.google.com/spreadsheets/d/11923uPwbBZFjjGgGUA6NLw09EwE0CqkOc4q9oUmW1yo/edit?usp=sharing"",""เชียงใหม่!J137"")"),1)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IFERROR(__xludf.DUMMYFUNCTION("IMPORTRANGE(""https://docs.google.com/spreadsheets/d/11923uPwbBZFjjGgGUA6NLw09EwE0CqkOc4q9oUmW1yo/edit?usp=sharing"",""เชียงใหม่!I138"")"),100)</f>
        <v>100</v>
      </c>
      <c r="J213" s="205">
        <f ca="1">IFERROR(__xludf.DUMMYFUNCTION("IMPORTRANGE(""https://docs.google.com/spreadsheets/d/11923uPwbBZFjjGgGUA6NLw09EwE0CqkOc4q9oUmW1yo/edit?usp=sharing"",""เชียงใหม่!J138"")"),100)</f>
        <v>100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IFERROR(__xludf.DUMMYFUNCTION("IMPORTRANGE(""https://docs.google.com/spreadsheets/d/11923uPwbBZFjjGgGUA6NLw09EwE0CqkOc4q9oUmW1yo/edit?usp=sharing"",""เชียงใหม่!I140"")"),0)</f>
        <v>0</v>
      </c>
      <c r="J215" s="205">
        <f ca="1">IFERROR(__xludf.DUMMYFUNCTION("IMPORTRANGE(""https://docs.google.com/spreadsheets/d/11923uPwbBZFjjGgGUA6NLw09EwE0CqkOc4q9oUmW1yo/edit?usp=sharing"",""เชียงใหม่!J140"")"),0)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IFERROR(__xludf.DUMMYFUNCTION("IMPORTRANGE(""https://docs.google.com/spreadsheets/d/11923uPwbBZFjjGgGUA6NLw09EwE0CqkOc4q9oUmW1yo/edit?usp=sharing"",""เชียงใหม่!I141"")"),3)</f>
        <v>3</v>
      </c>
      <c r="J216" s="205">
        <f ca="1">IFERROR(__xludf.DUMMYFUNCTION("IMPORTRANGE(""https://docs.google.com/spreadsheets/d/11923uPwbBZFjjGgGUA6NLw09EwE0CqkOc4q9oUmW1yo/edit?usp=sharing"",""เชียงใหม่!J141"")"),0)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IFERROR(__xludf.DUMMYFUNCTION("IMPORTRANGE(""https://docs.google.com/spreadsheets/d/11923uPwbBZFjjGgGUA6NLw09EwE0CqkOc4q9oUmW1yo/edit?usp=sharing"",""เชียงใหม่!J142"")"),0)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IFERROR(__xludf.DUMMYFUNCTION("IMPORTRANGE(""https://docs.google.com/spreadsheets/d/11923uPwbBZFjjGgGUA6NLw09EwE0CqkOc4q9oUmW1yo/edit?usp=sharing"",""เชียงใหม่!J143"")"),0)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IFERROR(__xludf.DUMMYFUNCTION("IMPORTRANGE(""https://docs.google.com/spreadsheets/d/11923uPwbBZFjjGgGUA6NLw09EwE0CqkOc4q9oUmW1yo/edit?usp=sharing"",""เชียงใหม่!I144"")"),15)</f>
        <v>15</v>
      </c>
      <c r="J219" s="268">
        <f ca="1">IFERROR(__xludf.DUMMYFUNCTION("IMPORTRANGE(""https://docs.google.com/spreadsheets/d/11923uPwbBZFjjGgGUA6NLw09EwE0CqkOc4q9oUmW1yo/edit?usp=sharing"",""เชียงใหม่!J144"")"),15)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20125</v>
      </c>
      <c r="O220" s="153">
        <f t="shared" ref="O220:O222" ca="1" si="73">IF(L220&gt;0,N220*100/L220,0)</f>
        <v>95.26627218934911</v>
      </c>
      <c r="P220" s="153">
        <f t="shared" ref="P220:P222" ca="1" si="74">IF(M220&gt;0,N220*100/M220,0)</f>
        <v>95.26627218934911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21125</v>
      </c>
      <c r="M222" s="90">
        <f t="shared" ca="1" si="76"/>
        <v>21125</v>
      </c>
      <c r="N222" s="90">
        <f t="shared" ca="1" si="76"/>
        <v>20125</v>
      </c>
      <c r="O222" s="158">
        <f t="shared" ca="1" si="73"/>
        <v>95.26627218934911</v>
      </c>
      <c r="P222" s="158">
        <f t="shared" ca="1" si="74"/>
        <v>95.26627218934911</v>
      </c>
    </row>
    <row r="223" spans="1:16" ht="21.75" customHeight="1">
      <c r="A223" s="159"/>
      <c r="B223" s="160"/>
      <c r="C223" s="160" t="s">
        <v>16</v>
      </c>
      <c r="D223" s="36" t="s">
        <v>20</v>
      </c>
      <c r="E223" s="161"/>
      <c r="F223" s="161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IFERROR(__xludf.DUMMYFUNCTION("IMPORTRANGE(""https://docs.google.com/spreadsheets/d/1Yj_ptqi66GCucihVvJfMjLAmec39IyEx_6qawtMGysU/edit?usp=sharing"",""สบก!BS22"")"),21125)</f>
        <v>21125</v>
      </c>
      <c r="N224" s="170">
        <f ca="1">IFERROR(__xludf.DUMMYFUNCTION("IMPORTRANGE(""https://docs.google.com/spreadsheets/d/1Yj_ptqi66GCucihVvJfMjLAmec39IyEx_6qawtMGysU/edit?usp=sharing"",""สบก!BT22"")"),20125)</f>
        <v>20125</v>
      </c>
      <c r="O224" s="170">
        <f ca="1">IF(L224&gt;0,N224*100/L224,0)</f>
        <v>95.26627218934911</v>
      </c>
      <c r="P224" s="170">
        <f ca="1">IF(M224&gt;0,N224*100/M224,0)</f>
        <v>95.26627218934911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IFERROR(__xludf.DUMMYFUNCTION("IMPORTRANGE(""https://docs.google.com/spreadsheets/d/1Yj_ptqi66GCucihVvJfMjLAmec39IyEx_6qawtMGysU/edit?usp=sharing"",""สบก!BO22"")"),0)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IFERROR(__xludf.DUMMYFUNCTION("IMPORTRANGE(""https://docs.google.com/spreadsheets/d/1Yj_ptqi66GCucihVvJfMjLAmec39IyEx_6qawtMGysU/edit?usp=sharing"",""สบก!BP22"")"),21125)</f>
        <v>21125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IFERROR(__xludf.DUMMYFUNCTION("IMPORTRANGE(""https://docs.google.com/spreadsheets/d/1Yj_ptqi66GCucihVvJfMjLAmec39IyEx_6qawtMGysU/edit?usp=sharing"",""สบก!BQ22"")"),0)</f>
        <v>0</v>
      </c>
      <c r="M228" s="52"/>
      <c r="N228" s="52">
        <f ca="1">IFERROR(__xludf.DUMMYFUNCTION("IMPORTRANGE(""https://docs.google.com/spreadsheets/d/1Yj_ptqi66GCucihVvJfMjLAmec39IyEx_6qawtMGysU/edit?usp=sharing"",""สบก!BU22"")"),0)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IFERROR(__xludf.DUMMYFUNCTION("IMPORTRANGE(""https://docs.google.com/spreadsheets/d/11923uPwbBZFjjGgGUA6NLw09EwE0CqkOc4q9oUmW1yo/edit?usp=sharing"",""เชียงใหม่!I149"")"),15)</f>
        <v>15</v>
      </c>
      <c r="J229" s="268">
        <f ca="1">IFERROR(__xludf.DUMMYFUNCTION("IMPORTRANGE(""https://docs.google.com/spreadsheets/d/11923uPwbBZFjjGgGUA6NLw09EwE0CqkOc4q9oUmW1yo/edit?usp=sharing"",""เชียงใหม่!J149"")"),15)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IFERROR(__xludf.DUMMYFUNCTION("IMPORTRANGE(""https://docs.google.com/spreadsheets/d/11923uPwbBZFjjGgGUA6NLw09EwE0CqkOc4q9oUmW1yo/edit?usp=sharing"",""เชียงใหม่!J151"")"),0)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IFERROR(__xludf.DUMMYFUNCTION("IMPORTRANGE(""https://docs.google.com/spreadsheets/d/11923uPwbBZFjjGgGUA6NLw09EwE0CqkOc4q9oUmW1yo/edit?usp=sharing"",""เชียงใหม่!J152"")"),1)</f>
        <v>1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IFERROR(__xludf.DUMMYFUNCTION("IMPORTRANGE(""https://docs.google.com/spreadsheets/d/11923uPwbBZFjjGgGUA6NLw09EwE0CqkOc4q9oUmW1yo/edit?usp=sharing"",""เชียงใหม่!J153"")"),1)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IFERROR(__xludf.DUMMYFUNCTION("IMPORTRANGE(""https://docs.google.com/spreadsheets/d/11923uPwbBZFjjGgGUA6NLw09EwE0CqkOc4q9oUmW1yo/edit?usp=sharing"",""เชียงใหม่!J154"")"),1)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IFERROR(__xludf.DUMMYFUNCTION("IMPORTRANGE(""https://docs.google.com/spreadsheets/d/11923uPwbBZFjjGgGUA6NLw09EwE0CqkOc4q9oUmW1yo/edit?usp=sharing"",""เชียงใหม่!I155"")"),15)</f>
        <v>15</v>
      </c>
      <c r="J235" s="190">
        <f ca="1">IFERROR(__xludf.DUMMYFUNCTION("IMPORTRANGE(""https://docs.google.com/spreadsheets/d/11923uPwbBZFjjGgGUA6NLw09EwE0CqkOc4q9oUmW1yo/edit?usp=sharing"",""เชียงใหม่!J155"")"),15)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IFERROR(__xludf.DUMMYFUNCTION("IMPORTRANGE(""https://docs.google.com/spreadsheets/d/11923uPwbBZFjjGgGUA6NLw09EwE0CqkOc4q9oUmW1yo/edit?usp=sharing"",""เชียงใหม่!J156"")"),0)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IFERROR(__xludf.DUMMYFUNCTION("IMPORTRANGE(""https://docs.google.com/spreadsheets/d/11923uPwbBZFjjGgGUA6NLw09EwE0CqkOc4q9oUmW1yo/edit?usp=sharing"",""เชียงใหม่!J157"")"),0)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IFERROR(__xludf.DUMMYFUNCTION("IMPORTRANGE(""https://docs.google.com/spreadsheets/d/11923uPwbBZFjjGgGUA6NLw09EwE0CqkOc4q9oUmW1yo/edit?usp=sharing"",""เชียงใหม่!I158"")"),0)</f>
        <v>0</v>
      </c>
      <c r="J238" s="268">
        <f ca="1">IFERROR(__xludf.DUMMYFUNCTION("IMPORTRANGE(""https://docs.google.com/spreadsheets/d/11923uPwbBZFjjGgGUA6NLw09EwE0CqkOc4q9oUmW1yo/edit?usp=sharing"",""เชียงใหม่!J158"")"),0)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IFERROR(__xludf.DUMMYFUNCTION("IMPORTRANGE(""https://docs.google.com/spreadsheets/d/11923uPwbBZFjjGgGUA6NLw09EwE0CqkOc4q9oUmW1yo/edit?usp=sharing"",""เชียงใหม่!J159"")"),"")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IFERROR(__xludf.DUMMYFUNCTION("IMPORTRANGE(""https://docs.google.com/spreadsheets/d/11923uPwbBZFjjGgGUA6NLw09EwE0CqkOc4q9oUmW1yo/edit?usp=sharing"",""เชียงใหม่!J161"")"),0)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IFERROR(__xludf.DUMMYFUNCTION("IMPORTRANGE(""https://docs.google.com/spreadsheets/d/11923uPwbBZFjjGgGUA6NLw09EwE0CqkOc4q9oUmW1yo/edit?usp=sharing"",""เชียงใหม่!J162"")"),0)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IFERROR(__xludf.DUMMYFUNCTION("IMPORTRANGE(""https://docs.google.com/spreadsheets/d/11923uPwbBZFjjGgGUA6NLw09EwE0CqkOc4q9oUmW1yo/edit?usp=sharing"",""เชียงใหม่!J163"")"),0)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IFERROR(__xludf.DUMMYFUNCTION("IMPORTRANGE(""https://docs.google.com/spreadsheets/d/11923uPwbBZFjjGgGUA6NLw09EwE0CqkOc4q9oUmW1yo/edit?usp=sharing"",""เชียงใหม่!I164"")"),0)</f>
        <v>0</v>
      </c>
      <c r="J244" s="189">
        <f ca="1">IFERROR(__xludf.DUMMYFUNCTION("IMPORTRANGE(""https://docs.google.com/spreadsheets/d/11923uPwbBZFjjGgGUA6NLw09EwE0CqkOc4q9oUmW1yo/edit?usp=sharing"",""เชียงใหม่!J164"")"),0)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IFERROR(__xludf.DUMMYFUNCTION("IMPORTRANGE(""https://docs.google.com/spreadsheets/d/11923uPwbBZFjjGgGUA6NLw09EwE0CqkOc4q9oUmW1yo/edit?usp=sharing"",""เชียงใหม่!J165"")"),0)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IFERROR(__xludf.DUMMYFUNCTION("IMPORTRANGE(""https://docs.google.com/spreadsheets/d/11923uPwbBZFjjGgGUA6NLw09EwE0CqkOc4q9oUmW1yo/edit?usp=sharing"",""เชียงใหม่!J166"")"),0)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IFERROR(__xludf.DUMMYFUNCTION("IMPORTRANGE(""https://docs.google.com/spreadsheets/d/11923uPwbBZFjjGgGUA6NLw09EwE0CqkOc4q9oUmW1yo/edit?usp=sharing"",""เชียงใหม่!I169"")"),20)</f>
        <v>20</v>
      </c>
      <c r="J249" s="317">
        <f ca="1">IFERROR(__xludf.DUMMYFUNCTION("IMPORTRANGE(""https://docs.google.com/spreadsheets/d/11923uPwbBZFjjGgGUA6NLw09EwE0CqkOc4q9oUmW1yo/edit?usp=sharing"",""เชียงใหม่!J169"")"),20)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71400</v>
      </c>
      <c r="M250" s="154">
        <f t="shared" ca="1" si="77"/>
        <v>42000</v>
      </c>
      <c r="N250" s="154">
        <f t="shared" ca="1" si="77"/>
        <v>34422</v>
      </c>
      <c r="O250" s="153">
        <f t="shared" ref="O250:O252" ca="1" si="78">IF(L250&gt;0,N250*100/L250,0)</f>
        <v>48.210084033613448</v>
      </c>
      <c r="P250" s="153">
        <f t="shared" ref="P250:P252" ca="1" si="79">IF(M250&gt;0,N250*100/M250,0)</f>
        <v>81.957142857142856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71400</v>
      </c>
      <c r="M252" s="90">
        <f t="shared" ca="1" si="81"/>
        <v>42000</v>
      </c>
      <c r="N252" s="90">
        <f t="shared" ca="1" si="81"/>
        <v>34422</v>
      </c>
      <c r="O252" s="158">
        <f t="shared" ca="1" si="78"/>
        <v>48.210084033613448</v>
      </c>
      <c r="P252" s="158">
        <f t="shared" ca="1" si="79"/>
        <v>81.957142857142856</v>
      </c>
    </row>
    <row r="253" spans="1:16" ht="21.75" customHeight="1">
      <c r="A253" s="159"/>
      <c r="B253" s="160"/>
      <c r="C253" s="160" t="s">
        <v>16</v>
      </c>
      <c r="D253" s="36" t="s">
        <v>20</v>
      </c>
      <c r="E253" s="161"/>
      <c r="F253" s="161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71400</v>
      </c>
      <c r="M254" s="169">
        <f ca="1">IFERROR(__xludf.DUMMYFUNCTION("IMPORTRANGE(""https://docs.google.com/spreadsheets/d/1Yj_ptqi66GCucihVvJfMjLAmec39IyEx_6qawtMGysU/edit?usp=sharing"",""สบก!CB22"")"),42000)</f>
        <v>42000</v>
      </c>
      <c r="N254" s="170">
        <f ca="1">IFERROR(__xludf.DUMMYFUNCTION("IMPORTRANGE(""https://docs.google.com/spreadsheets/d/1Yj_ptqi66GCucihVvJfMjLAmec39IyEx_6qawtMGysU/edit?usp=sharing"",""สบก!CC22"")"),34422)</f>
        <v>34422</v>
      </c>
      <c r="O254" s="170">
        <f ca="1">IF(L254&gt;0,N254*100/L254,0)</f>
        <v>48.210084033613448</v>
      </c>
      <c r="P254" s="170">
        <f ca="1">IF(M254&gt;0,N254*100/M254,0)</f>
        <v>81.957142857142856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IFERROR(__xludf.DUMMYFUNCTION("IMPORTRANGE(""https://docs.google.com/spreadsheets/d/1Yj_ptqi66GCucihVvJfMjLAmec39IyEx_6qawtMGysU/edit?usp=sharing"",""สบก!BX22"")"),0)</f>
        <v>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IFERROR(__xludf.DUMMYFUNCTION("IMPORTRANGE(""https://docs.google.com/spreadsheets/d/1Yj_ptqi66GCucihVvJfMjLAmec39IyEx_6qawtMGysU/edit?usp=sharing"",""สบก!BY22"")"),71400)</f>
        <v>71400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IFERROR(__xludf.DUMMYFUNCTION("IMPORTRANGE(""https://docs.google.com/spreadsheets/d/1Yj_ptqi66GCucihVvJfMjLAmec39IyEx_6qawtMGysU/edit?usp=sharing"",""สบก!BZ22"")"),0)</f>
        <v>0</v>
      </c>
      <c r="M258" s="52"/>
      <c r="N258" s="52">
        <f ca="1">IFERROR(__xludf.DUMMYFUNCTION("IMPORTRANGE(""https://docs.google.com/spreadsheets/d/1Yj_ptqi66GCucihVvJfMjLAmec39IyEx_6qawtMGysU/edit?usp=sharing"",""สบก!CD22"")"),0)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IFERROR(__xludf.DUMMYFUNCTION("IMPORTRANGE(""https://docs.google.com/spreadsheets/d/11923uPwbBZFjjGgGUA6NLw09EwE0CqkOc4q9oUmW1yo/edit?usp=sharing"",""เชียงใหม่!J175"")"),0)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IFERROR(__xludf.DUMMYFUNCTION("IMPORTRANGE(""https://docs.google.com/spreadsheets/d/11923uPwbBZFjjGgGUA6NLw09EwE0CqkOc4q9oUmW1yo/edit?usp=sharing"",""เชียงใหม่!J176"")"),1)</f>
        <v>1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IFERROR(__xludf.DUMMYFUNCTION("IMPORTRANGE(""https://docs.google.com/spreadsheets/d/11923uPwbBZFjjGgGUA6NLw09EwE0CqkOc4q9oUmW1yo/edit?usp=sharing"",""เชียงใหม่!J177"")"),1)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IFERROR(__xludf.DUMMYFUNCTION("IMPORTRANGE(""https://docs.google.com/spreadsheets/d/11923uPwbBZFjjGgGUA6NLw09EwE0CqkOc4q9oUmW1yo/edit?usp=sharing"",""เชียงใหม่!J178"")"),1)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IFERROR(__xludf.DUMMYFUNCTION("IMPORTRANGE(""https://docs.google.com/spreadsheets/d/11923uPwbBZFjjGgGUA6NLw09EwE0CqkOc4q9oUmW1yo/edit?usp=sharing"",""เชียงใหม่!I179"")"),1)</f>
        <v>1</v>
      </c>
      <c r="J264" s="190">
        <f ca="1">IFERROR(__xludf.DUMMYFUNCTION("IMPORTRANGE(""https://docs.google.com/spreadsheets/d/11923uPwbBZFjjGgGUA6NLw09EwE0CqkOc4q9oUmW1yo/edit?usp=sharing"",""เชียงใหม่!J179"")"),1)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IFERROR(__xludf.DUMMYFUNCTION("IMPORTRANGE(""https://docs.google.com/spreadsheets/d/11923uPwbBZFjjGgGUA6NLw09EwE0CqkOc4q9oUmW1yo/edit?usp=sharing"",""เชียงใหม่!I180"")"),20)</f>
        <v>20</v>
      </c>
      <c r="J265" s="190">
        <f ca="1">IFERROR(__xludf.DUMMYFUNCTION("IMPORTRANGE(""https://docs.google.com/spreadsheets/d/11923uPwbBZFjjGgGUA6NLw09EwE0CqkOc4q9oUmW1yo/edit?usp=sharing"",""เชียงใหม่!J180"")"),20)</f>
        <v>20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IFERROR(__xludf.DUMMYFUNCTION("IMPORTRANGE(""https://docs.google.com/spreadsheets/d/11923uPwbBZFjjGgGUA6NLw09EwE0CqkOc4q9oUmW1yo/edit?usp=sharing"",""เชียงใหม่!I181"")"),20)</f>
        <v>20</v>
      </c>
      <c r="J266" s="190">
        <f ca="1">IFERROR(__xludf.DUMMYFUNCTION("IMPORTRANGE(""https://docs.google.com/spreadsheets/d/11923uPwbBZFjjGgGUA6NLw09EwE0CqkOc4q9oUmW1yo/edit?usp=sharing"",""เชียงใหม่!J181"")"),20)</f>
        <v>20</v>
      </c>
      <c r="K266" s="165">
        <f t="shared" ca="1" si="82"/>
        <v>100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IFERROR(__xludf.DUMMYFUNCTION("IMPORTRANGE(""https://docs.google.com/spreadsheets/d/11923uPwbBZFjjGgGUA6NLw09EwE0CqkOc4q9oUmW1yo/edit?usp=sharing"",""เชียงใหม่!I182"")"),1)</f>
        <v>1</v>
      </c>
      <c r="J267" s="190">
        <f ca="1">IFERROR(__xludf.DUMMYFUNCTION("IMPORTRANGE(""https://docs.google.com/spreadsheets/d/11923uPwbBZFjjGgGUA6NLw09EwE0CqkOc4q9oUmW1yo/edit?usp=sharing"",""เชียงใหม่!J182"")"),1)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IFERROR(__xludf.DUMMYFUNCTION("IMPORTRANGE(""https://docs.google.com/spreadsheets/d/11923uPwbBZFjjGgGUA6NLw09EwE0CqkOc4q9oUmW1yo/edit?usp=sharing"",""เชียงใหม่!J183"")"),0)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IFERROR(__xludf.DUMMYFUNCTION("IMPORTRANGE(""https://docs.google.com/spreadsheets/d/11923uPwbBZFjjGgGUA6NLw09EwE0CqkOc4q9oUmW1yo/edit?usp=sharing"",""เชียงใหม่!J184"")"),0)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IFERROR(__xludf.DUMMYFUNCTION("IMPORTRANGE(""https://docs.google.com/spreadsheets/d/11923uPwbBZFjjGgGUA6NLw09EwE0CqkOc4q9oUmW1yo/edit?usp=sharing"",""เชียงใหม่!I185"")"),15)</f>
        <v>15</v>
      </c>
      <c r="J270" s="317">
        <f ca="1">IFERROR(__xludf.DUMMYFUNCTION("IMPORTRANGE(""https://docs.google.com/spreadsheets/d/11923uPwbBZFjjGgGUA6NLw09EwE0CqkOc4q9oUmW1yo/edit?usp=sharing"",""เชียงใหม่!J185"")"),15)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105700</v>
      </c>
      <c r="M271" s="154">
        <f t="shared" ca="1" si="83"/>
        <v>80000</v>
      </c>
      <c r="N271" s="154">
        <f t="shared" ca="1" si="83"/>
        <v>59051</v>
      </c>
      <c r="O271" s="153">
        <f t="shared" ref="O271:O273" ca="1" si="84">IF(L271&gt;0,N271*100/L271,0)</f>
        <v>55.866603595080413</v>
      </c>
      <c r="P271" s="153">
        <f t="shared" ref="P271:P273" ca="1" si="85">IF(M271&gt;0,N271*100/M271,0)</f>
        <v>73.813749999999999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105700</v>
      </c>
      <c r="M273" s="90">
        <f t="shared" ca="1" si="87"/>
        <v>80000</v>
      </c>
      <c r="N273" s="90">
        <f t="shared" ca="1" si="87"/>
        <v>59051</v>
      </c>
      <c r="O273" s="158">
        <f t="shared" ca="1" si="84"/>
        <v>55.866603595080413</v>
      </c>
      <c r="P273" s="158">
        <f t="shared" ca="1" si="85"/>
        <v>73.813749999999999</v>
      </c>
    </row>
    <row r="274" spans="1:16" ht="21.75" customHeight="1">
      <c r="A274" s="159"/>
      <c r="B274" s="160"/>
      <c r="C274" s="160" t="s">
        <v>16</v>
      </c>
      <c r="D274" s="36" t="s">
        <v>20</v>
      </c>
      <c r="E274" s="161"/>
      <c r="F274" s="161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105700</v>
      </c>
      <c r="M275" s="169">
        <f ca="1">IFERROR(__xludf.DUMMYFUNCTION("IMPORTRANGE(""https://docs.google.com/spreadsheets/d/1Yj_ptqi66GCucihVvJfMjLAmec39IyEx_6qawtMGysU/edit?usp=sharing"",""สบก!CK22"")"),80000)</f>
        <v>80000</v>
      </c>
      <c r="N275" s="170">
        <f ca="1">IFERROR(__xludf.DUMMYFUNCTION("IMPORTRANGE(""https://docs.google.com/spreadsheets/d/1Yj_ptqi66GCucihVvJfMjLAmec39IyEx_6qawtMGysU/edit?usp=sharing"",""สบก!CL22"")"),59051)</f>
        <v>59051</v>
      </c>
      <c r="O275" s="170">
        <f ca="1">IF(L275&gt;0,N275*100/L275,0)</f>
        <v>55.866603595080413</v>
      </c>
      <c r="P275" s="170">
        <f ca="1">IF(M275&gt;0,N275*100/M275,0)</f>
        <v>73.813749999999999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IFERROR(__xludf.DUMMYFUNCTION("IMPORTRANGE(""https://docs.google.com/spreadsheets/d/1Yj_ptqi66GCucihVvJfMjLAmec39IyEx_6qawtMGysU/edit?usp=sharing"",""สบก!CG22"")"),0)</f>
        <v>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IFERROR(__xludf.DUMMYFUNCTION("IMPORTRANGE(""https://docs.google.com/spreadsheets/d/1Yj_ptqi66GCucihVvJfMjLAmec39IyEx_6qawtMGysU/edit?usp=sharing"",""สบก!CH22"")"),105700)</f>
        <v>105700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IFERROR(__xludf.DUMMYFUNCTION("IMPORTRANGE(""https://docs.google.com/spreadsheets/d/1Yj_ptqi66GCucihVvJfMjLAmec39IyEx_6qawtMGysU/edit?usp=sharing"",""สบก!CI22"")"),0)</f>
        <v>0</v>
      </c>
      <c r="M279" s="52"/>
      <c r="N279" s="52">
        <f ca="1">IFERROR(__xludf.DUMMYFUNCTION("IMPORTRANGE(""https://docs.google.com/spreadsheets/d/1Yj_ptqi66GCucihVvJfMjLAmec39IyEx_6qawtMGysU/edit?usp=sharing"",""สบก!CM22"")"),0)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IFERROR(__xludf.DUMMYFUNCTION("IMPORTRANGE(""https://docs.google.com/spreadsheets/d/11923uPwbBZFjjGgGUA6NLw09EwE0CqkOc4q9oUmW1yo/edit?usp=sharing"",""เชียงใหม่!J191"")"),0)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IFERROR(__xludf.DUMMYFUNCTION("IMPORTRANGE(""https://docs.google.com/spreadsheets/d/11923uPwbBZFjjGgGUA6NLw09EwE0CqkOc4q9oUmW1yo/edit?usp=sharing"",""เชียงใหม่!J192"")"),1)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IFERROR(__xludf.DUMMYFUNCTION("IMPORTRANGE(""https://docs.google.com/spreadsheets/d/11923uPwbBZFjjGgGUA6NLw09EwE0CqkOc4q9oUmW1yo/edit?usp=sharing"",""เชียงใหม่!J193"")"),1)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IFERROR(__xludf.DUMMYFUNCTION("IMPORTRANGE(""https://docs.google.com/spreadsheets/d/11923uPwbBZFjjGgGUA6NLw09EwE0CqkOc4q9oUmW1yo/edit?usp=sharing"",""เชียงใหม่!J194"")"),1)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IFERROR(__xludf.DUMMYFUNCTION("IMPORTRANGE(""https://docs.google.com/spreadsheets/d/11923uPwbBZFjjGgGUA6NLw09EwE0CqkOc4q9oUmW1yo/edit?usp=sharing"",""เชียงใหม่!I195"")"),15)</f>
        <v>15</v>
      </c>
      <c r="J285" s="190">
        <f ca="1">IFERROR(__xludf.DUMMYFUNCTION("IMPORTRANGE(""https://docs.google.com/spreadsheets/d/11923uPwbBZFjjGgGUA6NLw09EwE0CqkOc4q9oUmW1yo/edit?usp=sharing"",""เชียงใหม่!J195"")"),15)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IFERROR(__xludf.DUMMYFUNCTION("IMPORTRANGE(""https://docs.google.com/spreadsheets/d/11923uPwbBZFjjGgGUA6NLw09EwE0CqkOc4q9oUmW1yo/edit?usp=sharing"",""เชียงใหม่!J196"")"),0)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IFERROR(__xludf.DUMMYFUNCTION("IMPORTRANGE(""https://docs.google.com/spreadsheets/d/11923uPwbBZFjjGgGUA6NLw09EwE0CqkOc4q9oUmW1yo/edit?usp=sharing"",""เชียงใหม่!J197"")"),0)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IFERROR(__xludf.DUMMYFUNCTION("IMPORTRANGE(""https://docs.google.com/spreadsheets/d/11923uPwbBZFjjGgGUA6NLw09EwE0CqkOc4q9oUmW1yo/edit?usp=sharing"",""เชียงใหม่!I199"")"),0)</f>
        <v>0</v>
      </c>
      <c r="J289" s="317">
        <f ca="1">IFERROR(__xludf.DUMMYFUNCTION("IMPORTRANGE(""https://docs.google.com/spreadsheets/d/11923uPwbBZFjjGgGUA6NLw09EwE0CqkOc4q9oUmW1yo/edit?usp=sharing"",""เชียงใหม่!J199"")"),0)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0</v>
      </c>
      <c r="M292" s="90">
        <f t="shared" ca="1" si="92"/>
        <v>0</v>
      </c>
      <c r="N292" s="90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59"/>
      <c r="B293" s="160"/>
      <c r="C293" s="160" t="s">
        <v>16</v>
      </c>
      <c r="D293" s="36" t="s">
        <v>20</v>
      </c>
      <c r="E293" s="161"/>
      <c r="F293" s="161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IFERROR(__xludf.DUMMYFUNCTION("IMPORTRANGE(""https://docs.google.com/spreadsheets/d/1Yj_ptqi66GCucihVvJfMjLAmec39IyEx_6qawtMGysU/edit?usp=sharing"",""สบก!CT22"")"),0)</f>
        <v>0</v>
      </c>
      <c r="N294" s="170">
        <f ca="1">IFERROR(__xludf.DUMMYFUNCTION("IMPORTRANGE(""https://docs.google.com/spreadsheets/d/1Yj_ptqi66GCucihVvJfMjLAmec39IyEx_6qawtMGysU/edit?usp=sharing"",""สบก!CU22"")"),0)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IFERROR(__xludf.DUMMYFUNCTION("IMPORTRANGE(""https://docs.google.com/spreadsheets/d/1Yj_ptqi66GCucihVvJfMjLAmec39IyEx_6qawtMGysU/edit?usp=sharing"",""สบก!CP22"")"),0)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IFERROR(__xludf.DUMMYFUNCTION("IMPORTRANGE(""https://docs.google.com/spreadsheets/d/1Yj_ptqi66GCucihVvJfMjLAmec39IyEx_6qawtMGysU/edit?usp=sharing"",""สบก!CQ22"")"),0)</f>
        <v>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IFERROR(__xludf.DUMMYFUNCTION("IMPORTRANGE(""https://docs.google.com/spreadsheets/d/1Yj_ptqi66GCucihVvJfMjLAmec39IyEx_6qawtMGysU/edit?usp=sharing"",""สบก!CR22"")"),0)</f>
        <v>0</v>
      </c>
      <c r="M298" s="52"/>
      <c r="N298" s="52">
        <f ca="1">IFERROR(__xludf.DUMMYFUNCTION("IMPORTRANGE(""https://docs.google.com/spreadsheets/d/1Yj_ptqi66GCucihVvJfMjLAmec39IyEx_6qawtMGysU/edit?usp=sharing"",""สบก!CV22"")"),0)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IFERROR(__xludf.DUMMYFUNCTION("IMPORTRANGE(""https://docs.google.com/spreadsheets/d/11923uPwbBZFjjGgGUA6NLw09EwE0CqkOc4q9oUmW1yo/edit?usp=sharing"",""เชียงใหม่!J205"")"),0)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IFERROR(__xludf.DUMMYFUNCTION("IMPORTRANGE(""https://docs.google.com/spreadsheets/d/11923uPwbBZFjjGgGUA6NLw09EwE0CqkOc4q9oUmW1yo/edit?usp=sharing"",""เชียงใหม่!J206"")"),0)</f>
        <v>0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IFERROR(__xludf.DUMMYFUNCTION("IMPORTRANGE(""https://docs.google.com/spreadsheets/d/11923uPwbBZFjjGgGUA6NLw09EwE0CqkOc4q9oUmW1yo/edit?usp=sharing"",""เชียงใหม่!J207"")"),0)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IFERROR(__xludf.DUMMYFUNCTION("IMPORTRANGE(""https://docs.google.com/spreadsheets/d/11923uPwbBZFjjGgGUA6NLw09EwE0CqkOc4q9oUmW1yo/edit?usp=sharing"",""เชียงใหม่!J208"")"),0)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IFERROR(__xludf.DUMMYFUNCTION("IMPORTRANGE(""https://docs.google.com/spreadsheets/d/11923uPwbBZFjjGgGUA6NLw09EwE0CqkOc4q9oUmW1yo/edit?usp=sharing"",""เชียงใหม่!I209"")"),0)</f>
        <v>0</v>
      </c>
      <c r="J304" s="205">
        <f ca="1">IFERROR(__xludf.DUMMYFUNCTION("IMPORTRANGE(""https://docs.google.com/spreadsheets/d/11923uPwbBZFjjGgGUA6NLw09EwE0CqkOc4q9oUmW1yo/edit?usp=sharing"",""เชียงใหม่!J209"")"),0)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IFERROR(__xludf.DUMMYFUNCTION("IMPORTRANGE(""https://docs.google.com/spreadsheets/d/11923uPwbBZFjjGgGUA6NLw09EwE0CqkOc4q9oUmW1yo/edit?usp=sharing"",""เชียงใหม่!I211"")"),0)</f>
        <v>0</v>
      </c>
      <c r="J306" s="205">
        <f ca="1">IFERROR(__xludf.DUMMYFUNCTION("IMPORTRANGE(""https://docs.google.com/spreadsheets/d/11923uPwbBZFjjGgGUA6NLw09EwE0CqkOc4q9oUmW1yo/edit?usp=sharing"",""เชียงใหม่!J211"")"),0)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IFERROR(__xludf.DUMMYFUNCTION("IMPORTRANGE(""https://docs.google.com/spreadsheets/d/11923uPwbBZFjjGgGUA6NLw09EwE0CqkOc4q9oUmW1yo/edit?usp=sharing"",""เชียงใหม่!J212"")"),0)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IFERROR(__xludf.DUMMYFUNCTION("IMPORTRANGE(""https://docs.google.com/spreadsheets/d/11923uPwbBZFjjGgGUA6NLw09EwE0CqkOc4q9oUmW1yo/edit?usp=sharing"",""เชียงใหม่!J213"")"),0)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IFERROR(__xludf.DUMMYFUNCTION("IMPORTRANGE(""https://docs.google.com/spreadsheets/d/11923uPwbBZFjjGgGUA6NLw09EwE0CqkOc4q9oUmW1yo/edit?usp=sharing"",""เชียงใหม่!I214"")"),6)</f>
        <v>6</v>
      </c>
      <c r="J309" s="334">
        <f ca="1">IFERROR(__xludf.DUMMYFUNCTION("IMPORTRANGE(""https://docs.google.com/spreadsheets/d/11923uPwbBZFjjGgGUA6NLw09EwE0CqkOc4q9oUmW1yo/edit?usp=sharing"",""เชียงใหม่!J214"")"),2)</f>
        <v>2</v>
      </c>
      <c r="K309" s="335">
        <f ca="1">IF(I309&gt;0,J309*100/I309,0)</f>
        <v>33.333333333333336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315600</v>
      </c>
      <c r="M310" s="154">
        <f t="shared" ca="1" si="93"/>
        <v>236700</v>
      </c>
      <c r="N310" s="154">
        <f t="shared" ca="1" si="93"/>
        <v>103547.75</v>
      </c>
      <c r="O310" s="153">
        <f t="shared" ref="O310:O312" ca="1" si="94">IF(L310&gt;0,N310*100/L310,0)</f>
        <v>32.809806717363749</v>
      </c>
      <c r="P310" s="153">
        <f t="shared" ref="P310:P312" ca="1" si="95">IF(M310&gt;0,N310*100/M310,0)</f>
        <v>43.746408956485006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315600</v>
      </c>
      <c r="M312" s="90">
        <f t="shared" ca="1" si="97"/>
        <v>236700</v>
      </c>
      <c r="N312" s="90">
        <f t="shared" ca="1" si="97"/>
        <v>103547.75</v>
      </c>
      <c r="O312" s="158">
        <f t="shared" ca="1" si="94"/>
        <v>32.809806717363749</v>
      </c>
      <c r="P312" s="158">
        <f t="shared" ca="1" si="95"/>
        <v>43.746408956485006</v>
      </c>
    </row>
    <row r="313" spans="1:16" ht="21.75" customHeight="1">
      <c r="A313" s="159"/>
      <c r="B313" s="160"/>
      <c r="C313" s="160" t="s">
        <v>16</v>
      </c>
      <c r="D313" s="36" t="s">
        <v>20</v>
      </c>
      <c r="E313" s="161"/>
      <c r="F313" s="161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315600</v>
      </c>
      <c r="M314" s="169">
        <f ca="1">IFERROR(__xludf.DUMMYFUNCTION("IMPORTRANGE(""https://docs.google.com/spreadsheets/d/1Yj_ptqi66GCucihVvJfMjLAmec39IyEx_6qawtMGysU/edit?usp=sharing"",""สบก!DC22"")"),236700)</f>
        <v>236700</v>
      </c>
      <c r="N314" s="170">
        <f ca="1">IFERROR(__xludf.DUMMYFUNCTION("IMPORTRANGE(""https://docs.google.com/spreadsheets/d/1Yj_ptqi66GCucihVvJfMjLAmec39IyEx_6qawtMGysU/edit?usp=sharing"",""สบก!DD22"")"),103547.75)</f>
        <v>103547.75</v>
      </c>
      <c r="O314" s="170">
        <f ca="1">IF(L314&gt;0,N314*100/L314,0)</f>
        <v>32.809806717363749</v>
      </c>
      <c r="P314" s="170">
        <f ca="1">IF(M314&gt;0,N314*100/M314,0)</f>
        <v>43.746408956485006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IFERROR(__xludf.DUMMYFUNCTION("IMPORTRANGE(""https://docs.google.com/spreadsheets/d/1Yj_ptqi66GCucihVvJfMjLAmec39IyEx_6qawtMGysU/edit?usp=sharing"",""สบก!CY22"")"),0)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IFERROR(__xludf.DUMMYFUNCTION("IMPORTRANGE(""https://docs.google.com/spreadsheets/d/1Yj_ptqi66GCucihVvJfMjLAmec39IyEx_6qawtMGysU/edit?usp=sharing"",""สบก!CZ22"")"),315600)</f>
        <v>315600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IFERROR(__xludf.DUMMYFUNCTION("IMPORTRANGE(""https://docs.google.com/spreadsheets/d/1Yj_ptqi66GCucihVvJfMjLAmec39IyEx_6qawtMGysU/edit?usp=sharing"",""สบก!DA22"")"),0)</f>
        <v>0</v>
      </c>
      <c r="M318" s="52"/>
      <c r="N318" s="52">
        <f ca="1">IFERROR(__xludf.DUMMYFUNCTION("IMPORTRANGE(""https://docs.google.com/spreadsheets/d/1Yj_ptqi66GCucihVvJfMjLAmec39IyEx_6qawtMGysU/edit?usp=sharing"",""สบก!DE22"")"),0)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IFERROR(__xludf.DUMMYFUNCTION("IMPORTRANGE(""https://docs.google.com/spreadsheets/d/11923uPwbBZFjjGgGUA6NLw09EwE0CqkOc4q9oUmW1yo/edit?usp=sharing"",""เชียงใหม่!J220"")"),0)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IFERROR(__xludf.DUMMYFUNCTION("IMPORTRANGE(""https://docs.google.com/spreadsheets/d/11923uPwbBZFjjGgGUA6NLw09EwE0CqkOc4q9oUmW1yo/edit?usp=sharing"",""เชียงใหม่!J221"")"),1)</f>
        <v>1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IFERROR(__xludf.DUMMYFUNCTION("IMPORTRANGE(""https://docs.google.com/spreadsheets/d/11923uPwbBZFjjGgGUA6NLw09EwE0CqkOc4q9oUmW1yo/edit?usp=sharing"",""เชียงใหม่!J222"")"),1)</f>
        <v>1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IFERROR(__xludf.DUMMYFUNCTION("IMPORTRANGE(""https://docs.google.com/spreadsheets/d/11923uPwbBZFjjGgGUA6NLw09EwE0CqkOc4q9oUmW1yo/edit?usp=sharing"",""เชียงใหม่!J223"")"),1)</f>
        <v>1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IFERROR(__xludf.DUMMYFUNCTION("IMPORTRANGE(""https://docs.google.com/spreadsheets/d/11923uPwbBZFjjGgGUA6NLw09EwE0CqkOc4q9oUmW1yo/edit?usp=sharing"",""เชียงใหม่!I224"")"),6)</f>
        <v>6</v>
      </c>
      <c r="J324" s="205">
        <f ca="1">IFERROR(__xludf.DUMMYFUNCTION("IMPORTRANGE(""https://docs.google.com/spreadsheets/d/11923uPwbBZFjjGgGUA6NLw09EwE0CqkOc4q9oUmW1yo/edit?usp=sharing"",""เชียงใหม่!J224"")"),2)</f>
        <v>2</v>
      </c>
      <c r="K324" s="225">
        <f ca="1">IF(I324&gt;0,J324*100/I324,0)</f>
        <v>33.333333333333336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IFERROR(__xludf.DUMMYFUNCTION("IMPORTRANGE(""https://docs.google.com/spreadsheets/d/11923uPwbBZFjjGgGUA6NLw09EwE0CqkOc4q9oUmW1yo/edit?usp=sharing"",""เชียงใหม่!J225"")"),0)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IFERROR(__xludf.DUMMYFUNCTION("IMPORTRANGE(""https://docs.google.com/spreadsheets/d/11923uPwbBZFjjGgGUA6NLw09EwE0CqkOc4q9oUmW1yo/edit?usp=sharing"",""เชียงใหม่!J226"")"),0)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IFERROR(__xludf.DUMMYFUNCTION("IMPORTRANGE(""https://docs.google.com/spreadsheets/d/11923uPwbBZFjjGgGUA6NLw09EwE0CqkOc4q9oUmW1yo/edit?usp=sharing"",""เชียงใหม่!I228"")"),315)</f>
        <v>315</v>
      </c>
      <c r="J328" s="340">
        <f ca="1">IFERROR(__xludf.DUMMYFUNCTION("IMPORTRANGE(""https://docs.google.com/spreadsheets/d/11923uPwbBZFjjGgGUA6NLw09EwE0CqkOc4q9oUmW1yo/edit?usp=sharing"",""เชียงใหม่!J228"")"),75)</f>
        <v>75</v>
      </c>
      <c r="K328" s="318">
        <f ca="1">IF(I328&gt;0,J328*100/I328,0)</f>
        <v>23.80952380952381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845280</v>
      </c>
      <c r="M329" s="154">
        <f t="shared" ca="1" si="98"/>
        <v>628760</v>
      </c>
      <c r="N329" s="154">
        <f t="shared" ca="1" si="98"/>
        <v>430858.49</v>
      </c>
      <c r="O329" s="153">
        <f t="shared" ref="O329:O331" ca="1" si="99">IF(L329&gt;0,N329*100/L329,0)</f>
        <v>50.972280191179252</v>
      </c>
      <c r="P329" s="153">
        <f t="shared" ref="P329:P331" ca="1" si="100">IF(M329&gt;0,N329*100/M329,0)</f>
        <v>68.525111330237294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845280</v>
      </c>
      <c r="M331" s="90">
        <f t="shared" ca="1" si="102"/>
        <v>628760</v>
      </c>
      <c r="N331" s="90">
        <f t="shared" ca="1" si="102"/>
        <v>430858.49</v>
      </c>
      <c r="O331" s="158">
        <f t="shared" ca="1" si="99"/>
        <v>50.972280191179252</v>
      </c>
      <c r="P331" s="158">
        <f t="shared" ca="1" si="100"/>
        <v>68.525111330237294</v>
      </c>
    </row>
    <row r="332" spans="1:16" ht="21.75" customHeight="1">
      <c r="A332" s="159"/>
      <c r="B332" s="160"/>
      <c r="C332" s="160" t="s">
        <v>16</v>
      </c>
      <c r="D332" s="36" t="s">
        <v>20</v>
      </c>
      <c r="E332" s="161"/>
      <c r="F332" s="161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802280</v>
      </c>
      <c r="M333" s="169">
        <f ca="1">IFERROR(__xludf.DUMMYFUNCTION("IMPORTRANGE(""https://docs.google.com/spreadsheets/d/1Yj_ptqi66GCucihVvJfMjLAmec39IyEx_6qawtMGysU/edit?usp=sharing"",""สบก!DL22"")"),585760)</f>
        <v>585760</v>
      </c>
      <c r="N333" s="170">
        <f ca="1">IFERROR(__xludf.DUMMYFUNCTION("IMPORTRANGE(""https://docs.google.com/spreadsheets/d/1Yj_ptqi66GCucihVvJfMjLAmec39IyEx_6qawtMGysU/edit?usp=sharing"",""สบก!DM22"")"),387858.49)</f>
        <v>387858.49</v>
      </c>
      <c r="O333" s="170">
        <f ca="1">IF(L333&gt;0,N333*100/L333,0)</f>
        <v>48.344529341377076</v>
      </c>
      <c r="P333" s="170">
        <f ca="1">IF(M333&gt;0,N333*100/M333,0)</f>
        <v>66.214574228352916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IFERROR(__xludf.DUMMYFUNCTION("IMPORTRANGE(""https://docs.google.com/spreadsheets/d/1Yj_ptqi66GCucihVvJfMjLAmec39IyEx_6qawtMGysU/edit?usp=sharing"",""สบก!DH22"")"),471600)</f>
        <v>471600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IFERROR(__xludf.DUMMYFUNCTION("IMPORTRANGE(""https://docs.google.com/spreadsheets/d/1Yj_ptqi66GCucihVvJfMjLAmec39IyEx_6qawtMGysU/edit?usp=sharing"",""สบก!DI22"")"),330680)</f>
        <v>330680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IFERROR(__xludf.DUMMYFUNCTION("IMPORTRANGE(""https://docs.google.com/spreadsheets/d/1Yj_ptqi66GCucihVvJfMjLAmec39IyEx_6qawtMGysU/edit?usp=sharing"",""สบก!DJ22"")"),43000)</f>
        <v>43000</v>
      </c>
      <c r="M337" s="52">
        <f ca="1">L337</f>
        <v>43000</v>
      </c>
      <c r="N337" s="52">
        <f ca="1">IFERROR(__xludf.DUMMYFUNCTION("IMPORTRANGE(""https://docs.google.com/spreadsheets/d/1Yj_ptqi66GCucihVvJfMjLAmec39IyEx_6qawtMGysU/edit?usp=sharing"",""สบก!DN22"")"),43000)</f>
        <v>43000</v>
      </c>
      <c r="O337" s="52">
        <f ca="1">IF(L337&gt;0,N337*100/L337,0)</f>
        <v>100</v>
      </c>
      <c r="P337" s="52">
        <f ca="1">IF(M337&gt;0,N337*100/M337,0)</f>
        <v>100</v>
      </c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IFERROR(__xludf.DUMMYFUNCTION("IMPORTRANGE(""https://docs.google.com/spreadsheets/d/11923uPwbBZFjjGgGUA6NLw09EwE0CqkOc4q9oUmW1yo/edit?usp=sharing"",""เชียงใหม่!I234"")"),0)</f>
        <v>0</v>
      </c>
      <c r="J339" s="189">
        <f ca="1">IFERROR(__xludf.DUMMYFUNCTION("IMPORTRANGE(""https://docs.google.com/spreadsheets/d/11923uPwbBZFjjGgGUA6NLw09EwE0CqkOc4q9oUmW1yo/edit?usp=sharing"",""เชียงใหม่!J234"")"),110)</f>
        <v>110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IFERROR(__xludf.DUMMYFUNCTION("IMPORTRANGE(""https://docs.google.com/spreadsheets/d/11923uPwbBZFjjGgGUA6NLw09EwE0CqkOc4q9oUmW1yo/edit?usp=sharing"",""เชียงใหม่!I235"")"),1060)</f>
        <v>1060</v>
      </c>
      <c r="J340" s="189">
        <f ca="1">IFERROR(__xludf.DUMMYFUNCTION("IMPORTRANGE(""https://docs.google.com/spreadsheets/d/11923uPwbBZFjjGgGUA6NLw09EwE0CqkOc4q9oUmW1yo/edit?usp=sharing"",""เชียงใหม่!J235"")"),552.81)</f>
        <v>552.80999999999995</v>
      </c>
      <c r="K340" s="343">
        <f t="shared" ca="1" si="103"/>
        <v>52.151886792452821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IFERROR(__xludf.DUMMYFUNCTION("IMPORTRANGE(""https://docs.google.com/spreadsheets/d/11923uPwbBZFjjGgGUA6NLw09EwE0CqkOc4q9oUmW1yo/edit?usp=sharing"",""เชียงใหม่!I236"")"),315)</f>
        <v>315</v>
      </c>
      <c r="J341" s="189">
        <f ca="1">IFERROR(__xludf.DUMMYFUNCTION("IMPORTRANGE(""https://docs.google.com/spreadsheets/d/11923uPwbBZFjjGgGUA6NLw09EwE0CqkOc4q9oUmW1yo/edit?usp=sharing"",""เชียงใหม่!J236"")"),161)</f>
        <v>161</v>
      </c>
      <c r="K341" s="343">
        <f t="shared" ca="1" si="103"/>
        <v>51.111111111111114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IFERROR(__xludf.DUMMYFUNCTION("IMPORTRANGE(""https://docs.google.com/spreadsheets/d/11923uPwbBZFjjGgGUA6NLw09EwE0CqkOc4q9oUmW1yo/edit?usp=sharing"",""เชียงใหม่!I237"")"),0)</f>
        <v>0</v>
      </c>
      <c r="J342" s="189">
        <f ca="1">IFERROR(__xludf.DUMMYFUNCTION("IMPORTRANGE(""https://docs.google.com/spreadsheets/d/11923uPwbBZFjjGgGUA6NLw09EwE0CqkOc4q9oUmW1yo/edit?usp=sharing"",""เชียงใหม่!J237"")"),941.21)</f>
        <v>941.21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IFERROR(__xludf.DUMMYFUNCTION("IMPORTRANGE(""https://docs.google.com/spreadsheets/d/11923uPwbBZFjjGgGUA6NLw09EwE0CqkOc4q9oUmW1yo/edit?usp=sharing"",""เชียงใหม่!I238"")"),315)</f>
        <v>315</v>
      </c>
      <c r="J343" s="189">
        <f ca="1">IFERROR(__xludf.DUMMYFUNCTION("IMPORTRANGE(""https://docs.google.com/spreadsheets/d/11923uPwbBZFjjGgGUA6NLw09EwE0CqkOc4q9oUmW1yo/edit?usp=sharing"",""เชียงใหม่!J238"")"),0)</f>
        <v>0</v>
      </c>
      <c r="K343" s="343">
        <f t="shared" ca="1" si="103"/>
        <v>0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IFERROR(__xludf.DUMMYFUNCTION("IMPORTRANGE(""https://docs.google.com/spreadsheets/d/11923uPwbBZFjjGgGUA6NLw09EwE0CqkOc4q9oUmW1yo/edit?usp=sharing"",""เชียงใหม่!I239"")"),0)</f>
        <v>0</v>
      </c>
      <c r="J344" s="189">
        <f ca="1">IFERROR(__xludf.DUMMYFUNCTION("IMPORTRANGE(""https://docs.google.com/spreadsheets/d/11923uPwbBZFjjGgGUA6NLw09EwE0CqkOc4q9oUmW1yo/edit?usp=sharing"",""เชียงใหม่!J239"")"),0)</f>
        <v>0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IFERROR(__xludf.DUMMYFUNCTION("IMPORTRANGE(""https://docs.google.com/spreadsheets/d/11923uPwbBZFjjGgGUA6NLw09EwE0CqkOc4q9oUmW1yo/edit?usp=sharing"",""เชียงใหม่!I240"")"),315)</f>
        <v>315</v>
      </c>
      <c r="J345" s="189">
        <f ca="1">IFERROR(__xludf.DUMMYFUNCTION("IMPORTRANGE(""https://docs.google.com/spreadsheets/d/11923uPwbBZFjjGgGUA6NLw09EwE0CqkOc4q9oUmW1yo/edit?usp=sharing"",""เชียงใหม่!J240"")"),75)</f>
        <v>75</v>
      </c>
      <c r="K345" s="343">
        <f t="shared" ca="1" si="103"/>
        <v>23.80952380952381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IFERROR(__xludf.DUMMYFUNCTION("IMPORTRANGE(""https://docs.google.com/spreadsheets/d/11923uPwbBZFjjGgGUA6NLw09EwE0CqkOc4q9oUmW1yo/edit?usp=sharing"",""เชียงใหม่!I241"")"),0)</f>
        <v>0</v>
      </c>
      <c r="J346" s="189">
        <f ca="1">IFERROR(__xludf.DUMMYFUNCTION("IMPORTRANGE(""https://docs.google.com/spreadsheets/d/11923uPwbBZFjjGgGUA6NLw09EwE0CqkOc4q9oUmW1yo/edit?usp=sharing"",""เชียงใหม่!J241"")"),386.97)</f>
        <v>386.97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IFERROR(__xludf.DUMMYFUNCTION("IMPORTRANGE(""https://docs.google.com/spreadsheets/d/11923uPwbBZFjjGgGUA6NLw09EwE0CqkOc4q9oUmW1yo/edit?usp=sharing"",""เชียงใหม่!L242"")"),2619379)</f>
        <v>2619379</v>
      </c>
      <c r="M347" s="359"/>
      <c r="N347" s="359">
        <f ca="1">IFERROR(__xludf.DUMMYFUNCTION("IMPORTRANGE(""https://docs.google.com/spreadsheets/d/11923uPwbBZFjjGgGUA6NLw09EwE0CqkOc4q9oUmW1yo/edit?usp=sharing"",""เชียงใหม่!M242"")"),953156.47)</f>
        <v>953156.47</v>
      </c>
      <c r="O347" s="359">
        <f ca="1">+IF(L347&gt;0,N347*100/L347,0)</f>
        <v>36.388642880621703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IFERROR(__xludf.DUMMYFUNCTION("IMPORTRANGE(""https://docs.google.com/spreadsheets/d/11923uPwbBZFjjGgGUA6NLw09EwE0CqkOc4q9oUmW1yo/edit?usp=sharing"",""เชียงใหม่!I244"")"),100)</f>
        <v>100</v>
      </c>
      <c r="J349" s="372">
        <f ca="1">IFERROR(__xludf.DUMMYFUNCTION("IMPORTRANGE(""https://docs.google.com/spreadsheets/d/11923uPwbBZFjjGgGUA6NLw09EwE0CqkOc4q9oUmW1yo/edit?usp=sharing"",""เชียงใหม่!J244"")"),100)</f>
        <v>100</v>
      </c>
      <c r="K349" s="373">
        <f t="shared" ref="K349:K350" ca="1" si="104">IF(I349&gt;0,J349*100/I349,0)</f>
        <v>100</v>
      </c>
      <c r="L349" s="374">
        <f ca="1">IFERROR(__xludf.DUMMYFUNCTION("IMPORTRANGE(""https://docs.google.com/spreadsheets/d/11923uPwbBZFjjGgGUA6NLw09EwE0CqkOc4q9oUmW1yo/edit?usp=sharing"",""เชียงใหม่!L244"")"),317760)</f>
        <v>317760</v>
      </c>
      <c r="M349" s="374"/>
      <c r="N349" s="374">
        <f ca="1">IFERROR(__xludf.DUMMYFUNCTION("IMPORTRANGE(""https://docs.google.com/spreadsheets/d/11923uPwbBZFjjGgGUA6NLw09EwE0CqkOc4q9oUmW1yo/edit?usp=sharing"",""เชียงใหม่!M244"")"),223792.58)</f>
        <v>223792.58</v>
      </c>
      <c r="O349" s="374">
        <f ca="1">+IF(L349&gt;0,N349*100/L349,0)</f>
        <v>70.428178499496482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IFERROR(__xludf.DUMMYFUNCTION("IMPORTRANGE(""https://docs.google.com/spreadsheets/d/11923uPwbBZFjjGgGUA6NLw09EwE0CqkOc4q9oUmW1yo/edit?usp=sharing"",""เชียงใหม่!I245"")"),40)</f>
        <v>40</v>
      </c>
      <c r="J350" s="372">
        <f ca="1">IFERROR(__xludf.DUMMYFUNCTION("IMPORTRANGE(""https://docs.google.com/spreadsheets/d/11923uPwbBZFjjGgGUA6NLw09EwE0CqkOc4q9oUmW1yo/edit?usp=sharing"",""เชียงใหม่!J245"")"),40)</f>
        <v>40</v>
      </c>
      <c r="K350" s="373">
        <f t="shared" ca="1" si="104"/>
        <v>100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IFERROR(__xludf.DUMMYFUNCTION("IMPORTRANGE(""https://docs.google.com/spreadsheets/d/11923uPwbBZFjjGgGUA6NLw09EwE0CqkOc4q9oUmW1yo/edit?usp=sharing"",""เชียงใหม่!L246"")"),0)</f>
        <v>0</v>
      </c>
      <c r="M351" s="166"/>
      <c r="N351" s="166">
        <f ca="1">IFERROR(__xludf.DUMMYFUNCTION("IMPORTRANGE(""https://docs.google.com/spreadsheets/d/11923uPwbBZFjjGgGUA6NLw09EwE0CqkOc4q9oUmW1yo/edit?usp=sharing"",""เชียงใหม่!M246"")"),0)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IFERROR(__xludf.DUMMYFUNCTION("IMPORTRANGE(""https://docs.google.com/spreadsheets/d/11923uPwbBZFjjGgGUA6NLw09EwE0CqkOc4q9oUmW1yo/edit?usp=sharing"",""เชียงใหม่!L247"")"),317760)</f>
        <v>317760</v>
      </c>
      <c r="M352" s="167"/>
      <c r="N352" s="166">
        <f ca="1">IFERROR(__xludf.DUMMYFUNCTION("IMPORTRANGE(""https://docs.google.com/spreadsheets/d/11923uPwbBZFjjGgGUA6NLw09EwE0CqkOc4q9oUmW1yo/edit?usp=sharing"",""เชียงใหม่!M247"")"),223792.58)</f>
        <v>223792.58</v>
      </c>
      <c r="O352" s="167">
        <f t="shared" ca="1" si="105"/>
        <v>70.428178499496482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IFERROR(__xludf.DUMMYFUNCTION("IMPORTRANGE(""https://docs.google.com/spreadsheets/d/11923uPwbBZFjjGgGUA6NLw09EwE0CqkOc4q9oUmW1yo/edit?usp=sharing"",""เชียงใหม่!L248"")"),0)</f>
        <v>0</v>
      </c>
      <c r="M353" s="170"/>
      <c r="N353" s="170">
        <f ca="1">IFERROR(__xludf.DUMMYFUNCTION("IMPORTRANGE(""https://docs.google.com/spreadsheets/d/11923uPwbBZFjjGgGUA6NLw09EwE0CqkOc4q9oUmW1yo/edit?usp=sharing"",""เชียงใหม่!M248"")"),0)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IFERROR(__xludf.DUMMYFUNCTION("IMPORTRANGE(""https://docs.google.com/spreadsheets/d/11923uPwbBZFjjGgGUA6NLw09EwE0CqkOc4q9oUmW1yo/edit?usp=sharing"",""เชียงใหม่!L249"")"),317760)</f>
        <v>317760</v>
      </c>
      <c r="M354" s="170"/>
      <c r="N354" s="169">
        <f ca="1">IFERROR(__xludf.DUMMYFUNCTION("IMPORTRANGE(""https://docs.google.com/spreadsheets/d/11923uPwbBZFjjGgGUA6NLw09EwE0CqkOc4q9oUmW1yo/edit?usp=sharing"",""เชียงใหม่!M249"")"),223792.58)</f>
        <v>223792.58</v>
      </c>
      <c r="O354" s="170">
        <f t="shared" ca="1" si="105"/>
        <v>70.428178499496482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IFERROR(__xludf.DUMMYFUNCTION("IMPORTRANGE(""https://docs.google.com/spreadsheets/d/11923uPwbBZFjjGgGUA6NLw09EwE0CqkOc4q9oUmW1yo/edit?usp=sharing"",""เชียงใหม่!M250"")"),50400)</f>
        <v>50400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IFERROR(__xludf.DUMMYFUNCTION("IMPORTRANGE(""https://docs.google.com/spreadsheets/d/11923uPwbBZFjjGgGUA6NLw09EwE0CqkOc4q9oUmW1yo/edit?usp=sharing"",""เชียงใหม่!M251"")"),89600)</f>
        <v>89600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IFERROR(__xludf.DUMMYFUNCTION("IMPORTRANGE(""https://docs.google.com/spreadsheets/d/11923uPwbBZFjjGgGUA6NLw09EwE0CqkOc4q9oUmW1yo/edit?usp=sharing"",""เชียงใหม่!M252"")"),77225.58)</f>
        <v>77225.58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IFERROR(__xludf.DUMMYFUNCTION("IMPORTRANGE(""https://docs.google.com/spreadsheets/d/11923uPwbBZFjjGgGUA6NLw09EwE0CqkOc4q9oUmW1yo/edit?usp=sharing"",""เชียงใหม่!M253"")"),6567)</f>
        <v>6567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IFERROR(__xludf.DUMMYFUNCTION("IMPORTRANGE(""https://docs.google.com/spreadsheets/d/11923uPwbBZFjjGgGUA6NLw09EwE0CqkOc4q9oUmW1yo/edit?usp=sharing"",""เชียงใหม่!J255"")"),0)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IFERROR(__xludf.DUMMYFUNCTION("IMPORTRANGE(""https://docs.google.com/spreadsheets/d/11923uPwbBZFjjGgGUA6NLw09EwE0CqkOc4q9oUmW1yo/edit?usp=sharing"",""เชียงใหม่!J256"")"),1)</f>
        <v>1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IFERROR(__xludf.DUMMYFUNCTION("IMPORTRANGE(""https://docs.google.com/spreadsheets/d/11923uPwbBZFjjGgGUA6NLw09EwE0CqkOc4q9oUmW1yo/edit?usp=sharing"",""เชียงใหม่!J257"")"),1)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IFERROR(__xludf.DUMMYFUNCTION("IMPORTRANGE(""https://docs.google.com/spreadsheets/d/11923uPwbBZFjjGgGUA6NLw09EwE0CqkOc4q9oUmW1yo/edit?usp=sharing"",""เชียงใหม่!J258"")"),1)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IFERROR(__xludf.DUMMYFUNCTION("IMPORTRANGE(""https://docs.google.com/spreadsheets/d/11923uPwbBZFjjGgGUA6NLw09EwE0CqkOc4q9oUmW1yo/edit?usp=sharing"",""เชียงใหม่!J166"")"),0)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IFERROR(__xludf.DUMMYFUNCTION("IMPORTRANGE(""https://docs.google.com/spreadsheets/d/11923uPwbBZFjjGgGUA6NLw09EwE0CqkOc4q9oUmW1yo/edit?usp=sharing"",""เชียงใหม่!J166"")"),0)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IFERROR(__xludf.DUMMYFUNCTION("IMPORTRANGE(""https://docs.google.com/spreadsheets/d/11923uPwbBZFjjGgGUA6NLw09EwE0CqkOc4q9oUmW1yo/edit?usp=sharing"",""เชียงใหม่!J166"")"),0)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IFERROR(__xludf.DUMMYFUNCTION("IMPORTRANGE(""https://docs.google.com/spreadsheets/d/11923uPwbBZFjjGgGUA6NLw09EwE0CqkOc4q9oUmW1yo/edit?usp=sharing"",""เชียงใหม่!J166"")"),0)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IFERROR(__xludf.DUMMYFUNCTION("IMPORTRANGE(""https://docs.google.com/spreadsheets/d/11923uPwbBZFjjGgGUA6NLw09EwE0CqkOc4q9oUmW1yo/edit?usp=sharing"",""เชียงใหม่!I263"")"),40)</f>
        <v>40</v>
      </c>
      <c r="J368" s="189">
        <f ca="1">IFERROR(__xludf.DUMMYFUNCTION("IMPORTRANGE(""https://docs.google.com/spreadsheets/d/11923uPwbBZFjjGgGUA6NLw09EwE0CqkOc4q9oUmW1yo/edit?usp=sharing"",""เชียงใหม่!J263"")"),40)</f>
        <v>40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IFERROR(__xludf.DUMMYFUNCTION("IMPORTRANGE(""https://docs.google.com/spreadsheets/d/11923uPwbBZFjjGgGUA6NLw09EwE0CqkOc4q9oUmW1yo/edit?usp=sharing"",""เชียงใหม่!I164"")"),0)</f>
        <v>0</v>
      </c>
      <c r="J369" s="205">
        <f ca="1">IFERROR(__xludf.DUMMYFUNCTION("IMPORTRANGE(""https://docs.google.com/spreadsheets/d/11923uPwbBZFjjGgGUA6NLw09EwE0CqkOc4q9oUmW1yo/edit?usp=sharing"",""เชียงใหม่!J164"")"),0)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IFERROR(__xludf.DUMMYFUNCTION("IMPORTRANGE(""https://docs.google.com/spreadsheets/d/11923uPwbBZFjjGgGUA6NLw09EwE0CqkOc4q9oUmW1yo/edit?usp=sharing"",""เชียงใหม่!I265"")"),40)</f>
        <v>40</v>
      </c>
      <c r="J370" s="205">
        <f ca="1">IFERROR(__xludf.DUMMYFUNCTION("IMPORTRANGE(""https://docs.google.com/spreadsheets/d/11923uPwbBZFjjGgGUA6NLw09EwE0CqkOc4q9oUmW1yo/edit?usp=sharing"",""เชียงใหม่!J265"")"),40)</f>
        <v>40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IFERROR(__xludf.DUMMYFUNCTION("IMPORTRANGE(""https://docs.google.com/spreadsheets/d/11923uPwbBZFjjGgGUA6NLw09EwE0CqkOc4q9oUmW1yo/edit?usp=sharing"",""เชียงใหม่!I164"")"),0)</f>
        <v>0</v>
      </c>
      <c r="J371" s="190">
        <f ca="1">IFERROR(__xludf.DUMMYFUNCTION("IMPORTRANGE(""https://docs.google.com/spreadsheets/d/11923uPwbBZFjjGgGUA6NLw09EwE0CqkOc4q9oUmW1yo/edit?usp=sharing"",""เชียงใหม่!J164"")"),0)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IFERROR(__xludf.DUMMYFUNCTION("IMPORTRANGE(""https://docs.google.com/spreadsheets/d/11923uPwbBZFjjGgGUA6NLw09EwE0CqkOc4q9oUmW1yo/edit?usp=sharing"",""เชียงใหม่!I267"")"),40)</f>
        <v>40</v>
      </c>
      <c r="J372" s="190">
        <f ca="1">IFERROR(__xludf.DUMMYFUNCTION("IMPORTRANGE(""https://docs.google.com/spreadsheets/d/11923uPwbBZFjjGgGUA6NLw09EwE0CqkOc4q9oUmW1yo/edit?usp=sharing"",""เชียงใหม่!J267"")"),40)</f>
        <v>40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IFERROR(__xludf.DUMMYFUNCTION("IMPORTRANGE(""https://docs.google.com/spreadsheets/d/11923uPwbBZFjjGgGUA6NLw09EwE0CqkOc4q9oUmW1yo/edit?usp=sharing"",""เชียงใหม่!I164"")"),0)</f>
        <v>0</v>
      </c>
      <c r="J373" s="205">
        <f ca="1">IFERROR(__xludf.DUMMYFUNCTION("IMPORTRANGE(""https://docs.google.com/spreadsheets/d/11923uPwbBZFjjGgGUA6NLw09EwE0CqkOc4q9oUmW1yo/edit?usp=sharing"",""เชียงใหม่!J164"")"),0)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IFERROR(__xludf.DUMMYFUNCTION("IMPORTRANGE(""https://docs.google.com/spreadsheets/d/11923uPwbBZFjjGgGUA6NLw09EwE0CqkOc4q9oUmW1yo/edit?usp=sharing"",""เชียงใหม่!I164"")"),0)</f>
        <v>0</v>
      </c>
      <c r="J374" s="189">
        <f ca="1">IFERROR(__xludf.DUMMYFUNCTION("IMPORTRANGE(""https://docs.google.com/spreadsheets/d/11923uPwbBZFjjGgGUA6NLw09EwE0CqkOc4q9oUmW1yo/edit?usp=sharing"",""เชียงใหม่!J164"")"),0)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IFERROR(__xludf.DUMMYFUNCTION("IMPORTRANGE(""https://docs.google.com/spreadsheets/d/11923uPwbBZFjjGgGUA6NLw09EwE0CqkOc4q9oUmW1yo/edit?usp=sharing"",""เชียงใหม่!I270"")"),100)</f>
        <v>100</v>
      </c>
      <c r="J375" s="189">
        <f ca="1">IFERROR(__xludf.DUMMYFUNCTION("IMPORTRANGE(""https://docs.google.com/spreadsheets/d/11923uPwbBZFjjGgGUA6NLw09EwE0CqkOc4q9oUmW1yo/edit?usp=sharing"",""เชียงใหม่!J270"")"),100)</f>
        <v>100</v>
      </c>
      <c r="K375" s="165">
        <f t="shared" ref="K375:K377" ca="1" si="107">IF(I375&gt;0,J375*100/I375,0)</f>
        <v>100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IFERROR(__xludf.DUMMYFUNCTION("IMPORTRANGE(""https://docs.google.com/spreadsheets/d/11923uPwbBZFjjGgGUA6NLw09EwE0CqkOc4q9oUmW1yo/edit?usp=sharing"",""เชียงใหม่!I271"")"),32)</f>
        <v>32</v>
      </c>
      <c r="J376" s="190">
        <f ca="1">IFERROR(__xludf.DUMMYFUNCTION("IMPORTRANGE(""https://docs.google.com/spreadsheets/d/11923uPwbBZFjjGgGUA6NLw09EwE0CqkOc4q9oUmW1yo/edit?usp=sharing"",""เชียงใหม่!J271"")"),32)</f>
        <v>32</v>
      </c>
      <c r="K376" s="165">
        <f t="shared" ca="1" si="107"/>
        <v>100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IFERROR(__xludf.DUMMYFUNCTION("IMPORTRANGE(""https://docs.google.com/spreadsheets/d/11923uPwbBZFjjGgGUA6NLw09EwE0CqkOc4q9oUmW1yo/edit?usp=sharing"",""เชียงใหม่!I272"")"),68)</f>
        <v>68</v>
      </c>
      <c r="J377" s="205">
        <f ca="1">IFERROR(__xludf.DUMMYFUNCTION("IMPORTRANGE(""https://docs.google.com/spreadsheets/d/11923uPwbBZFjjGgGUA6NLw09EwE0CqkOc4q9oUmW1yo/edit?usp=sharing"",""เชียงใหม่!J272"")"),68)</f>
        <v>68</v>
      </c>
      <c r="K377" s="165">
        <f t="shared" ca="1" si="107"/>
        <v>100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IFERROR(__xludf.DUMMYFUNCTION("IMPORTRANGE(""https://docs.google.com/spreadsheets/d/11923uPwbBZFjjGgGUA6NLw09EwE0CqkOc4q9oUmW1yo/edit?usp=sharing"",""เชียงใหม่!J273"")"),0)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IFERROR(__xludf.DUMMYFUNCTION("IMPORTRANGE(""https://docs.google.com/spreadsheets/d/11923uPwbBZFjjGgGUA6NLw09EwE0CqkOc4q9oUmW1yo/edit?usp=sharing"",""เชียงใหม่!J274"")"),0)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IFERROR(__xludf.DUMMYFUNCTION("IMPORTRANGE(""https://docs.google.com/spreadsheets/d/11923uPwbBZFjjGgGUA6NLw09EwE0CqkOc4q9oUmW1yo/edit?usp=sharing"",""เชียงใหม่!I275"")"),1000)</f>
        <v>1000</v>
      </c>
      <c r="J380" s="372">
        <f ca="1">IFERROR(__xludf.DUMMYFUNCTION("IMPORTRANGE(""https://docs.google.com/spreadsheets/d/11923uPwbBZFjjGgGUA6NLw09EwE0CqkOc4q9oUmW1yo/edit?usp=sharing"",""เชียงใหม่!J275"")"),0)</f>
        <v>0</v>
      </c>
      <c r="K380" s="373">
        <f t="shared" ref="K380:K381" ca="1" si="108">IF(I380&gt;0,J380*100/I380,0)</f>
        <v>0</v>
      </c>
      <c r="L380" s="374">
        <f ca="1">IFERROR(__xludf.DUMMYFUNCTION("IMPORTRANGE(""https://docs.google.com/spreadsheets/d/11923uPwbBZFjjGgGUA6NLw09EwE0CqkOc4q9oUmW1yo/edit?usp=sharing"",""เชียงใหม่!L275"")"),1028520)</f>
        <v>1028520</v>
      </c>
      <c r="M380" s="374"/>
      <c r="N380" s="374">
        <f ca="1">IFERROR(__xludf.DUMMYFUNCTION("IMPORTRANGE(""https://docs.google.com/spreadsheets/d/11923uPwbBZFjjGgGUA6NLw09EwE0CqkOc4q9oUmW1yo/edit?usp=sharing"",""เชียงใหม่!M275"")"),185882.58)</f>
        <v>185882.58</v>
      </c>
      <c r="O380" s="374">
        <f ca="1">+IF(L380&gt;0,N380*100/L380,0)</f>
        <v>18.072821141057052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IFERROR(__xludf.DUMMYFUNCTION("IMPORTRANGE(""https://docs.google.com/spreadsheets/d/11923uPwbBZFjjGgGUA6NLw09EwE0CqkOc4q9oUmW1yo/edit?usp=sharing"",""เชียงใหม่!I276"")"),100)</f>
        <v>100</v>
      </c>
      <c r="J381" s="372">
        <f ca="1">IFERROR(__xludf.DUMMYFUNCTION("IMPORTRANGE(""https://docs.google.com/spreadsheets/d/11923uPwbBZFjjGgGUA6NLw09EwE0CqkOc4q9oUmW1yo/edit?usp=sharing"",""เชียงใหม่!J276"")"),100)</f>
        <v>100</v>
      </c>
      <c r="K381" s="373">
        <f t="shared" ca="1" si="108"/>
        <v>100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IFERROR(__xludf.DUMMYFUNCTION("IMPORTRANGE(""https://docs.google.com/spreadsheets/d/11923uPwbBZFjjGgGUA6NLw09EwE0CqkOc4q9oUmW1yo/edit?usp=sharing"",""เชียงใหม่!L277"")"),0)</f>
        <v>0</v>
      </c>
      <c r="M382" s="166"/>
      <c r="N382" s="166">
        <f ca="1">IFERROR(__xludf.DUMMYFUNCTION("IMPORTRANGE(""https://docs.google.com/spreadsheets/d/11923uPwbBZFjjGgGUA6NLw09EwE0CqkOc4q9oUmW1yo/edit?usp=sharing"",""เชียงใหม่!M277"")"),0)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IFERROR(__xludf.DUMMYFUNCTION("IMPORTRANGE(""https://docs.google.com/spreadsheets/d/11923uPwbBZFjjGgGUA6NLw09EwE0CqkOc4q9oUmW1yo/edit?usp=sharing"",""เชียงใหม่!L278"")"),1028520)</f>
        <v>1028520</v>
      </c>
      <c r="M383" s="167"/>
      <c r="N383" s="167">
        <f ca="1">IFERROR(__xludf.DUMMYFUNCTION("IMPORTRANGE(""https://docs.google.com/spreadsheets/d/11923uPwbBZFjjGgGUA6NLw09EwE0CqkOc4q9oUmW1yo/edit?usp=sharing"",""เชียงใหม่!M278"")"),185882.58)</f>
        <v>185882.58</v>
      </c>
      <c r="O383" s="167">
        <f t="shared" ca="1" si="109"/>
        <v>18.072821141057052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IFERROR(__xludf.DUMMYFUNCTION("IMPORTRANGE(""https://docs.google.com/spreadsheets/d/11923uPwbBZFjjGgGUA6NLw09EwE0CqkOc4q9oUmW1yo/edit?usp=sharing"",""เชียงใหม่!L279"")"),0)</f>
        <v>0</v>
      </c>
      <c r="M384" s="170"/>
      <c r="N384" s="170">
        <f ca="1">IFERROR(__xludf.DUMMYFUNCTION("IMPORTRANGE(""https://docs.google.com/spreadsheets/d/11923uPwbBZFjjGgGUA6NLw09EwE0CqkOc4q9oUmW1yo/edit?usp=sharing"",""เชียงใหม่!M279"")"),0)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IFERROR(__xludf.DUMMYFUNCTION("IMPORTRANGE(""https://docs.google.com/spreadsheets/d/11923uPwbBZFjjGgGUA6NLw09EwE0CqkOc4q9oUmW1yo/edit?usp=sharing"",""เชียงใหม่!L280"")"),1028520)</f>
        <v>1028520</v>
      </c>
      <c r="M385" s="170"/>
      <c r="N385" s="169">
        <f ca="1">IFERROR(__xludf.DUMMYFUNCTION("IMPORTRANGE(""https://docs.google.com/spreadsheets/d/11923uPwbBZFjjGgGUA6NLw09EwE0CqkOc4q9oUmW1yo/edit?usp=sharing"",""เชียงใหม่!M280"")"),185882.58)</f>
        <v>185882.58</v>
      </c>
      <c r="O385" s="170">
        <f t="shared" ca="1" si="109"/>
        <v>18.072821141057052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IFERROR(__xludf.DUMMYFUNCTION("IMPORTRANGE(""https://docs.google.com/spreadsheets/d/11923uPwbBZFjjGgGUA6NLw09EwE0CqkOc4q9oUmW1yo/edit?usp=sharing"",""เชียงใหม่!M281"")"),86300)</f>
        <v>86300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IFERROR(__xludf.DUMMYFUNCTION("IMPORTRANGE(""https://docs.google.com/spreadsheets/d/11923uPwbBZFjjGgGUA6NLw09EwE0CqkOc4q9oUmW1yo/edit?usp=sharing"",""เชียงใหม่!M282"")"),0)</f>
        <v>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IFERROR(__xludf.DUMMYFUNCTION("IMPORTRANGE(""https://docs.google.com/spreadsheets/d/11923uPwbBZFjjGgGUA6NLw09EwE0CqkOc4q9oUmW1yo/edit?usp=sharing"",""เชียงใหม่!M283"")"),77225.58)</f>
        <v>77225.58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IFERROR(__xludf.DUMMYFUNCTION("IMPORTRANGE(""https://docs.google.com/spreadsheets/d/11923uPwbBZFjjGgGUA6NLw09EwE0CqkOc4q9oUmW1yo/edit?usp=sharing"",""เชียงใหม่!M284"")"),22357)</f>
        <v>22357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IFERROR(__xludf.DUMMYFUNCTION("IMPORTRANGE(""https://docs.google.com/spreadsheets/d/11923uPwbBZFjjGgGUA6NLw09EwE0CqkOc4q9oUmW1yo/edit?usp=sharing"",""เชียงใหม่!J286"")"),0)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IFERROR(__xludf.DUMMYFUNCTION("IMPORTRANGE(""https://docs.google.com/spreadsheets/d/11923uPwbBZFjjGgGUA6NLw09EwE0CqkOc4q9oUmW1yo/edit?usp=sharing"",""เชียงใหม่!J287"")"),1)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IFERROR(__xludf.DUMMYFUNCTION("IMPORTRANGE(""https://docs.google.com/spreadsheets/d/11923uPwbBZFjjGgGUA6NLw09EwE0CqkOc4q9oUmW1yo/edit?usp=sharing"",""เชียงใหม่!J288"")"),1)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IFERROR(__xludf.DUMMYFUNCTION("IMPORTRANGE(""https://docs.google.com/spreadsheets/d/11923uPwbBZFjjGgGUA6NLw09EwE0CqkOc4q9oUmW1yo/edit?usp=sharing"",""เชียงใหม่!J289"")"),1)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IFERROR(__xludf.DUMMYFUNCTION("IMPORTRANGE(""https://docs.google.com/spreadsheets/d/11923uPwbBZFjjGgGUA6NLw09EwE0CqkOc4q9oUmW1yo/edit?usp=sharing"",""เชียงใหม่!I291"")"),100)</f>
        <v>100</v>
      </c>
      <c r="J396" s="199">
        <f ca="1">IFERROR(__xludf.DUMMYFUNCTION("IMPORTRANGE(""https://docs.google.com/spreadsheets/d/11923uPwbBZFjjGgGUA6NLw09EwE0CqkOc4q9oUmW1yo/edit?usp=sharing"",""เชียงใหม่!J291"")"),100)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IFERROR(__xludf.DUMMYFUNCTION("IMPORTRANGE(""https://docs.google.com/spreadsheets/d/11923uPwbBZFjjGgGUA6NLw09EwE0CqkOc4q9oUmW1yo/edit?usp=sharing"",""เชียงใหม่!I292"")"),1000)</f>
        <v>1000</v>
      </c>
      <c r="J397" s="199">
        <f ca="1">IFERROR(__xludf.DUMMYFUNCTION("IMPORTRANGE(""https://docs.google.com/spreadsheets/d/11923uPwbBZFjjGgGUA6NLw09EwE0CqkOc4q9oUmW1yo/edit?usp=sharing"",""เชียงใหม่!J292"")"),0)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IFERROR(__xludf.DUMMYFUNCTION("IMPORTRANGE(""https://docs.google.com/spreadsheets/d/11923uPwbBZFjjGgGUA6NLw09EwE0CqkOc4q9oUmW1yo/edit?usp=sharing"",""เชียงใหม่!I293"")"),100)</f>
        <v>100</v>
      </c>
      <c r="J398" s="199">
        <f ca="1">IFERROR(__xludf.DUMMYFUNCTION("IMPORTRANGE(""https://docs.google.com/spreadsheets/d/11923uPwbBZFjjGgGUA6NLw09EwE0CqkOc4q9oUmW1yo/edit?usp=sharing"",""เชียงใหม่!J293"")"),0)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IFERROR(__xludf.DUMMYFUNCTION("IMPORTRANGE(""https://docs.google.com/spreadsheets/d/11923uPwbBZFjjGgGUA6NLw09EwE0CqkOc4q9oUmW1yo/edit?usp=sharing"",""เชียงใหม่!J294"")"),0)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IFERROR(__xludf.DUMMYFUNCTION("IMPORTRANGE(""https://docs.google.com/spreadsheets/d/11923uPwbBZFjjGgGUA6NLw09EwE0CqkOc4q9oUmW1yo/edit?usp=sharing"",""เชียงใหม่!J295"")"),0)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IFERROR(__xludf.DUMMYFUNCTION("IMPORTRANGE(""https://docs.google.com/spreadsheets/d/11923uPwbBZFjjGgGUA6NLw09EwE0CqkOc4q9oUmW1yo/edit?usp=sharing"",""เชียงใหม่!I296"")"),105)</f>
        <v>105</v>
      </c>
      <c r="J401" s="372">
        <f ca="1">IFERROR(__xludf.DUMMYFUNCTION("IMPORTRANGE(""https://docs.google.com/spreadsheets/d/11923uPwbBZFjjGgGUA6NLw09EwE0CqkOc4q9oUmW1yo/edit?usp=sharing"",""เชียงใหม่!J296"")"),105)</f>
        <v>105</v>
      </c>
      <c r="K401" s="373">
        <f t="shared" ref="K401:K402" ca="1" si="111">IF(I401&gt;0,J401*100/I401,0)</f>
        <v>100</v>
      </c>
      <c r="L401" s="374">
        <f ca="1">IFERROR(__xludf.DUMMYFUNCTION("IMPORTRANGE(""https://docs.google.com/spreadsheets/d/11923uPwbBZFjjGgGUA6NLw09EwE0CqkOc4q9oUmW1yo/edit?usp=sharing"",""เชียงใหม่!L296"")"),131710)</f>
        <v>131710</v>
      </c>
      <c r="M401" s="374"/>
      <c r="N401" s="374">
        <f ca="1">IFERROR(__xludf.DUMMYFUNCTION("IMPORTRANGE(""https://docs.google.com/spreadsheets/d/11923uPwbBZFjjGgGUA6NLw09EwE0CqkOc4q9oUmW1yo/edit?usp=sharing"",""เชียงใหม่!M296"")"),88455)</f>
        <v>88455</v>
      </c>
      <c r="O401" s="374">
        <f ca="1">+IF(L401&gt;0,N401*100/L401,0)</f>
        <v>67.158909725912991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IFERROR(__xludf.DUMMYFUNCTION("IMPORTRANGE(""https://docs.google.com/spreadsheets/d/11923uPwbBZFjjGgGUA6NLw09EwE0CqkOc4q9oUmW1yo/edit?usp=sharing"",""เชียงใหม่!I297"")"),35)</f>
        <v>35</v>
      </c>
      <c r="J402" s="372">
        <f ca="1">IFERROR(__xludf.DUMMYFUNCTION("IMPORTRANGE(""https://docs.google.com/spreadsheets/d/11923uPwbBZFjjGgGUA6NLw09EwE0CqkOc4q9oUmW1yo/edit?usp=sharing"",""เชียงใหม่!J297"")"),35)</f>
        <v>35</v>
      </c>
      <c r="K402" s="373">
        <f t="shared" ca="1" si="111"/>
        <v>100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IFERROR(__xludf.DUMMYFUNCTION("IMPORTRANGE(""https://docs.google.com/spreadsheets/d/11923uPwbBZFjjGgGUA6NLw09EwE0CqkOc4q9oUmW1yo/edit?usp=sharing"",""เชียงใหม่!L298"")"),0)</f>
        <v>0</v>
      </c>
      <c r="M403" s="166"/>
      <c r="N403" s="170">
        <f ca="1">IFERROR(__xludf.DUMMYFUNCTION("IMPORTRANGE(""https://docs.google.com/spreadsheets/d/11923uPwbBZFjjGgGUA6NLw09EwE0CqkOc4q9oUmW1yo/edit?usp=sharing"",""เชียงใหม่!M298"")"),0)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IFERROR(__xludf.DUMMYFUNCTION("IMPORTRANGE(""https://docs.google.com/spreadsheets/d/11923uPwbBZFjjGgGUA6NLw09EwE0CqkOc4q9oUmW1yo/edit?usp=sharing"",""เชียงใหม่!L299"")"),131710)</f>
        <v>131710</v>
      </c>
      <c r="M404" s="167"/>
      <c r="N404" s="170">
        <f ca="1">IFERROR(__xludf.DUMMYFUNCTION("IMPORTRANGE(""https://docs.google.com/spreadsheets/d/11923uPwbBZFjjGgGUA6NLw09EwE0CqkOc4q9oUmW1yo/edit?usp=sharing"",""เชียงใหม่!M299"")"),88455)</f>
        <v>88455</v>
      </c>
      <c r="O404" s="170">
        <f t="shared" ca="1" si="112"/>
        <v>67.158909725912991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IFERROR(__xludf.DUMMYFUNCTION("IMPORTRANGE(""https://docs.google.com/spreadsheets/d/11923uPwbBZFjjGgGUA6NLw09EwE0CqkOc4q9oUmW1yo/edit?usp=sharing"",""เชียงใหม่!L300"")"),0)</f>
        <v>0</v>
      </c>
      <c r="M405" s="170"/>
      <c r="N405" s="170">
        <f ca="1">IFERROR(__xludf.DUMMYFUNCTION("IMPORTRANGE(""https://docs.google.com/spreadsheets/d/11923uPwbBZFjjGgGUA6NLw09EwE0CqkOc4q9oUmW1yo/edit?usp=sharing"",""เชียงใหม่!M300"")"),0)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IFERROR(__xludf.DUMMYFUNCTION("IMPORTRANGE(""https://docs.google.com/spreadsheets/d/11923uPwbBZFjjGgGUA6NLw09EwE0CqkOc4q9oUmW1yo/edit?usp=sharing"",""เชียงใหม่!L301"")"),131710)</f>
        <v>131710</v>
      </c>
      <c r="M406" s="170"/>
      <c r="N406" s="170">
        <f ca="1">IFERROR(__xludf.DUMMYFUNCTION("IMPORTRANGE(""https://docs.google.com/spreadsheets/d/11923uPwbBZFjjGgGUA6NLw09EwE0CqkOc4q9oUmW1yo/edit?usp=sharing"",""เชียงใหม่!M301"")"),88455)</f>
        <v>88455</v>
      </c>
      <c r="O406" s="170">
        <f t="shared" ca="1" si="112"/>
        <v>67.158909725912991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IFERROR(__xludf.DUMMYFUNCTION("IMPORTRANGE(""https://docs.google.com/spreadsheets/d/11923uPwbBZFjjGgGUA6NLw09EwE0CqkOc4q9oUmW1yo/edit?usp=sharing"",""เชียงใหม่!M302"")"),77225)</f>
        <v>77225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IFERROR(__xludf.DUMMYFUNCTION("IMPORTRANGE(""https://docs.google.com/spreadsheets/d/11923uPwbBZFjjGgGUA6NLw09EwE0CqkOc4q9oUmW1yo/edit?usp=sharing"",""เชียงใหม่!M303"")"),0)</f>
        <v>0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IFERROR(__xludf.DUMMYFUNCTION("IMPORTRANGE(""https://docs.google.com/spreadsheets/d/11923uPwbBZFjjGgGUA6NLw09EwE0CqkOc4q9oUmW1yo/edit?usp=sharing"",""เชียงใหม่!M304"")"),0)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IFERROR(__xludf.DUMMYFUNCTION("IMPORTRANGE(""https://docs.google.com/spreadsheets/d/11923uPwbBZFjjGgGUA6NLw09EwE0CqkOc4q9oUmW1yo/edit?usp=sharing"",""เชียงใหม่!M305"")"),11230)</f>
        <v>11230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IFERROR(__xludf.DUMMYFUNCTION("IMPORTRANGE(""https://docs.google.com/spreadsheets/d/11923uPwbBZFjjGgGUA6NLw09EwE0CqkOc4q9oUmW1yo/edit?usp=sharing"",""เชียงใหม่!J307"")"),0)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IFERROR(__xludf.DUMMYFUNCTION("IMPORTRANGE(""https://docs.google.com/spreadsheets/d/11923uPwbBZFjjGgGUA6NLw09EwE0CqkOc4q9oUmW1yo/edit?usp=sharing"",""เชียงใหม่!J308"")"),1)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IFERROR(__xludf.DUMMYFUNCTION("IMPORTRANGE(""https://docs.google.com/spreadsheets/d/11923uPwbBZFjjGgGUA6NLw09EwE0CqkOc4q9oUmW1yo/edit?usp=sharing"",""เชียงใหม่!J309"")"),1)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IFERROR(__xludf.DUMMYFUNCTION("IMPORTRANGE(""https://docs.google.com/spreadsheets/d/11923uPwbBZFjjGgGUA6NLw09EwE0CqkOc4q9oUmW1yo/edit?usp=sharing"",""เชียงใหม่!J310"")"),1)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IFERROR(__xludf.DUMMYFUNCTION("IMPORTRANGE(""https://docs.google.com/spreadsheets/d/11923uPwbBZFjjGgGUA6NLw09EwE0CqkOc4q9oUmW1yo/edit?usp=sharing"",""เชียงใหม่!I311"")"),35)</f>
        <v>35</v>
      </c>
      <c r="J416" s="202">
        <f ca="1">IFERROR(__xludf.DUMMYFUNCTION("IMPORTRANGE(""https://docs.google.com/spreadsheets/d/11923uPwbBZFjjGgGUA6NLw09EwE0CqkOc4q9oUmW1yo/edit?usp=sharing"",""เชียงใหม่!J311"")"),35)</f>
        <v>35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IFERROR(__xludf.DUMMYFUNCTION("IMPORTRANGE(""https://docs.google.com/spreadsheets/d/11923uPwbBZFjjGgGUA6NLw09EwE0CqkOc4q9oUmW1yo/edit?usp=sharing"",""เชียงใหม่!I312"")"),10)</f>
        <v>10</v>
      </c>
      <c r="J417" s="393">
        <f ca="1">IFERROR(__xludf.DUMMYFUNCTION("IMPORTRANGE(""https://docs.google.com/spreadsheets/d/11923uPwbBZFjjGgGUA6NLw09EwE0CqkOc4q9oUmW1yo/edit?usp=sharing"",""เชียงใหม่!J312"")"),10)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IFERROR(__xludf.DUMMYFUNCTION("IMPORTRANGE(""https://docs.google.com/spreadsheets/d/11923uPwbBZFjjGgGUA6NLw09EwE0CqkOc4q9oUmW1yo/edit?usp=sharing"",""เชียงใหม่!I313"")"),30)</f>
        <v>30</v>
      </c>
      <c r="J418" s="394">
        <f ca="1">IFERROR(__xludf.DUMMYFUNCTION("IMPORTRANGE(""https://docs.google.com/spreadsheets/d/11923uPwbBZFjjGgGUA6NLw09EwE0CqkOc4q9oUmW1yo/edit?usp=sharing"",""เชียงใหม่!J313"")"),30)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IFERROR(__xludf.DUMMYFUNCTION("IMPORTRANGE(""https://docs.google.com/spreadsheets/d/11923uPwbBZFjjGgGUA6NLw09EwE0CqkOc4q9oUmW1yo/edit?usp=sharing"",""เชียงใหม่!I314"")"),10)</f>
        <v>10</v>
      </c>
      <c r="J419" s="395">
        <f ca="1">IFERROR(__xludf.DUMMYFUNCTION("IMPORTRANGE(""https://docs.google.com/spreadsheets/d/11923uPwbBZFjjGgGUA6NLw09EwE0CqkOc4q9oUmW1yo/edit?usp=sharing"",""เชียงใหม่!J314"")"),10)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IFERROR(__xludf.DUMMYFUNCTION("IMPORTRANGE(""https://docs.google.com/spreadsheets/d/11923uPwbBZFjjGgGUA6NLw09EwE0CqkOc4q9oUmW1yo/edit?usp=sharing"",""เชียงใหม่!I315"")"),10)</f>
        <v>10</v>
      </c>
      <c r="J420" s="395">
        <f ca="1">IFERROR(__xludf.DUMMYFUNCTION("IMPORTRANGE(""https://docs.google.com/spreadsheets/d/11923uPwbBZFjjGgGUA6NLw09EwE0CqkOc4q9oUmW1yo/edit?usp=sharing"",""เชียงใหม่!J315"")"),10)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IFERROR(__xludf.DUMMYFUNCTION("IMPORTRANGE(""https://docs.google.com/spreadsheets/d/11923uPwbBZFjjGgGUA6NLw09EwE0CqkOc4q9oUmW1yo/edit?usp=sharing"",""เชียงใหม่!I316"")"),15)</f>
        <v>15</v>
      </c>
      <c r="J421" s="393">
        <f ca="1">IFERROR(__xludf.DUMMYFUNCTION("IMPORTRANGE(""https://docs.google.com/spreadsheets/d/11923uPwbBZFjjGgGUA6NLw09EwE0CqkOc4q9oUmW1yo/edit?usp=sharing"",""เชียงใหม่!J316"")"),15)</f>
        <v>15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IFERROR(__xludf.DUMMYFUNCTION("IMPORTRANGE(""https://docs.google.com/spreadsheets/d/11923uPwbBZFjjGgGUA6NLw09EwE0CqkOc4q9oUmW1yo/edit?usp=sharing"",""เชียงใหม่!I317"")"),45)</f>
        <v>45</v>
      </c>
      <c r="J422" s="394">
        <f ca="1">IFERROR(__xludf.DUMMYFUNCTION("IMPORTRANGE(""https://docs.google.com/spreadsheets/d/11923uPwbBZFjjGgGUA6NLw09EwE0CqkOc4q9oUmW1yo/edit?usp=sharing"",""เชียงใหม่!J317"")"),45)</f>
        <v>45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IFERROR(__xludf.DUMMYFUNCTION("IMPORTRANGE(""https://docs.google.com/spreadsheets/d/11923uPwbBZFjjGgGUA6NLw09EwE0CqkOc4q9oUmW1yo/edit?usp=sharing"",""เชียงใหม่!I318"")"),15)</f>
        <v>15</v>
      </c>
      <c r="J423" s="395">
        <f ca="1">IFERROR(__xludf.DUMMYFUNCTION("IMPORTRANGE(""https://docs.google.com/spreadsheets/d/11923uPwbBZFjjGgGUA6NLw09EwE0CqkOc4q9oUmW1yo/edit?usp=sharing"",""เชียงใหม่!J318"")"),15)</f>
        <v>15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IFERROR(__xludf.DUMMYFUNCTION("IMPORTRANGE(""https://docs.google.com/spreadsheets/d/11923uPwbBZFjjGgGUA6NLw09EwE0CqkOc4q9oUmW1yo/edit?usp=sharing"",""เชียงใหม่!I319"")"),15)</f>
        <v>15</v>
      </c>
      <c r="J424" s="395">
        <f ca="1">IFERROR(__xludf.DUMMYFUNCTION("IMPORTRANGE(""https://docs.google.com/spreadsheets/d/11923uPwbBZFjjGgGUA6NLw09EwE0CqkOc4q9oUmW1yo/edit?usp=sharing"",""เชียงใหม่!J319"")"),15)</f>
        <v>15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IFERROR(__xludf.DUMMYFUNCTION("IMPORTRANGE(""https://docs.google.com/spreadsheets/d/11923uPwbBZFjjGgGUA6NLw09EwE0CqkOc4q9oUmW1yo/edit?usp=sharing"",""เชียงใหม่!I320"")"),15)</f>
        <v>15</v>
      </c>
      <c r="J425" s="395">
        <f ca="1">IFERROR(__xludf.DUMMYFUNCTION("IMPORTRANGE(""https://docs.google.com/spreadsheets/d/11923uPwbBZFjjGgGUA6NLw09EwE0CqkOc4q9oUmW1yo/edit?usp=sharing"",""เชียงใหม่!J320"")"),15)</f>
        <v>15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IFERROR(__xludf.DUMMYFUNCTION("IMPORTRANGE(""https://docs.google.com/spreadsheets/d/11923uPwbBZFjjGgGUA6NLw09EwE0CqkOc4q9oUmW1yo/edit?usp=sharing"",""เชียงใหม่!I321"")"),10)</f>
        <v>10</v>
      </c>
      <c r="J426" s="393">
        <f ca="1">IFERROR(__xludf.DUMMYFUNCTION("IMPORTRANGE(""https://docs.google.com/spreadsheets/d/11923uPwbBZFjjGgGUA6NLw09EwE0CqkOc4q9oUmW1yo/edit?usp=sharing"",""เชียงใหม่!J321"")"),10)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IFERROR(__xludf.DUMMYFUNCTION("IMPORTRANGE(""https://docs.google.com/spreadsheets/d/11923uPwbBZFjjGgGUA6NLw09EwE0CqkOc4q9oUmW1yo/edit?usp=sharing"",""เชียงใหม่!I322"")"),30)</f>
        <v>30</v>
      </c>
      <c r="J427" s="394">
        <f ca="1">IFERROR(__xludf.DUMMYFUNCTION("IMPORTRANGE(""https://docs.google.com/spreadsheets/d/11923uPwbBZFjjGgGUA6NLw09EwE0CqkOc4q9oUmW1yo/edit?usp=sharing"",""เชียงใหม่!J322"")"),30)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IFERROR(__xludf.DUMMYFUNCTION("IMPORTRANGE(""https://docs.google.com/spreadsheets/d/11923uPwbBZFjjGgGUA6NLw09EwE0CqkOc4q9oUmW1yo/edit?usp=sharing"",""เชียงใหม่!I323"")"),10)</f>
        <v>10</v>
      </c>
      <c r="J428" s="395">
        <f ca="1">IFERROR(__xludf.DUMMYFUNCTION("IMPORTRANGE(""https://docs.google.com/spreadsheets/d/11923uPwbBZFjjGgGUA6NLw09EwE0CqkOc4q9oUmW1yo/edit?usp=sharing"",""เชียงใหม่!J323"")"),10)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IFERROR(__xludf.DUMMYFUNCTION("IMPORTRANGE(""https://docs.google.com/spreadsheets/d/11923uPwbBZFjjGgGUA6NLw09EwE0CqkOc4q9oUmW1yo/edit?usp=sharing"",""เชียงใหม่!I324"")"),10)</f>
        <v>10</v>
      </c>
      <c r="J429" s="395">
        <f ca="1">IFERROR(__xludf.DUMMYFUNCTION("IMPORTRANGE(""https://docs.google.com/spreadsheets/d/11923uPwbBZFjjGgGUA6NLw09EwE0CqkOc4q9oUmW1yo/edit?usp=sharing"",""เชียงใหม่!J324"")"),10)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IFERROR(__xludf.DUMMYFUNCTION("IMPORTRANGE(""https://docs.google.com/spreadsheets/d/11923uPwbBZFjjGgGUA6NLw09EwE0CqkOc4q9oUmW1yo/edit?usp=sharing"",""เชียงใหม่!I325"")"),25)</f>
        <v>25</v>
      </c>
      <c r="J430" s="393">
        <f ca="1">IFERROR(__xludf.DUMMYFUNCTION("IMPORTRANGE(""https://docs.google.com/spreadsheets/d/11923uPwbBZFjjGgGUA6NLw09EwE0CqkOc4q9oUmW1yo/edit?usp=sharing"",""เชียงใหม่!J325"")"),25)</f>
        <v>25</v>
      </c>
      <c r="K430" s="203">
        <f t="shared" ca="1" si="113"/>
        <v>100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IFERROR(__xludf.DUMMYFUNCTION("IMPORTRANGE(""https://docs.google.com/spreadsheets/d/11923uPwbBZFjjGgGUA6NLw09EwE0CqkOc4q9oUmW1yo/edit?usp=sharing"",""เชียงใหม่!I326"")"),10)</f>
        <v>10</v>
      </c>
      <c r="J431" s="395">
        <f ca="1">IFERROR(__xludf.DUMMYFUNCTION("IMPORTRANGE(""https://docs.google.com/spreadsheets/d/11923uPwbBZFjjGgGUA6NLw09EwE0CqkOc4q9oUmW1yo/edit?usp=sharing"",""เชียงใหม่!J326"")"),10)</f>
        <v>10</v>
      </c>
      <c r="K431" s="165">
        <f t="shared" ca="1" si="113"/>
        <v>100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IFERROR(__xludf.DUMMYFUNCTION("IMPORTRANGE(""https://docs.google.com/spreadsheets/d/11923uPwbBZFjjGgGUA6NLw09EwE0CqkOc4q9oUmW1yo/edit?usp=sharing"",""เชียงใหม่!I327"")"),15)</f>
        <v>15</v>
      </c>
      <c r="J432" s="395">
        <f ca="1">IFERROR(__xludf.DUMMYFUNCTION("IMPORTRANGE(""https://docs.google.com/spreadsheets/d/11923uPwbBZFjjGgGUA6NLw09EwE0CqkOc4q9oUmW1yo/edit?usp=sharing"",""เชียงใหม่!J327"")"),15)</f>
        <v>15</v>
      </c>
      <c r="K432" s="165">
        <f t="shared" ca="1" si="113"/>
        <v>100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IFERROR(__xludf.DUMMYFUNCTION("IMPORTRANGE(""https://docs.google.com/spreadsheets/d/11923uPwbBZFjjGgGUA6NLw09EwE0CqkOc4q9oUmW1yo/edit?usp=sharing"",""เชียงใหม่!J328"")"),0)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IFERROR(__xludf.DUMMYFUNCTION("IMPORTRANGE(""https://docs.google.com/spreadsheets/d/11923uPwbBZFjjGgGUA6NLw09EwE0CqkOc4q9oUmW1yo/edit?usp=sharing"",""เชียงใหม่!J329"")"),0)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IFERROR(__xludf.DUMMYFUNCTION("IMPORTRANGE(""https://docs.google.com/spreadsheets/d/11923uPwbBZFjjGgGUA6NLw09EwE0CqkOc4q9oUmW1yo/edit?usp=sharing"",""เชียงใหม่!I330"")"),20)</f>
        <v>20</v>
      </c>
      <c r="J435" s="411">
        <f ca="1">IFERROR(__xludf.DUMMYFUNCTION("IMPORTRANGE(""https://docs.google.com/spreadsheets/d/11923uPwbBZFjjGgGUA6NLw09EwE0CqkOc4q9oUmW1yo/edit?usp=sharing"",""เชียงใหม่!J330"")"),20)</f>
        <v>20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IFERROR(__xludf.DUMMYFUNCTION("IMPORTRANGE(""https://docs.google.com/spreadsheets/d/11923uPwbBZFjjGgGUA6NLw09EwE0CqkOc4q9oUmW1yo/edit?usp=sharing"",""เชียงใหม่!L330"")"),100000)</f>
        <v>100000</v>
      </c>
      <c r="M435" s="413"/>
      <c r="N435" s="413">
        <f ca="1">IFERROR(__xludf.DUMMYFUNCTION("IMPORTRANGE(""https://docs.google.com/spreadsheets/d/11923uPwbBZFjjGgGUA6NLw09EwE0CqkOc4q9oUmW1yo/edit?usp=sharing"",""เชียงใหม่!M330"")"),38905)</f>
        <v>38905</v>
      </c>
      <c r="O435" s="413">
        <f t="shared" ref="O435:O439" ca="1" si="114">+IF(L435&gt;0,N435*100/L435,0)</f>
        <v>38.905000000000001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IFERROR(__xludf.DUMMYFUNCTION("IMPORTRANGE(""https://docs.google.com/spreadsheets/d/11923uPwbBZFjjGgGUA6NLw09EwE0CqkOc4q9oUmW1yo/edit?usp=sharing"",""เชียงใหม่!L331"")"),0)</f>
        <v>0</v>
      </c>
      <c r="M436" s="166"/>
      <c r="N436" s="170">
        <f ca="1">IFERROR(__xludf.DUMMYFUNCTION("IMPORTRANGE(""https://docs.google.com/spreadsheets/d/11923uPwbBZFjjGgGUA6NLw09EwE0CqkOc4q9oUmW1yo/edit?usp=sharing"",""เชียงใหม่!M331"")"),0)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IFERROR(__xludf.DUMMYFUNCTION("IMPORTRANGE(""https://docs.google.com/spreadsheets/d/11923uPwbBZFjjGgGUA6NLw09EwE0CqkOc4q9oUmW1yo/edit?usp=sharing"",""เชียงใหม่!L332"")"),100000)</f>
        <v>100000</v>
      </c>
      <c r="M437" s="167"/>
      <c r="N437" s="170">
        <f ca="1">IFERROR(__xludf.DUMMYFUNCTION("IMPORTRANGE(""https://docs.google.com/spreadsheets/d/11923uPwbBZFjjGgGUA6NLw09EwE0CqkOc4q9oUmW1yo/edit?usp=sharing"",""เชียงใหม่!M332"")"),38905)</f>
        <v>38905</v>
      </c>
      <c r="O437" s="170">
        <f t="shared" ca="1" si="114"/>
        <v>38.905000000000001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IFERROR(__xludf.DUMMYFUNCTION("IMPORTRANGE(""https://docs.google.com/spreadsheets/d/11923uPwbBZFjjGgGUA6NLw09EwE0CqkOc4q9oUmW1yo/edit?usp=sharing"",""เชียงใหม่!L333"")"),0)</f>
        <v>0</v>
      </c>
      <c r="M438" s="170"/>
      <c r="N438" s="170">
        <f ca="1">IFERROR(__xludf.DUMMYFUNCTION("IMPORTRANGE(""https://docs.google.com/spreadsheets/d/11923uPwbBZFjjGgGUA6NLw09EwE0CqkOc4q9oUmW1yo/edit?usp=sharing"",""เชียงใหม่!M333"")"),0)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IFERROR(__xludf.DUMMYFUNCTION("IMPORTRANGE(""https://docs.google.com/spreadsheets/d/11923uPwbBZFjjGgGUA6NLw09EwE0CqkOc4q9oUmW1yo/edit?usp=sharing"",""เชียงใหม่!L334"")"),100000)</f>
        <v>100000</v>
      </c>
      <c r="M439" s="170"/>
      <c r="N439" s="170">
        <f ca="1">IFERROR(__xludf.DUMMYFUNCTION("IMPORTRANGE(""https://docs.google.com/spreadsheets/d/11923uPwbBZFjjGgGUA6NLw09EwE0CqkOc4q9oUmW1yo/edit?usp=sharing"",""เชียงใหม่!M334"")"),38905)</f>
        <v>38905</v>
      </c>
      <c r="O439" s="170">
        <f t="shared" ca="1" si="114"/>
        <v>38.905000000000001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IFERROR(__xludf.DUMMYFUNCTION("IMPORTRANGE(""https://docs.google.com/spreadsheets/d/11923uPwbBZFjjGgGUA6NLw09EwE0CqkOc4q9oUmW1yo/edit?usp=sharing"",""เชียงใหม่!M335"")"),22395)</f>
        <v>22395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IFERROR(__xludf.DUMMYFUNCTION("IMPORTRANGE(""https://docs.google.com/spreadsheets/d/11923uPwbBZFjjGgGUA6NLw09EwE0CqkOc4q9oUmW1yo/edit?usp=sharing"",""เชียงใหม่!M336"")"),0)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IFERROR(__xludf.DUMMYFUNCTION("IMPORTRANGE(""https://docs.google.com/spreadsheets/d/11923uPwbBZFjjGgGUA6NLw09EwE0CqkOc4q9oUmW1yo/edit?usp=sharing"",""เชียงใหม่!M337"")"),0)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IFERROR(__xludf.DUMMYFUNCTION("IMPORTRANGE(""https://docs.google.com/spreadsheets/d/11923uPwbBZFjjGgGUA6NLw09EwE0CqkOc4q9oUmW1yo/edit?usp=sharing"",""เชียงใหม่!M338"")"),16510)</f>
        <v>16510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IFERROR(__xludf.DUMMYFUNCTION("IMPORTRANGE(""https://docs.google.com/spreadsheets/d/11923uPwbBZFjjGgGUA6NLw09EwE0CqkOc4q9oUmW1yo/edit?usp=sharing"",""เชียงใหม่!J340"")"),0)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IFERROR(__xludf.DUMMYFUNCTION("IMPORTRANGE(""https://docs.google.com/spreadsheets/d/11923uPwbBZFjjGgGUA6NLw09EwE0CqkOc4q9oUmW1yo/edit?usp=sharing"",""เชียงใหม่!J341"")"),1)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IFERROR(__xludf.DUMMYFUNCTION("IMPORTRANGE(""https://docs.google.com/spreadsheets/d/11923uPwbBZFjjGgGUA6NLw09EwE0CqkOc4q9oUmW1yo/edit?usp=sharing"",""เชียงใหม่!J342"")"),1)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IFERROR(__xludf.DUMMYFUNCTION("IMPORTRANGE(""https://docs.google.com/spreadsheets/d/11923uPwbBZFjjGgGUA6NLw09EwE0CqkOc4q9oUmW1yo/edit?usp=sharing"",""เชียงใหม่!J343"")"),1)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IFERROR(__xludf.DUMMYFUNCTION("IMPORTRANGE(""https://docs.google.com/spreadsheets/d/11923uPwbBZFjjGgGUA6NLw09EwE0CqkOc4q9oUmW1yo/edit?usp=sharing"",""เชียงใหม่!I344"")"),20)</f>
        <v>20</v>
      </c>
      <c r="J449" s="202">
        <f ca="1">IFERROR(__xludf.DUMMYFUNCTION("IMPORTRANGE(""https://docs.google.com/spreadsheets/d/11923uPwbBZFjjGgGUA6NLw09EwE0CqkOc4q9oUmW1yo/edit?usp=sharing"",""เชียงใหม่!J344"")"),20)</f>
        <v>20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IFERROR(__xludf.DUMMYFUNCTION("IMPORTRANGE(""https://docs.google.com/spreadsheets/d/11923uPwbBZFjjGgGUA6NLw09EwE0CqkOc4q9oUmW1yo/edit?usp=sharing"",""เชียงใหม่!I345"")"),20)</f>
        <v>20</v>
      </c>
      <c r="J450" s="190">
        <f ca="1">IFERROR(__xludf.DUMMYFUNCTION("IMPORTRANGE(""https://docs.google.com/spreadsheets/d/11923uPwbBZFjjGgGUA6NLw09EwE0CqkOc4q9oUmW1yo/edit?usp=sharing"",""เชียงใหม่!J345"")"),20)</f>
        <v>20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IFERROR(__xludf.DUMMYFUNCTION("IMPORTRANGE(""https://docs.google.com/spreadsheets/d/11923uPwbBZFjjGgGUA6NLw09EwE0CqkOc4q9oUmW1yo/edit?usp=sharing"",""เชียงใหม่!I346"")"),0)</f>
        <v>0</v>
      </c>
      <c r="J451" s="189">
        <f ca="1">IFERROR(__xludf.DUMMYFUNCTION("IMPORTRANGE(""https://docs.google.com/spreadsheets/d/11923uPwbBZFjjGgGUA6NLw09EwE0CqkOc4q9oUmW1yo/edit?usp=sharing"",""เชียงใหม่!J346"")"),0)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hidden="1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IFERROR(__xludf.DUMMYFUNCTION("IMPORTRANGE(""https://docs.google.com/spreadsheets/d/11923uPwbBZFjjGgGUA6NLw09EwE0CqkOc4q9oUmW1yo/edit?usp=sharing"",""เชียงใหม่!I347"")"),0)</f>
        <v>0</v>
      </c>
      <c r="J452" s="189">
        <f ca="1">IFERROR(__xludf.DUMMYFUNCTION("IMPORTRANGE(""https://docs.google.com/spreadsheets/d/11923uPwbBZFjjGgGUA6NLw09EwE0CqkOc4q9oUmW1yo/edit?usp=sharing"",""เชียงใหม่!J347"")"),0)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IFERROR(__xludf.DUMMYFUNCTION("IMPORTRANGE(""https://docs.google.com/spreadsheets/d/11923uPwbBZFjjGgGUA6NLw09EwE0CqkOc4q9oUmW1yo/edit?usp=sharing"",""เชียงใหม่!J348"")"),0)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IFERROR(__xludf.DUMMYFUNCTION("IMPORTRANGE(""https://docs.google.com/spreadsheets/d/11923uPwbBZFjjGgGUA6NLw09EwE0CqkOc4q9oUmW1yo/edit?usp=sharing"",""เชียงใหม่!J349"")"),0)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IFERROR(__xludf.DUMMYFUNCTION("IMPORTRANGE(""https://docs.google.com/spreadsheets/d/11923uPwbBZFjjGgGUA6NLw09EwE0CqkOc4q9oUmW1yo/edit?usp=sharing"",""เชียงใหม่!I350"")"),19467)</f>
        <v>19467</v>
      </c>
      <c r="J455" s="372">
        <f ca="1">IFERROR(__xludf.DUMMYFUNCTION("IMPORTRANGE(""https://docs.google.com/spreadsheets/d/11923uPwbBZFjjGgGUA6NLw09EwE0CqkOc4q9oUmW1yo/edit?usp=sharing"",""เชียงใหม่!J350"")"),9322)</f>
        <v>9322</v>
      </c>
      <c r="K455" s="373">
        <f ca="1">IF(I455&gt;0,J455*100/I455,0)</f>
        <v>47.886166332768276</v>
      </c>
      <c r="L455" s="374">
        <f ca="1">IFERROR(__xludf.DUMMYFUNCTION("IMPORTRANGE(""https://docs.google.com/spreadsheets/d/11923uPwbBZFjjGgGUA6NLw09EwE0CqkOc4q9oUmW1yo/edit?usp=sharing"",""เชียงใหม่!L350"")"),520639)</f>
        <v>520639</v>
      </c>
      <c r="M455" s="374"/>
      <c r="N455" s="374">
        <f ca="1">IFERROR(__xludf.DUMMYFUNCTION("IMPORTRANGE(""https://docs.google.com/spreadsheets/d/11923uPwbBZFjjGgGUA6NLw09EwE0CqkOc4q9oUmW1yo/edit?usp=sharing"",""เชียงใหม่!M350"")"),244834.91)</f>
        <v>244834.91</v>
      </c>
      <c r="O455" s="374">
        <f t="shared" ref="O455:O459" ca="1" si="116">+IF(L455&gt;0,N455*100/L455,0)</f>
        <v>47.02584900478066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IFERROR(__xludf.DUMMYFUNCTION("IMPORTRANGE(""https://docs.google.com/spreadsheets/d/11923uPwbBZFjjGgGUA6NLw09EwE0CqkOc4q9oUmW1yo/edit?usp=sharing"",""เชียงใหม่!L351"")"),0)</f>
        <v>0</v>
      </c>
      <c r="M456" s="166"/>
      <c r="N456" s="170">
        <f ca="1">IFERROR(__xludf.DUMMYFUNCTION("IMPORTRANGE(""https://docs.google.com/spreadsheets/d/11923uPwbBZFjjGgGUA6NLw09EwE0CqkOc4q9oUmW1yo/edit?usp=sharing"",""เชียงใหม่!M351"")"),0)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IFERROR(__xludf.DUMMYFUNCTION("IMPORTRANGE(""https://docs.google.com/spreadsheets/d/11923uPwbBZFjjGgGUA6NLw09EwE0CqkOc4q9oUmW1yo/edit?usp=sharing"",""เชียงใหม่!L352"")"),520639)</f>
        <v>520639</v>
      </c>
      <c r="M457" s="167"/>
      <c r="N457" s="170">
        <f ca="1">IFERROR(__xludf.DUMMYFUNCTION("IMPORTRANGE(""https://docs.google.com/spreadsheets/d/11923uPwbBZFjjGgGUA6NLw09EwE0CqkOc4q9oUmW1yo/edit?usp=sharing"",""เชียงใหม่!M352"")"),244834.91)</f>
        <v>244834.91</v>
      </c>
      <c r="O457" s="170">
        <f t="shared" ca="1" si="116"/>
        <v>47.02584900478066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IFERROR(__xludf.DUMMYFUNCTION("IMPORTRANGE(""https://docs.google.com/spreadsheets/d/11923uPwbBZFjjGgGUA6NLw09EwE0CqkOc4q9oUmW1yo/edit?usp=sharing"",""เชียงใหม่!L353"")"),0)</f>
        <v>0</v>
      </c>
      <c r="M458" s="170"/>
      <c r="N458" s="170">
        <f ca="1">IFERROR(__xludf.DUMMYFUNCTION("IMPORTRANGE(""https://docs.google.com/spreadsheets/d/11923uPwbBZFjjGgGUA6NLw09EwE0CqkOc4q9oUmW1yo/edit?usp=sharing"",""เชียงใหม่!M353"")"),0)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IFERROR(__xludf.DUMMYFUNCTION("IMPORTRANGE(""https://docs.google.com/spreadsheets/d/11923uPwbBZFjjGgGUA6NLw09EwE0CqkOc4q9oUmW1yo/edit?usp=sharing"",""เชียงใหม่!L354"")"),520639)</f>
        <v>520639</v>
      </c>
      <c r="M459" s="170"/>
      <c r="N459" s="170">
        <f ca="1">IFERROR(__xludf.DUMMYFUNCTION("IMPORTRANGE(""https://docs.google.com/spreadsheets/d/11923uPwbBZFjjGgGUA6NLw09EwE0CqkOc4q9oUmW1yo/edit?usp=sharing"",""เชียงใหม่!M354"")"),244834.91)</f>
        <v>244834.91</v>
      </c>
      <c r="O459" s="170">
        <f t="shared" ca="1" si="116"/>
        <v>47.02584900478066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IFERROR(__xludf.DUMMYFUNCTION("IMPORTRANGE(""https://docs.google.com/spreadsheets/d/11923uPwbBZFjjGgGUA6NLw09EwE0CqkOc4q9oUmW1yo/edit?usp=sharing"",""เชียงใหม่!M355"")"),0)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IFERROR(__xludf.DUMMYFUNCTION("IMPORTRANGE(""https://docs.google.com/spreadsheets/d/11923uPwbBZFjjGgGUA6NLw09EwE0CqkOc4q9oUmW1yo/edit?usp=sharing"",""เชียงใหม่!M356"")"),0)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IFERROR(__xludf.DUMMYFUNCTION("IMPORTRANGE(""https://docs.google.com/spreadsheets/d/11923uPwbBZFjjGgGUA6NLw09EwE0CqkOc4q9oUmW1yo/edit?usp=sharing"",""เชียงใหม่!M357"")"),74858.91)</f>
        <v>74858.91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IFERROR(__xludf.DUMMYFUNCTION("IMPORTRANGE(""https://docs.google.com/spreadsheets/d/11923uPwbBZFjjGgGUA6NLw09EwE0CqkOc4q9oUmW1yo/edit?usp=sharing"",""เชียงใหม่!M358"")"),169976)</f>
        <v>169976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IFERROR(__xludf.DUMMYFUNCTION("IMPORTRANGE(""https://docs.google.com/spreadsheets/d/11923uPwbBZFjjGgGUA6NLw09EwE0CqkOc4q9oUmW1yo/edit?usp=sharing"",""เชียงใหม่!I359"")"),19467)</f>
        <v>19467</v>
      </c>
      <c r="J464" s="268">
        <f ca="1">IFERROR(__xludf.DUMMYFUNCTION("IMPORTRANGE(""https://docs.google.com/spreadsheets/d/11923uPwbBZFjjGgGUA6NLw09EwE0CqkOc4q9oUmW1yo/edit?usp=sharing"",""เชียงใหม่!J359"")"),9322)</f>
        <v>9322</v>
      </c>
      <c r="K464" s="269">
        <f t="shared" ref="K464:K515" ca="1" si="117">IF(I464&gt;0,J464*100/I464,0)</f>
        <v>47.886166332768276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IFERROR(__xludf.DUMMYFUNCTION("IMPORTRANGE(""https://docs.google.com/spreadsheets/d/11923uPwbBZFjjGgGUA6NLw09EwE0CqkOc4q9oUmW1yo/edit?usp=sharing"",""เชียงใหม่!I360"")"),19467)</f>
        <v>19467</v>
      </c>
      <c r="J465" s="422">
        <f ca="1">IFERROR(__xludf.DUMMYFUNCTION("IMPORTRANGE(""https://docs.google.com/spreadsheets/d/11923uPwbBZFjjGgGUA6NLw09EwE0CqkOc4q9oUmW1yo/edit?usp=sharing"",""เชียงใหม่!J360"")"),19467.63)</f>
        <v>19467.63</v>
      </c>
      <c r="K465" s="203">
        <f t="shared" ca="1" si="117"/>
        <v>100.0032362459547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IFERROR(__xludf.DUMMYFUNCTION("IMPORTRANGE(""https://docs.google.com/spreadsheets/d/11923uPwbBZFjjGgGUA6NLw09EwE0CqkOc4q9oUmW1yo/edit?usp=sharing"",""เชียงใหม่!I361"")"),4394)</f>
        <v>4394</v>
      </c>
      <c r="J466" s="422">
        <f ca="1">IFERROR(__xludf.DUMMYFUNCTION("IMPORTRANGE(""https://docs.google.com/spreadsheets/d/11923uPwbBZFjjGgGUA6NLw09EwE0CqkOc4q9oUmW1yo/edit?usp=sharing"",""เชียงใหม่!J361"")"),4394)</f>
        <v>4394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IFERROR(__xludf.DUMMYFUNCTION("IMPORTRANGE(""https://docs.google.com/spreadsheets/d/11923uPwbBZFjjGgGUA6NLw09EwE0CqkOc4q9oUmW1yo/edit?usp=sharing"",""เชียงใหม่!I362"")"),0)</f>
        <v>0</v>
      </c>
      <c r="J467" s="190">
        <f ca="1">IFERROR(__xludf.DUMMYFUNCTION("IMPORTRANGE(""https://docs.google.com/spreadsheets/d/11923uPwbBZFjjGgGUA6NLw09EwE0CqkOc4q9oUmW1yo/edit?usp=sharing"",""เชียงใหม่!J362"")"),9243)</f>
        <v>9243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IFERROR(__xludf.DUMMYFUNCTION("IMPORTRANGE(""https://docs.google.com/spreadsheets/d/11923uPwbBZFjjGgGUA6NLw09EwE0CqkOc4q9oUmW1yo/edit?usp=sharing"",""เชียงใหม่!I363"")"),0)</f>
        <v>0</v>
      </c>
      <c r="J468" s="190">
        <f ca="1">IFERROR(__xludf.DUMMYFUNCTION("IMPORTRANGE(""https://docs.google.com/spreadsheets/d/11923uPwbBZFjjGgGUA6NLw09EwE0CqkOc4q9oUmW1yo/edit?usp=sharing"",""เชียงใหม่!J363"")"),2379)</f>
        <v>2379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IFERROR(__xludf.DUMMYFUNCTION("IMPORTRANGE(""https://docs.google.com/spreadsheets/d/11923uPwbBZFjjGgGUA6NLw09EwE0CqkOc4q9oUmW1yo/edit?usp=sharing"",""เชียงใหม่!I364"")"),0)</f>
        <v>0</v>
      </c>
      <c r="J469" s="190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IFERROR(__xludf.DUMMYFUNCTION("IMPORTRANGE(""https://docs.google.com/spreadsheets/d/11923uPwbBZFjjGgGUA6NLw09EwE0CqkOc4q9oUmW1yo/edit?usp=sharing"",""เชียงใหม่!I365"")"),0)</f>
        <v>0</v>
      </c>
      <c r="J470" s="190">
        <f ca="1">IFERROR(__xludf.DUMMYFUNCTION("IMPORTRANGE(""https://docs.google.com/spreadsheets/d/11923uPwbBZFjjGgGUA6NLw09EwE0CqkOc4q9oUmW1yo/edit?usp=sharing"",""เชียงใหม่!J365"")"),1953)</f>
        <v>1953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IFERROR(__xludf.DUMMYFUNCTION("IMPORTRANGE(""https://docs.google.com/spreadsheets/d/11923uPwbBZFjjGgGUA6NLw09EwE0CqkOc4q9oUmW1yo/edit?usp=sharing"",""เชียงใหม่!I366"")"),0)</f>
        <v>0</v>
      </c>
      <c r="J471" s="190">
        <f ca="1">IFERROR(__xludf.DUMMYFUNCTION("IMPORTRANGE(""https://docs.google.com/spreadsheets/d/11923uPwbBZFjjGgGUA6NLw09EwE0CqkOc4q9oUmW1yo/edit?usp=sharing"",""เชียงใหม่!J366"")"),204.3)</f>
        <v>204.3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IFERROR(__xludf.DUMMYFUNCTION("IMPORTRANGE(""https://docs.google.com/spreadsheets/d/11923uPwbBZFjjGgGUA6NLw09EwE0CqkOc4q9oUmW1yo/edit?usp=sharing"",""เชียงใหม่!I367"")"),0)</f>
        <v>0</v>
      </c>
      <c r="J472" s="190">
        <f ca="1">IFERROR(__xludf.DUMMYFUNCTION("IMPORTRANGE(""https://docs.google.com/spreadsheets/d/11923uPwbBZFjjGgGUA6NLw09EwE0CqkOc4q9oUmW1yo/edit?usp=sharing"",""เชียงใหม่!J367"")"),62)</f>
        <v>62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IFERROR(__xludf.DUMMYFUNCTION("IMPORTRANGE(""https://docs.google.com/spreadsheets/d/11923uPwbBZFjjGgGUA6NLw09EwE0CqkOc4q9oUmW1yo/edit?usp=sharing"",""เชียงใหม่!I368"")"),19467)</f>
        <v>19467</v>
      </c>
      <c r="J473" s="422">
        <f ca="1">IFERROR(__xludf.DUMMYFUNCTION("IMPORTRANGE(""https://docs.google.com/spreadsheets/d/11923uPwbBZFjjGgGUA6NLw09EwE0CqkOc4q9oUmW1yo/edit?usp=sharing"",""เชียงใหม่!J368"")"),19467.3399999999)</f>
        <v>19467.339999999898</v>
      </c>
      <c r="K473" s="203">
        <f t="shared" ca="1" si="117"/>
        <v>100.00174654543534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IFERROR(__xludf.DUMMYFUNCTION("IMPORTRANGE(""https://docs.google.com/spreadsheets/d/11923uPwbBZFjjGgGUA6NLw09EwE0CqkOc4q9oUmW1yo/edit?usp=sharing"",""เชียงใหม่!I369"")"),4394)</f>
        <v>4394</v>
      </c>
      <c r="J474" s="422">
        <f ca="1">IFERROR(__xludf.DUMMYFUNCTION("IMPORTRANGE(""https://docs.google.com/spreadsheets/d/11923uPwbBZFjjGgGUA6NLw09EwE0CqkOc4q9oUmW1yo/edit?usp=sharing"",""เชียงใหม่!J369"")"),4394)</f>
        <v>4394</v>
      </c>
      <c r="K474" s="203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IFERROR(__xludf.DUMMYFUNCTION("IMPORTRANGE(""https://docs.google.com/spreadsheets/d/11923uPwbBZFjjGgGUA6NLw09EwE0CqkOc4q9oUmW1yo/edit?usp=sharing"",""เชียงใหม่!I370"")"),0)</f>
        <v>0</v>
      </c>
      <c r="J475" s="190">
        <f ca="1">IFERROR(__xludf.DUMMYFUNCTION("IMPORTRANGE(""https://docs.google.com/spreadsheets/d/11923uPwbBZFjjGgGUA6NLw09EwE0CqkOc4q9oUmW1yo/edit?usp=sharing"",""เชียงใหม่!J370"")"),9321.76)</f>
        <v>9321.76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IFERROR(__xludf.DUMMYFUNCTION("IMPORTRANGE(""https://docs.google.com/spreadsheets/d/11923uPwbBZFjjGgGUA6NLw09EwE0CqkOc4q9oUmW1yo/edit?usp=sharing"",""เชียงใหม่!I371"")"),0)</f>
        <v>0</v>
      </c>
      <c r="J476" s="190">
        <f ca="1">IFERROR(__xludf.DUMMYFUNCTION("IMPORTRANGE(""https://docs.google.com/spreadsheets/d/11923uPwbBZFjjGgGUA6NLw09EwE0CqkOc4q9oUmW1yo/edit?usp=sharing"",""เชียงใหม่!J371"")"),2393)</f>
        <v>2393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IFERROR(__xludf.DUMMYFUNCTION("IMPORTRANGE(""https://docs.google.com/spreadsheets/d/11923uPwbBZFjjGgGUA6NLw09EwE0CqkOc4q9oUmW1yo/edit?usp=sharing"",""เชียงใหม่!I372"")"),0)</f>
        <v>0</v>
      </c>
      <c r="J477" s="190">
        <f ca="1">IFERROR(__xludf.DUMMYFUNCTION("IMPORTRANGE(""https://docs.google.com/spreadsheets/d/11923uPwbBZFjjGgGUA6NLw09EwE0CqkOc4q9oUmW1yo/edit?usp=sharing"",""เชียงใหม่!J372"")"),9937.23)</f>
        <v>9937.23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IFERROR(__xludf.DUMMYFUNCTION("IMPORTRANGE(""https://docs.google.com/spreadsheets/d/11923uPwbBZFjjGgGUA6NLw09EwE0CqkOc4q9oUmW1yo/edit?usp=sharing"",""เชียงใหม่!I373"")"),0)</f>
        <v>0</v>
      </c>
      <c r="J478" s="190">
        <f ca="1">IFERROR(__xludf.DUMMYFUNCTION("IMPORTRANGE(""https://docs.google.com/spreadsheets/d/11923uPwbBZFjjGgGUA6NLw09EwE0CqkOc4q9oUmW1yo/edit?usp=sharing"",""เชียงใหม่!J373"")"),1938)</f>
        <v>1938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IFERROR(__xludf.DUMMYFUNCTION("IMPORTRANGE(""https://docs.google.com/spreadsheets/d/11923uPwbBZFjjGgGUA6NLw09EwE0CqkOc4q9oUmW1yo/edit?usp=sharing"",""เชียงใหม่!I374"")"),0)</f>
        <v>0</v>
      </c>
      <c r="J479" s="190">
        <f ca="1">IFERROR(__xludf.DUMMYFUNCTION("IMPORTRANGE(""https://docs.google.com/spreadsheets/d/11923uPwbBZFjjGgGUA6NLw09EwE0CqkOc4q9oUmW1yo/edit?usp=sharing"",""เชียงใหม่!J374"")"),208.35)</f>
        <v>208.35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IFERROR(__xludf.DUMMYFUNCTION("IMPORTRANGE(""https://docs.google.com/spreadsheets/d/11923uPwbBZFjjGgGUA6NLw09EwE0CqkOc4q9oUmW1yo/edit?usp=sharing"",""เชียงใหม่!I375"")"),0)</f>
        <v>0</v>
      </c>
      <c r="J480" s="190">
        <f ca="1">IFERROR(__xludf.DUMMYFUNCTION("IMPORTRANGE(""https://docs.google.com/spreadsheets/d/11923uPwbBZFjjGgGUA6NLw09EwE0CqkOc4q9oUmW1yo/edit?usp=sharing"",""เชียงใหม่!J375"")"),63)</f>
        <v>63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IFERROR(__xludf.DUMMYFUNCTION("IMPORTRANGE(""https://docs.google.com/spreadsheets/d/11923uPwbBZFjjGgGUA6NLw09EwE0CqkOc4q9oUmW1yo/edit?usp=sharing"",""เชียงใหม่!I376"")"),19467)</f>
        <v>19467</v>
      </c>
      <c r="J481" s="422">
        <f ca="1">IFERROR(__xludf.DUMMYFUNCTION("IMPORTRANGE(""https://docs.google.com/spreadsheets/d/11923uPwbBZFjjGgGUA6NLw09EwE0CqkOc4q9oUmW1yo/edit?usp=sharing"",""เชียงใหม่!J376"")"),9322)</f>
        <v>9322</v>
      </c>
      <c r="K481" s="203">
        <f t="shared" ca="1" si="117"/>
        <v>47.886166332768276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IFERROR(__xludf.DUMMYFUNCTION("IMPORTRANGE(""https://docs.google.com/spreadsheets/d/11923uPwbBZFjjGgGUA6NLw09EwE0CqkOc4q9oUmW1yo/edit?usp=sharing"",""เชียงใหม่!I377"")"),4394)</f>
        <v>4394</v>
      </c>
      <c r="J482" s="422">
        <f ca="1">IFERROR(__xludf.DUMMYFUNCTION("IMPORTRANGE(""https://docs.google.com/spreadsheets/d/11923uPwbBZFjjGgGUA6NLw09EwE0CqkOc4q9oUmW1yo/edit?usp=sharing"",""เชียงใหม่!J377"")"),2393)</f>
        <v>2393</v>
      </c>
      <c r="K482" s="203">
        <f t="shared" ca="1" si="117"/>
        <v>54.460628129267185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IFERROR(__xludf.DUMMYFUNCTION("IMPORTRANGE(""https://docs.google.com/spreadsheets/d/11923uPwbBZFjjGgGUA6NLw09EwE0CqkOc4q9oUmW1yo/edit?usp=sharing"",""เชียงใหม่!I378"")"),0)</f>
        <v>0</v>
      </c>
      <c r="J483" s="190">
        <f ca="1">IFERROR(__xludf.DUMMYFUNCTION("IMPORTRANGE(""https://docs.google.com/spreadsheets/d/11923uPwbBZFjjGgGUA6NLw09EwE0CqkOc4q9oUmW1yo/edit?usp=sharing"",""เชียงใหม่!J378"")"),9322)</f>
        <v>9322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IFERROR(__xludf.DUMMYFUNCTION("IMPORTRANGE(""https://docs.google.com/spreadsheets/d/11923uPwbBZFjjGgGUA6NLw09EwE0CqkOc4q9oUmW1yo/edit?usp=sharing"",""เชียงใหม่!I379"")"),0)</f>
        <v>0</v>
      </c>
      <c r="J484" s="190">
        <f ca="1">IFERROR(__xludf.DUMMYFUNCTION("IMPORTRANGE(""https://docs.google.com/spreadsheets/d/11923uPwbBZFjjGgGUA6NLw09EwE0CqkOc4q9oUmW1yo/edit?usp=sharing"",""เชียงใหม่!J379"")"),2393)</f>
        <v>2393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IFERROR(__xludf.DUMMYFUNCTION("IMPORTRANGE(""https://docs.google.com/spreadsheets/d/11923uPwbBZFjjGgGUA6NLw09EwE0CqkOc4q9oUmW1yo/edit?usp=sharing"",""เชียงใหม่!I380"")"),0)</f>
        <v>0</v>
      </c>
      <c r="J485" s="190">
        <f ca="1">IFERROR(__xludf.DUMMYFUNCTION("IMPORTRANGE(""https://docs.google.com/spreadsheets/d/11923uPwbBZFjjGgGUA6NLw09EwE0CqkOc4q9oUmW1yo/edit?usp=sharing"",""เชียงใหม่!J380"")"),0)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IFERROR(__xludf.DUMMYFUNCTION("IMPORTRANGE(""https://docs.google.com/spreadsheets/d/11923uPwbBZFjjGgGUA6NLw09EwE0CqkOc4q9oUmW1yo/edit?usp=sharing"",""เชียงใหม่!I381"")"),0)</f>
        <v>0</v>
      </c>
      <c r="J486" s="190">
        <f ca="1">IFERROR(__xludf.DUMMYFUNCTION("IMPORTRANGE(""https://docs.google.com/spreadsheets/d/11923uPwbBZFjjGgGUA6NLw09EwE0CqkOc4q9oUmW1yo/edit?usp=sharing"",""เชียงใหม่!J381"")"),0)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IFERROR(__xludf.DUMMYFUNCTION("IMPORTRANGE(""https://docs.google.com/spreadsheets/d/11923uPwbBZFjjGgGUA6NLw09EwE0CqkOc4q9oUmW1yo/edit?usp=sharing"",""เชียงใหม่!I382"")"),0)</f>
        <v>0</v>
      </c>
      <c r="J487" s="422">
        <f ca="1">IFERROR(__xludf.DUMMYFUNCTION("IMPORTRANGE(""https://docs.google.com/spreadsheets/d/11923uPwbBZFjjGgGUA6NLw09EwE0CqkOc4q9oUmW1yo/edit?usp=sharing"",""เชียงใหม่!J382"")"),0)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IFERROR(__xludf.DUMMYFUNCTION("IMPORTRANGE(""https://docs.google.com/spreadsheets/d/11923uPwbBZFjjGgGUA6NLw09EwE0CqkOc4q9oUmW1yo/edit?usp=sharing"",""เชียงใหม่!I383"")"),0)</f>
        <v>0</v>
      </c>
      <c r="J488" s="422">
        <f ca="1">IFERROR(__xludf.DUMMYFUNCTION("IMPORTRANGE(""https://docs.google.com/spreadsheets/d/11923uPwbBZFjjGgGUA6NLw09EwE0CqkOc4q9oUmW1yo/edit?usp=sharing"",""เชียงใหม่!J383"")"),0)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IFERROR(__xludf.DUMMYFUNCTION("IMPORTRANGE(""https://docs.google.com/spreadsheets/d/11923uPwbBZFjjGgGUA6NLw09EwE0CqkOc4q9oUmW1yo/edit?usp=sharing"",""เชียงใหม่!I384"")"),0)</f>
        <v>0</v>
      </c>
      <c r="J489" s="190">
        <f ca="1">IFERROR(__xludf.DUMMYFUNCTION("IMPORTRANGE(""https://docs.google.com/spreadsheets/d/11923uPwbBZFjjGgGUA6NLw09EwE0CqkOc4q9oUmW1yo/edit?usp=sharing"",""เชียงใหม่!J384"")"),0)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IFERROR(__xludf.DUMMYFUNCTION("IMPORTRANGE(""https://docs.google.com/spreadsheets/d/11923uPwbBZFjjGgGUA6NLw09EwE0CqkOc4q9oUmW1yo/edit?usp=sharing"",""เชียงใหม่!I385"")"),0)</f>
        <v>0</v>
      </c>
      <c r="J490" s="190">
        <f ca="1">IFERROR(__xludf.DUMMYFUNCTION("IMPORTRANGE(""https://docs.google.com/spreadsheets/d/11923uPwbBZFjjGgGUA6NLw09EwE0CqkOc4q9oUmW1yo/edit?usp=sharing"",""เชียงใหม่!J385"")"),0)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IFERROR(__xludf.DUMMYFUNCTION("IMPORTRANGE(""https://docs.google.com/spreadsheets/d/11923uPwbBZFjjGgGUA6NLw09EwE0CqkOc4q9oUmW1yo/edit?usp=sharing"",""เชียงใหม่!I386"")"),0)</f>
        <v>0</v>
      </c>
      <c r="J491" s="190">
        <f ca="1">IFERROR(__xludf.DUMMYFUNCTION("IMPORTRANGE(""https://docs.google.com/spreadsheets/d/11923uPwbBZFjjGgGUA6NLw09EwE0CqkOc4q9oUmW1yo/edit?usp=sharing"",""เชียงใหม่!J386"")"),0)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IFERROR(__xludf.DUMMYFUNCTION("IMPORTRANGE(""https://docs.google.com/spreadsheets/d/11923uPwbBZFjjGgGUA6NLw09EwE0CqkOc4q9oUmW1yo/edit?usp=sharing"",""เชียงใหม่!I387"")"),0)</f>
        <v>0</v>
      </c>
      <c r="J492" s="190">
        <f ca="1">IFERROR(__xludf.DUMMYFUNCTION("IMPORTRANGE(""https://docs.google.com/spreadsheets/d/11923uPwbBZFjjGgGUA6NLw09EwE0CqkOc4q9oUmW1yo/edit?usp=sharing"",""เชียงใหม่!J387"")"),0)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IFERROR(__xludf.DUMMYFUNCTION("IMPORTRANGE(""https://docs.google.com/spreadsheets/d/11923uPwbBZFjjGgGUA6NLw09EwE0CqkOc4q9oUmW1yo/edit?usp=sharing"",""เชียงใหม่!I388"")"),0)</f>
        <v>0</v>
      </c>
      <c r="J493" s="190">
        <f ca="1">IFERROR(__xludf.DUMMYFUNCTION("IMPORTRANGE(""https://docs.google.com/spreadsheets/d/11923uPwbBZFjjGgGUA6NLw09EwE0CqkOc4q9oUmW1yo/edit?usp=sharing"",""เชียงใหม่!J388"")"),0)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IFERROR(__xludf.DUMMYFUNCTION("IMPORTRANGE(""https://docs.google.com/spreadsheets/d/11923uPwbBZFjjGgGUA6NLw09EwE0CqkOc4q9oUmW1yo/edit?usp=sharing"",""เชียงใหม่!I389"")"),0)</f>
        <v>0</v>
      </c>
      <c r="J494" s="438">
        <f ca="1">IFERROR(__xludf.DUMMYFUNCTION("IMPORTRANGE(""https://docs.google.com/spreadsheets/d/11923uPwbBZFjjGgGUA6NLw09EwE0CqkOc4q9oUmW1yo/edit?usp=sharing"",""เชียงใหม่!J389"")"),0)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IFERROR(__xludf.DUMMYFUNCTION("IMPORTRANGE(""https://docs.google.com/spreadsheets/d/11923uPwbBZFjjGgGUA6NLw09EwE0CqkOc4q9oUmW1yo/edit?usp=sharing"",""เชียงใหม่!I390"")"),0)</f>
        <v>0</v>
      </c>
      <c r="J495" s="438">
        <f ca="1">IFERROR(__xludf.DUMMYFUNCTION("IMPORTRANGE(""https://docs.google.com/spreadsheets/d/11923uPwbBZFjjGgGUA6NLw09EwE0CqkOc4q9oUmW1yo/edit?usp=sharing"",""เชียงใหม่!J390"")"),0)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IFERROR(__xludf.DUMMYFUNCTION("IMPORTRANGE(""https://docs.google.com/spreadsheets/d/11923uPwbBZFjjGgGUA6NLw09EwE0CqkOc4q9oUmW1yo/edit?usp=sharing"",""เชียงใหม่!I391"")"),0)</f>
        <v>0</v>
      </c>
      <c r="J496" s="438">
        <f ca="1">IFERROR(__xludf.DUMMYFUNCTION("IMPORTRANGE(""https://docs.google.com/spreadsheets/d/11923uPwbBZFjjGgGUA6NLw09EwE0CqkOc4q9oUmW1yo/edit?usp=sharing"",""เชียงใหม่!J391"")"),0)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IFERROR(__xludf.DUMMYFUNCTION("IMPORTRANGE(""https://docs.google.com/spreadsheets/d/11923uPwbBZFjjGgGUA6NLw09EwE0CqkOc4q9oUmW1yo/edit?usp=sharing"",""เชียงใหม่!I392"")"),5091)</f>
        <v>5091</v>
      </c>
      <c r="J497" s="445">
        <f ca="1">IFERROR(__xludf.DUMMYFUNCTION("IMPORTRANGE(""https://docs.google.com/spreadsheets/d/11923uPwbBZFjjGgGUA6NLw09EwE0CqkOc4q9oUmW1yo/edit?usp=sharing"",""เชียงใหม่!J392"")"),3473.1)</f>
        <v>3473.1</v>
      </c>
      <c r="K497" s="446">
        <f t="shared" ca="1" si="117"/>
        <v>68.220388921626395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IFERROR(__xludf.DUMMYFUNCTION("IMPORTRANGE(""https://docs.google.com/spreadsheets/d/11923uPwbBZFjjGgGUA6NLw09EwE0CqkOc4q9oUmW1yo/edit?usp=sharing"",""เชียงใหม่!I393"")"),5091)</f>
        <v>5091</v>
      </c>
      <c r="J498" s="422">
        <f ca="1">IFERROR(__xludf.DUMMYFUNCTION("IMPORTRANGE(""https://docs.google.com/spreadsheets/d/11923uPwbBZFjjGgGUA6NLw09EwE0CqkOc4q9oUmW1yo/edit?usp=sharing"",""เชียงใหม่!J393"")"),3473.1)</f>
        <v>3473.1</v>
      </c>
      <c r="K498" s="203">
        <f t="shared" ca="1" si="117"/>
        <v>68.220388921626395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IFERROR(__xludf.DUMMYFUNCTION("IMPORTRANGE(""https://docs.google.com/spreadsheets/d/11923uPwbBZFjjGgGUA6NLw09EwE0CqkOc4q9oUmW1yo/edit?usp=sharing"",""เชียงใหม่!I394"")"),629)</f>
        <v>629</v>
      </c>
      <c r="J499" s="422">
        <f ca="1">IFERROR(__xludf.DUMMYFUNCTION("IMPORTRANGE(""https://docs.google.com/spreadsheets/d/11923uPwbBZFjjGgGUA6NLw09EwE0CqkOc4q9oUmW1yo/edit?usp=sharing"",""เชียงใหม่!J394"")"),366)</f>
        <v>366</v>
      </c>
      <c r="K499" s="203">
        <f t="shared" ca="1" si="117"/>
        <v>58.187599364069953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IFERROR(__xludf.DUMMYFUNCTION("IMPORTRANGE(""https://docs.google.com/spreadsheets/d/11923uPwbBZFjjGgGUA6NLw09EwE0CqkOc4q9oUmW1yo/edit?usp=sharing"",""เชียงใหม่!I395"")"),0)</f>
        <v>0</v>
      </c>
      <c r="J500" s="164">
        <f ca="1">IFERROR(__xludf.DUMMYFUNCTION("IMPORTRANGE(""https://docs.google.com/spreadsheets/d/11923uPwbBZFjjGgGUA6NLw09EwE0CqkOc4q9oUmW1yo/edit?usp=sharing"",""เชียงใหม่!J395"")"),3159)</f>
        <v>3159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IFERROR(__xludf.DUMMYFUNCTION("IMPORTRANGE(""https://docs.google.com/spreadsheets/d/11923uPwbBZFjjGgGUA6NLw09EwE0CqkOc4q9oUmW1yo/edit?usp=sharing"",""เชียงใหม่!I396"")"),0)</f>
        <v>0</v>
      </c>
      <c r="J501" s="164">
        <f ca="1">IFERROR(__xludf.DUMMYFUNCTION("IMPORTRANGE(""https://docs.google.com/spreadsheets/d/11923uPwbBZFjjGgGUA6NLw09EwE0CqkOc4q9oUmW1yo/edit?usp=sharing"",""เชียงใหม่!J396"")"),336)</f>
        <v>336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IFERROR(__xludf.DUMMYFUNCTION("IMPORTRANGE(""https://docs.google.com/spreadsheets/d/11923uPwbBZFjjGgGUA6NLw09EwE0CqkOc4q9oUmW1yo/edit?usp=sharing"",""เชียงใหม่!I397"")"),0)</f>
        <v>0</v>
      </c>
      <c r="J502" s="190">
        <f ca="1">IFERROR(__xludf.DUMMYFUNCTION("IMPORTRANGE(""https://docs.google.com/spreadsheets/d/11923uPwbBZFjjGgGUA6NLw09EwE0CqkOc4q9oUmW1yo/edit?usp=sharing"",""เชียงใหม่!J397"")"),487)</f>
        <v>487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IFERROR(__xludf.DUMMYFUNCTION("IMPORTRANGE(""https://docs.google.com/spreadsheets/d/11923uPwbBZFjjGgGUA6NLw09EwE0CqkOc4q9oUmW1yo/edit?usp=sharing"",""เชียงใหม่!I398"")"),0)</f>
        <v>0</v>
      </c>
      <c r="J503" s="199">
        <f ca="1">IFERROR(__xludf.DUMMYFUNCTION("IMPORTRANGE(""https://docs.google.com/spreadsheets/d/11923uPwbBZFjjGgGUA6NLw09EwE0CqkOc4q9oUmW1yo/edit?usp=sharing"",""เชียงใหม่!J398"")"),42)</f>
        <v>42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IFERROR(__xludf.DUMMYFUNCTION("IMPORTRANGE(""https://docs.google.com/spreadsheets/d/11923uPwbBZFjjGgGUA6NLw09EwE0CqkOc4q9oUmW1yo/edit?usp=sharing"",""เชียงใหม่!I399"")"),0)</f>
        <v>0</v>
      </c>
      <c r="J504" s="190">
        <f ca="1">IFERROR(__xludf.DUMMYFUNCTION("IMPORTRANGE(""https://docs.google.com/spreadsheets/d/11923uPwbBZFjjGgGUA6NLw09EwE0CqkOc4q9oUmW1yo/edit?usp=sharing"",""เชียงใหม่!J399"")"),2672)</f>
        <v>2672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IFERROR(__xludf.DUMMYFUNCTION("IMPORTRANGE(""https://docs.google.com/spreadsheets/d/11923uPwbBZFjjGgGUA6NLw09EwE0CqkOc4q9oUmW1yo/edit?usp=sharing"",""เชียงใหม่!I400"")"),0)</f>
        <v>0</v>
      </c>
      <c r="J505" s="199">
        <f ca="1">IFERROR(__xludf.DUMMYFUNCTION("IMPORTRANGE(""https://docs.google.com/spreadsheets/d/11923uPwbBZFjjGgGUA6NLw09EwE0CqkOc4q9oUmW1yo/edit?usp=sharing"",""เชียงใหม่!J400"")"),294)</f>
        <v>294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IFERROR(__xludf.DUMMYFUNCTION("IMPORTRANGE(""https://docs.google.com/spreadsheets/d/11923uPwbBZFjjGgGUA6NLw09EwE0CqkOc4q9oUmW1yo/edit?usp=sharing"",""เชียงใหม่!I401"")"),0)</f>
        <v>0</v>
      </c>
      <c r="J506" s="190">
        <f ca="1">IFERROR(__xludf.DUMMYFUNCTION("IMPORTRANGE(""https://docs.google.com/spreadsheets/d/11923uPwbBZFjjGgGUA6NLw09EwE0CqkOc4q9oUmW1yo/edit?usp=sharing"",""เชียงใหม่!J401"")"),0)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IFERROR(__xludf.DUMMYFUNCTION("IMPORTRANGE(""https://docs.google.com/spreadsheets/d/11923uPwbBZFjjGgGUA6NLw09EwE0CqkOc4q9oUmW1yo/edit?usp=sharing"",""เชียงใหม่!I402"")"),0)</f>
        <v>0</v>
      </c>
      <c r="J507" s="199">
        <f ca="1">IFERROR(__xludf.DUMMYFUNCTION("IMPORTRANGE(""https://docs.google.com/spreadsheets/d/11923uPwbBZFjjGgGUA6NLw09EwE0CqkOc4q9oUmW1yo/edit?usp=sharing"",""เชียงใหม่!J402"")"),0)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IFERROR(__xludf.DUMMYFUNCTION("IMPORTRANGE(""https://docs.google.com/spreadsheets/d/11923uPwbBZFjjGgGUA6NLw09EwE0CqkOc4q9oUmW1yo/edit?usp=sharing"",""เชียงใหม่!I403"")"),0)</f>
        <v>0</v>
      </c>
      <c r="J508" s="164">
        <f ca="1">IFERROR(__xludf.DUMMYFUNCTION("IMPORTRANGE(""https://docs.google.com/spreadsheets/d/11923uPwbBZFjjGgGUA6NLw09EwE0CqkOc4q9oUmW1yo/edit?usp=sharing"",""เชียงใหม่!J403"")"),13.1)</f>
        <v>13.1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IFERROR(__xludf.DUMMYFUNCTION("IMPORTRANGE(""https://docs.google.com/spreadsheets/d/11923uPwbBZFjjGgGUA6NLw09EwE0CqkOc4q9oUmW1yo/edit?usp=sharing"",""เชียงใหม่!I404"")"),0)</f>
        <v>0</v>
      </c>
      <c r="J509" s="164">
        <f ca="1">IFERROR(__xludf.DUMMYFUNCTION("IMPORTRANGE(""https://docs.google.com/spreadsheets/d/11923uPwbBZFjjGgGUA6NLw09EwE0CqkOc4q9oUmW1yo/edit?usp=sharing"",""เชียงใหม่!J404"")"),6)</f>
        <v>6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IFERROR(__xludf.DUMMYFUNCTION("IMPORTRANGE(""https://docs.google.com/spreadsheets/d/11923uPwbBZFjjGgGUA6NLw09EwE0CqkOc4q9oUmW1yo/edit?usp=sharing"",""เชียงใหม่!I405"")"),0)</f>
        <v>0</v>
      </c>
      <c r="J510" s="563">
        <f ca="1">IFERROR(__xludf.DUMMYFUNCTION("IMPORTRANGE(""https://docs.google.com/spreadsheets/d/11923uPwbBZFjjGgGUA6NLw09EwE0CqkOc4q9oUmW1yo/edit?usp=sharing"",""เชียงใหม่!J405"")"),0.1)</f>
        <v>0.1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IFERROR(__xludf.DUMMYFUNCTION("IMPORTRANGE(""https://docs.google.com/spreadsheets/d/11923uPwbBZFjjGgGUA6NLw09EwE0CqkOc4q9oUmW1yo/edit?usp=sharing"",""เชียงใหม่!I406"")"),0)</f>
        <v>0</v>
      </c>
      <c r="J511" s="199">
        <f ca="1">IFERROR(__xludf.DUMMYFUNCTION("IMPORTRANGE(""https://docs.google.com/spreadsheets/d/11923uPwbBZFjjGgGUA6NLw09EwE0CqkOc4q9oUmW1yo/edit?usp=sharing"",""เชียงใหม่!J406"")"),1)</f>
        <v>1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IFERROR(__xludf.DUMMYFUNCTION("IMPORTRANGE(""https://docs.google.com/spreadsheets/d/11923uPwbBZFjjGgGUA6NLw09EwE0CqkOc4q9oUmW1yo/edit?usp=sharing"",""เชียงใหม่!I407"")"),0)</f>
        <v>0</v>
      </c>
      <c r="J512" s="199">
        <f ca="1">IFERROR(__xludf.DUMMYFUNCTION("IMPORTRANGE(""https://docs.google.com/spreadsheets/d/11923uPwbBZFjjGgGUA6NLw09EwE0CqkOc4q9oUmW1yo/edit?usp=sharing"",""เชียงใหม่!J407"")"),13)</f>
        <v>13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IFERROR(__xludf.DUMMYFUNCTION("IMPORTRANGE(""https://docs.google.com/spreadsheets/d/11923uPwbBZFjjGgGUA6NLw09EwE0CqkOc4q9oUmW1yo/edit?usp=sharing"",""เชียงใหม่!I408"")"),0)</f>
        <v>0</v>
      </c>
      <c r="J513" s="199">
        <f ca="1">IFERROR(__xludf.DUMMYFUNCTION("IMPORTRANGE(""https://docs.google.com/spreadsheets/d/11923uPwbBZFjjGgGUA6NLw09EwE0CqkOc4q9oUmW1yo/edit?usp=sharing"",""เชียงใหม่!J408"")"),5)</f>
        <v>5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IFERROR(__xludf.DUMMYFUNCTION("IMPORTRANGE(""https://docs.google.com/spreadsheets/d/11923uPwbBZFjjGgGUA6NLw09EwE0CqkOc4q9oUmW1yo/edit?usp=sharing"",""เชียงใหม่!I409"")"),0)</f>
        <v>0</v>
      </c>
      <c r="J514" s="199">
        <f ca="1">IFERROR(__xludf.DUMMYFUNCTION("IMPORTRANGE(""https://docs.google.com/spreadsheets/d/11923uPwbBZFjjGgGUA6NLw09EwE0CqkOc4q9oUmW1yo/edit?usp=sharing"",""เชียงใหม่!J409"")"),301)</f>
        <v>301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IFERROR(__xludf.DUMMYFUNCTION("IMPORTRANGE(""https://docs.google.com/spreadsheets/d/11923uPwbBZFjjGgGUA6NLw09EwE0CqkOc4q9oUmW1yo/edit?usp=sharing"",""เชียงใหม่!I410"")"),0)</f>
        <v>0</v>
      </c>
      <c r="J515" s="199">
        <f ca="1">IFERROR(__xludf.DUMMYFUNCTION("IMPORTRANGE(""https://docs.google.com/spreadsheets/d/11923uPwbBZFjjGgGUA6NLw09EwE0CqkOc4q9oUmW1yo/edit?usp=sharing"",""เชียงใหม่!J410"")"),24)</f>
        <v>24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IFERROR(__xludf.DUMMYFUNCTION("IMPORTRANGE(""https://docs.google.com/spreadsheets/d/11923uPwbBZFjjGgGUA6NLw09EwE0CqkOc4q9oUmW1yo/edit?usp=sharing"",""เชียงใหม่!I411"")"),0)</f>
        <v>0</v>
      </c>
      <c r="J516" s="268">
        <f ca="1">IFERROR(__xludf.DUMMYFUNCTION("IMPORTRANGE(""https://docs.google.com/spreadsheets/d/11923uPwbBZFjjGgGUA6NLw09EwE0CqkOc4q9oUmW1yo/edit?usp=sharing"",""เชียงใหม่!J411"")"),0)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IFERROR(__xludf.DUMMYFUNCTION("IMPORTRANGE(""https://docs.google.com/spreadsheets/d/11923uPwbBZFjjGgGUA6NLw09EwE0CqkOc4q9oUmW1yo/edit?usp=sharing"",""เชียงใหม่!I412"")"),0)</f>
        <v>0</v>
      </c>
      <c r="J517" s="285">
        <f ca="1">IFERROR(__xludf.DUMMYFUNCTION("IMPORTRANGE(""https://docs.google.com/spreadsheets/d/11923uPwbBZFjjGgGUA6NLw09EwE0CqkOc4q9oUmW1yo/edit?usp=sharing"",""เชียงใหม่!J412"")"),0)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IFERROR(__xludf.DUMMYFUNCTION("IMPORTRANGE(""https://docs.google.com/spreadsheets/d/11923uPwbBZFjjGgGUA6NLw09EwE0CqkOc4q9oUmW1yo/edit?usp=sharing"",""เชียงใหม่!I413"")"),0)</f>
        <v>0</v>
      </c>
      <c r="J518" s="285">
        <f ca="1">IFERROR(__xludf.DUMMYFUNCTION("IMPORTRANGE(""https://docs.google.com/spreadsheets/d/11923uPwbBZFjjGgGUA6NLw09EwE0CqkOc4q9oUmW1yo/edit?usp=sharing"",""เชียงใหม่!J413"")"),0)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IFERROR(__xludf.DUMMYFUNCTION("IMPORTRANGE(""https://docs.google.com/spreadsheets/d/11923uPwbBZFjjGgGUA6NLw09EwE0CqkOc4q9oUmW1yo/edit?usp=sharing"",""เชียงใหม่!I414"")"),0)</f>
        <v>0</v>
      </c>
      <c r="J519" s="189">
        <f ca="1">IFERROR(__xludf.DUMMYFUNCTION("IMPORTRANGE(""https://docs.google.com/spreadsheets/d/11923uPwbBZFjjGgGUA6NLw09EwE0CqkOc4q9oUmW1yo/edit?usp=sharing"",""เชียงใหม่!J414"")"),0)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IFERROR(__xludf.DUMMYFUNCTION("IMPORTRANGE(""https://docs.google.com/spreadsheets/d/11923uPwbBZFjjGgGUA6NLw09EwE0CqkOc4q9oUmW1yo/edit?usp=sharing"",""เชียงใหม่!I415"")"),0)</f>
        <v>0</v>
      </c>
      <c r="J520" s="189">
        <f ca="1">IFERROR(__xludf.DUMMYFUNCTION("IMPORTRANGE(""https://docs.google.com/spreadsheets/d/11923uPwbBZFjjGgGUA6NLw09EwE0CqkOc4q9oUmW1yo/edit?usp=sharing"",""เชียงใหม่!J415"")"),0)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IFERROR(__xludf.DUMMYFUNCTION("IMPORTRANGE(""https://docs.google.com/spreadsheets/d/11923uPwbBZFjjGgGUA6NLw09EwE0CqkOc4q9oUmW1yo/edit?usp=sharing"",""เชียงใหม่!I416"")"),0)</f>
        <v>0</v>
      </c>
      <c r="J521" s="189">
        <f ca="1">IFERROR(__xludf.DUMMYFUNCTION("IMPORTRANGE(""https://docs.google.com/spreadsheets/d/11923uPwbBZFjjGgGUA6NLw09EwE0CqkOc4q9oUmW1yo/edit?usp=sharing"",""เชียงใหม่!J416"")"),0)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IFERROR(__xludf.DUMMYFUNCTION("IMPORTRANGE(""https://docs.google.com/spreadsheets/d/11923uPwbBZFjjGgGUA6NLw09EwE0CqkOc4q9oUmW1yo/edit?usp=sharing"",""เชียงใหม่!I417"")"),0)</f>
        <v>0</v>
      </c>
      <c r="J522" s="189">
        <f ca="1">IFERROR(__xludf.DUMMYFUNCTION("IMPORTRANGE(""https://docs.google.com/spreadsheets/d/11923uPwbBZFjjGgGUA6NLw09EwE0CqkOc4q9oUmW1yo/edit?usp=sharing"",""เชียงใหม่!J417"")"),0)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IFERROR(__xludf.DUMMYFUNCTION("IMPORTRANGE(""https://docs.google.com/spreadsheets/d/11923uPwbBZFjjGgGUA6NLw09EwE0CqkOc4q9oUmW1yo/edit?usp=sharing"",""เชียงใหม่!I418"")"),0)</f>
        <v>0</v>
      </c>
      <c r="J523" s="189">
        <f ca="1">IFERROR(__xludf.DUMMYFUNCTION("IMPORTRANGE(""https://docs.google.com/spreadsheets/d/11923uPwbBZFjjGgGUA6NLw09EwE0CqkOc4q9oUmW1yo/edit?usp=sharing"",""เชียงใหม่!J418"")"),59)</f>
        <v>59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IFERROR(__xludf.DUMMYFUNCTION("IMPORTRANGE(""https://docs.google.com/spreadsheets/d/11923uPwbBZFjjGgGUA6NLw09EwE0CqkOc4q9oUmW1yo/edit?usp=sharing"",""เชียงใหม่!I419"")"),0)</f>
        <v>0</v>
      </c>
      <c r="J524" s="189">
        <f ca="1">IFERROR(__xludf.DUMMYFUNCTION("IMPORTRANGE(""https://docs.google.com/spreadsheets/d/11923uPwbBZFjjGgGUA6NLw09EwE0CqkOc4q9oUmW1yo/edit?usp=sharing"",""เชียงใหม่!J419"")"),15)</f>
        <v>15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IFERROR(__xludf.DUMMYFUNCTION("IMPORTRANGE(""https://docs.google.com/spreadsheets/d/11923uPwbBZFjjGgGUA6NLw09EwE0CqkOc4q9oUmW1yo/edit?usp=sharing"",""เชียงใหม่!I420"")"),59)</f>
        <v>59</v>
      </c>
      <c r="J525" s="285">
        <f ca="1">IFERROR(__xludf.DUMMYFUNCTION("IMPORTRANGE(""https://docs.google.com/spreadsheets/d/11923uPwbBZFjjGgGUA6NLw09EwE0CqkOc4q9oUmW1yo/edit?usp=sharing"",""เชียงใหม่!J420"")"),0)</f>
        <v>0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IFERROR(__xludf.DUMMYFUNCTION("IMPORTRANGE(""https://docs.google.com/spreadsheets/d/11923uPwbBZFjjGgGUA6NLw09EwE0CqkOc4q9oUmW1yo/edit?usp=sharing"",""เชียงใหม่!I421"")"),15)</f>
        <v>15</v>
      </c>
      <c r="J526" s="285">
        <f ca="1">IFERROR(__xludf.DUMMYFUNCTION("IMPORTRANGE(""https://docs.google.com/spreadsheets/d/11923uPwbBZFjjGgGUA6NLw09EwE0CqkOc4q9oUmW1yo/edit?usp=sharing"",""เชียงใหม่!J421"")"),0)</f>
        <v>0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IFERROR(__xludf.DUMMYFUNCTION("IMPORTRANGE(""https://docs.google.com/spreadsheets/d/11923uPwbBZFjjGgGUA6NLw09EwE0CqkOc4q9oUmW1yo/edit?usp=sharing"",""เชียงใหม่!I422"")"),0)</f>
        <v>0</v>
      </c>
      <c r="J527" s="199">
        <f ca="1">IFERROR(__xludf.DUMMYFUNCTION("IMPORTRANGE(""https://docs.google.com/spreadsheets/d/11923uPwbBZFjjGgGUA6NLw09EwE0CqkOc4q9oUmW1yo/edit?usp=sharing"",""เชียงใหม่!J422"")"),0)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IFERROR(__xludf.DUMMYFUNCTION("IMPORTRANGE(""https://docs.google.com/spreadsheets/d/11923uPwbBZFjjGgGUA6NLw09EwE0CqkOc4q9oUmW1yo/edit?usp=sharing"",""เชียงใหม่!I423"")"),0)</f>
        <v>0</v>
      </c>
      <c r="J528" s="199">
        <f ca="1">IFERROR(__xludf.DUMMYFUNCTION("IMPORTRANGE(""https://docs.google.com/spreadsheets/d/11923uPwbBZFjjGgGUA6NLw09EwE0CqkOc4q9oUmW1yo/edit?usp=sharing"",""เชียงใหม่!J423"")"),0)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IFERROR(__xludf.DUMMYFUNCTION("IMPORTRANGE(""https://docs.google.com/spreadsheets/d/11923uPwbBZFjjGgGUA6NLw09EwE0CqkOc4q9oUmW1yo/edit?usp=sharing"",""เชียงใหม่!I424"")"),0)</f>
        <v>0</v>
      </c>
      <c r="J529" s="199">
        <f ca="1">IFERROR(__xludf.DUMMYFUNCTION("IMPORTRANGE(""https://docs.google.com/spreadsheets/d/11923uPwbBZFjjGgGUA6NLw09EwE0CqkOc4q9oUmW1yo/edit?usp=sharing"",""เชียงใหม่!J424"")"),0)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IFERROR(__xludf.DUMMYFUNCTION("IMPORTRANGE(""https://docs.google.com/spreadsheets/d/11923uPwbBZFjjGgGUA6NLw09EwE0CqkOc4q9oUmW1yo/edit?usp=sharing"",""เชียงใหม่!I425"")"),0)</f>
        <v>0</v>
      </c>
      <c r="J530" s="199">
        <f ca="1">IFERROR(__xludf.DUMMYFUNCTION("IMPORTRANGE(""https://docs.google.com/spreadsheets/d/11923uPwbBZFjjGgGUA6NLw09EwE0CqkOc4q9oUmW1yo/edit?usp=sharing"",""เชียงใหม่!J425"")"),0)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IFERROR(__xludf.DUMMYFUNCTION("IMPORTRANGE(""https://docs.google.com/spreadsheets/d/11923uPwbBZFjjGgGUA6NLw09EwE0CqkOc4q9oUmW1yo/edit?usp=sharing"",""เชียงใหม่!I426"")"),0)</f>
        <v>0</v>
      </c>
      <c r="J531" s="199">
        <f ca="1">IFERROR(__xludf.DUMMYFUNCTION("IMPORTRANGE(""https://docs.google.com/spreadsheets/d/11923uPwbBZFjjGgGUA6NLw09EwE0CqkOc4q9oUmW1yo/edit?usp=sharing"",""เชียงใหม่!J426"")"),0)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IFERROR(__xludf.DUMMYFUNCTION("IMPORTRANGE(""https://docs.google.com/spreadsheets/d/11923uPwbBZFjjGgGUA6NLw09EwE0CqkOc4q9oUmW1yo/edit?usp=sharing"",""เชียงใหม่!I427"")"),0)</f>
        <v>0</v>
      </c>
      <c r="J532" s="468">
        <f ca="1">IFERROR(__xludf.DUMMYFUNCTION("IMPORTRANGE(""https://docs.google.com/spreadsheets/d/11923uPwbBZFjjGgGUA6NLw09EwE0CqkOc4q9oUmW1yo/edit?usp=sharing"",""เชียงใหม่!J427"")"),0)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IFERROR(__xludf.DUMMYFUNCTION("IMPORTRANGE(""https://docs.google.com/spreadsheets/d/11923uPwbBZFjjGgGUA6NLw09EwE0CqkOc4q9oUmW1yo/edit?usp=sharing"",""เชียงใหม่!I428"")"),26)</f>
        <v>26</v>
      </c>
      <c r="J533" s="411">
        <f ca="1">IFERROR(__xludf.DUMMYFUNCTION("IMPORTRANGE(""https://docs.google.com/spreadsheets/d/11923uPwbBZFjjGgGUA6NLw09EwE0CqkOc4q9oUmW1yo/edit?usp=sharing"",""เชียงใหม่!J428"")"),26)</f>
        <v>26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IFERROR(__xludf.DUMMYFUNCTION("IMPORTRANGE(""https://docs.google.com/spreadsheets/d/11923uPwbBZFjjGgGUA6NLw09EwE0CqkOc4q9oUmW1yo/edit?usp=sharing"",""เชียงใหม่!L428"")"),37740)</f>
        <v>37740</v>
      </c>
      <c r="M533" s="413"/>
      <c r="N533" s="413">
        <f ca="1">IFERROR(__xludf.DUMMYFUNCTION("IMPORTRANGE(""https://docs.google.com/spreadsheets/d/11923uPwbBZFjjGgGUA6NLw09EwE0CqkOc4q9oUmW1yo/edit?usp=sharing"",""เชียงใหม่!M428"")"),26444)</f>
        <v>26444</v>
      </c>
      <c r="O533" s="413">
        <f t="shared" ref="O533:O537" ca="1" si="118">+IF(L533&gt;0,N533*100/L533,0)</f>
        <v>70.068892421833596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IFERROR(__xludf.DUMMYFUNCTION("IMPORTRANGE(""https://docs.google.com/spreadsheets/d/11923uPwbBZFjjGgGUA6NLw09EwE0CqkOc4q9oUmW1yo/edit?usp=sharing"",""เชียงใหม่!L429"")"),0)</f>
        <v>0</v>
      </c>
      <c r="M534" s="166"/>
      <c r="N534" s="170">
        <f ca="1">IFERROR(__xludf.DUMMYFUNCTION("IMPORTRANGE(""https://docs.google.com/spreadsheets/d/11923uPwbBZFjjGgGUA6NLw09EwE0CqkOc4q9oUmW1yo/edit?usp=sharing"",""เชียงใหม่!M429"")"),0)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IFERROR(__xludf.DUMMYFUNCTION("IMPORTRANGE(""https://docs.google.com/spreadsheets/d/11923uPwbBZFjjGgGUA6NLw09EwE0CqkOc4q9oUmW1yo/edit?usp=sharing"",""เชียงใหม่!L430"")"),37740)</f>
        <v>37740</v>
      </c>
      <c r="M535" s="167"/>
      <c r="N535" s="170">
        <f ca="1">IFERROR(__xludf.DUMMYFUNCTION("IMPORTRANGE(""https://docs.google.com/spreadsheets/d/11923uPwbBZFjjGgGUA6NLw09EwE0CqkOc4q9oUmW1yo/edit?usp=sharing"",""เชียงใหม่!M430"")"),26444)</f>
        <v>26444</v>
      </c>
      <c r="O535" s="170">
        <f t="shared" ca="1" si="118"/>
        <v>70.068892421833596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IFERROR(__xludf.DUMMYFUNCTION("IMPORTRANGE(""https://docs.google.com/spreadsheets/d/11923uPwbBZFjjGgGUA6NLw09EwE0CqkOc4q9oUmW1yo/edit?usp=sharing"",""เชียงใหม่!L431"")"),0)</f>
        <v>0</v>
      </c>
      <c r="M536" s="170"/>
      <c r="N536" s="170">
        <f ca="1">IFERROR(__xludf.DUMMYFUNCTION("IMPORTRANGE(""https://docs.google.com/spreadsheets/d/11923uPwbBZFjjGgGUA6NLw09EwE0CqkOc4q9oUmW1yo/edit?usp=sharing"",""เชียงใหม่!M431"")"),0)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IFERROR(__xludf.DUMMYFUNCTION("IMPORTRANGE(""https://docs.google.com/spreadsheets/d/11923uPwbBZFjjGgGUA6NLw09EwE0CqkOc4q9oUmW1yo/edit?usp=sharing"",""เชียงใหม่!L432"")"),37740)</f>
        <v>37740</v>
      </c>
      <c r="M537" s="170"/>
      <c r="N537" s="170">
        <f ca="1">IFERROR(__xludf.DUMMYFUNCTION("IMPORTRANGE(""https://docs.google.com/spreadsheets/d/11923uPwbBZFjjGgGUA6NLw09EwE0CqkOc4q9oUmW1yo/edit?usp=sharing"",""เชียงใหม่!M432"")"),26444)</f>
        <v>26444</v>
      </c>
      <c r="O537" s="170">
        <f t="shared" ca="1" si="118"/>
        <v>70.068892421833596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IFERROR(__xludf.DUMMYFUNCTION("IMPORTRANGE(""https://docs.google.com/spreadsheets/d/11923uPwbBZFjjGgGUA6NLw09EwE0CqkOc4q9oUmW1yo/edit?usp=sharing"",""เชียงใหม่!M433"")"),20904)</f>
        <v>20904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IFERROR(__xludf.DUMMYFUNCTION("IMPORTRANGE(""https://docs.google.com/spreadsheets/d/11923uPwbBZFjjGgGUA6NLw09EwE0CqkOc4q9oUmW1yo/edit?usp=sharing"",""เชียงใหม่!M434"")"),0)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IFERROR(__xludf.DUMMYFUNCTION("IMPORTRANGE(""https://docs.google.com/spreadsheets/d/11923uPwbBZFjjGgGUA6NLw09EwE0CqkOc4q9oUmW1yo/edit?usp=sharing"",""เชียงใหม่!M435"")"),0)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IFERROR(__xludf.DUMMYFUNCTION("IMPORTRANGE(""https://docs.google.com/spreadsheets/d/11923uPwbBZFjjGgGUA6NLw09EwE0CqkOc4q9oUmW1yo/edit?usp=sharing"",""เชียงใหม่!M436"")"),5540)</f>
        <v>5540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IFERROR(__xludf.DUMMYFUNCTION("IMPORTRANGE(""https://docs.google.com/spreadsheets/d/11923uPwbBZFjjGgGUA6NLw09EwE0CqkOc4q9oUmW1yo/edit?usp=sharing"",""เชียงใหม่!J438"")"),0)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IFERROR(__xludf.DUMMYFUNCTION("IMPORTRANGE(""https://docs.google.com/spreadsheets/d/11923uPwbBZFjjGgGUA6NLw09EwE0CqkOc4q9oUmW1yo/edit?usp=sharing"",""เชียงใหม่!J439"")"),1)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IFERROR(__xludf.DUMMYFUNCTION("IMPORTRANGE(""https://docs.google.com/spreadsheets/d/11923uPwbBZFjjGgGUA6NLw09EwE0CqkOc4q9oUmW1yo/edit?usp=sharing"",""เชียงใหม่!J440"")"),1)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IFERROR(__xludf.DUMMYFUNCTION("IMPORTRANGE(""https://docs.google.com/spreadsheets/d/11923uPwbBZFjjGgGUA6NLw09EwE0CqkOc4q9oUmW1yo/edit?usp=sharing"",""เชียงใหม่!J441"")"),1)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IFERROR(__xludf.DUMMYFUNCTION("IMPORTRANGE(""https://docs.google.com/spreadsheets/d/11923uPwbBZFjjGgGUA6NLw09EwE0CqkOc4q9oUmW1yo/edit?usp=sharing"",""เชียงใหม่!I442"")"),26)</f>
        <v>26</v>
      </c>
      <c r="J547" s="190">
        <f ca="1">IFERROR(__xludf.DUMMYFUNCTION("IMPORTRANGE(""https://docs.google.com/spreadsheets/d/11923uPwbBZFjjGgGUA6NLw09EwE0CqkOc4q9oUmW1yo/edit?usp=sharing"",""เชียงใหม่!J442"")"),26)</f>
        <v>26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IFERROR(__xludf.DUMMYFUNCTION("IMPORTRANGE(""https://docs.google.com/spreadsheets/d/11923uPwbBZFjjGgGUA6NLw09EwE0CqkOc4q9oUmW1yo/edit?usp=sharing"",""เชียงใหม่!J166"")"),0)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IFERROR(__xludf.DUMMYFUNCTION("IMPORTRANGE(""https://docs.google.com/spreadsheets/d/11923uPwbBZFjjGgGUA6NLw09EwE0CqkOc4q9oUmW1yo/edit?usp=sharing"",""เชียงใหม่!J444"")"),0)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IFERROR(__xludf.DUMMYFUNCTION("IMPORTRANGE(""https://docs.google.com/spreadsheets/d/11923uPwbBZFjjGgGUA6NLw09EwE0CqkOc4q9oUmW1yo/edit?usp=sharing"",""เชียงใหม่!J445"")"),0)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IFERROR(__xludf.DUMMYFUNCTION("IMPORTRANGE(""https://docs.google.com/spreadsheets/d/11923uPwbBZFjjGgGUA6NLw09EwE0CqkOc4q9oUmW1yo/edit?usp=sharing"",""เชียงใหม่!I446"")"),3000)</f>
        <v>3000</v>
      </c>
      <c r="J551" s="411">
        <f ca="1">IFERROR(__xludf.DUMMYFUNCTION("IMPORTRANGE(""https://docs.google.com/spreadsheets/d/11923uPwbBZFjjGgGUA6NLw09EwE0CqkOc4q9oUmW1yo/edit?usp=sharing"",""เชียงใหม่!J446"")"),1416)</f>
        <v>1416</v>
      </c>
      <c r="K551" s="412">
        <f ca="1">IF(I551&gt;0,J551*100/I551,0)</f>
        <v>47.2</v>
      </c>
      <c r="L551" s="413">
        <f ca="1">IFERROR(__xludf.DUMMYFUNCTION("IMPORTRANGE(""https://docs.google.com/spreadsheets/d/11923uPwbBZFjjGgGUA6NLw09EwE0CqkOc4q9oUmW1yo/edit?usp=sharing"",""เชียงใหม่!L446"")"),188000)</f>
        <v>188000</v>
      </c>
      <c r="M551" s="413"/>
      <c r="N551" s="413">
        <f ca="1">IFERROR(__xludf.DUMMYFUNCTION("IMPORTRANGE(""https://docs.google.com/spreadsheets/d/11923uPwbBZFjjGgGUA6NLw09EwE0CqkOc4q9oUmW1yo/edit?usp=sharing"",""เชียงใหม่!M446"")"),78547.16)</f>
        <v>78547.16</v>
      </c>
      <c r="O551" s="413">
        <f t="shared" ref="O551:O555" ca="1" si="120">+IF(L551&gt;0,N551*100/L551,0)</f>
        <v>41.780404255319148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IFERROR(__xludf.DUMMYFUNCTION("IMPORTRANGE(""https://docs.google.com/spreadsheets/d/11923uPwbBZFjjGgGUA6NLw09EwE0CqkOc4q9oUmW1yo/edit?usp=sharing"",""เชียงใหม่!L447"")"),0)</f>
        <v>0</v>
      </c>
      <c r="M552" s="166"/>
      <c r="N552" s="170">
        <f ca="1">IFERROR(__xludf.DUMMYFUNCTION("IMPORTRANGE(""https://docs.google.com/spreadsheets/d/11923uPwbBZFjjGgGUA6NLw09EwE0CqkOc4q9oUmW1yo/edit?usp=sharing"",""เชียงใหม่!M447"")"),0)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IFERROR(__xludf.DUMMYFUNCTION("IMPORTRANGE(""https://docs.google.com/spreadsheets/d/11923uPwbBZFjjGgGUA6NLw09EwE0CqkOc4q9oUmW1yo/edit?usp=sharing"",""เชียงใหม่!L448"")"),188000)</f>
        <v>188000</v>
      </c>
      <c r="M553" s="167"/>
      <c r="N553" s="170">
        <f ca="1">IFERROR(__xludf.DUMMYFUNCTION("IMPORTRANGE(""https://docs.google.com/spreadsheets/d/11923uPwbBZFjjGgGUA6NLw09EwE0CqkOc4q9oUmW1yo/edit?usp=sharing"",""เชียงใหม่!M448"")"),78547.16)</f>
        <v>78547.16</v>
      </c>
      <c r="O553" s="170">
        <f t="shared" ca="1" si="120"/>
        <v>41.780404255319148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IFERROR(__xludf.DUMMYFUNCTION("IMPORTRANGE(""https://docs.google.com/spreadsheets/d/11923uPwbBZFjjGgGUA6NLw09EwE0CqkOc4q9oUmW1yo/edit?usp=sharing"",""เชียงใหม่!L449"")"),0)</f>
        <v>0</v>
      </c>
      <c r="M554" s="170"/>
      <c r="N554" s="170">
        <f ca="1">IFERROR(__xludf.DUMMYFUNCTION("IMPORTRANGE(""https://docs.google.com/spreadsheets/d/11923uPwbBZFjjGgGUA6NLw09EwE0CqkOc4q9oUmW1yo/edit?usp=sharing"",""เชียงใหม่!M449"")"),0)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IFERROR(__xludf.DUMMYFUNCTION("IMPORTRANGE(""https://docs.google.com/spreadsheets/d/11923uPwbBZFjjGgGUA6NLw09EwE0CqkOc4q9oUmW1yo/edit?usp=sharing"",""เชียงใหม่!L450"")"),188000)</f>
        <v>188000</v>
      </c>
      <c r="M555" s="170"/>
      <c r="N555" s="170">
        <f ca="1">IFERROR(__xludf.DUMMYFUNCTION("IMPORTRANGE(""https://docs.google.com/spreadsheets/d/11923uPwbBZFjjGgGUA6NLw09EwE0CqkOc4q9oUmW1yo/edit?usp=sharing"",""เชียงใหม่!M450"")"),78547.16)</f>
        <v>78547.16</v>
      </c>
      <c r="O555" s="170">
        <f t="shared" ca="1" si="120"/>
        <v>41.780404255319148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IFERROR(__xludf.DUMMYFUNCTION("IMPORTRANGE(""https://docs.google.com/spreadsheets/d/11923uPwbBZFjjGgGUA6NLw09EwE0CqkOc4q9oUmW1yo/edit?usp=sharing"",""เชียงใหม่!M451"")"),0)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IFERROR(__xludf.DUMMYFUNCTION("IMPORTRANGE(""https://docs.google.com/spreadsheets/d/11923uPwbBZFjjGgGUA6NLw09EwE0CqkOc4q9oUmW1yo/edit?usp=sharing"",""เชียงใหม่!M452"")"),0)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IFERROR(__xludf.DUMMYFUNCTION("IMPORTRANGE(""https://docs.google.com/spreadsheets/d/11923uPwbBZFjjGgGUA6NLw09EwE0CqkOc4q9oUmW1yo/edit?usp=sharing"",""เชียงใหม่!M453"")"),30000)</f>
        <v>30000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IFERROR(__xludf.DUMMYFUNCTION("IMPORTRANGE(""https://docs.google.com/spreadsheets/d/11923uPwbBZFjjGgGUA6NLw09EwE0CqkOc4q9oUmW1yo/edit?usp=sharing"",""เชียงใหม่!M454"")"),48547.16)</f>
        <v>48547.16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IFERROR(__xludf.DUMMYFUNCTION("IMPORTRANGE(""https://docs.google.com/spreadsheets/d/11923uPwbBZFjjGgGUA6NLw09EwE0CqkOc4q9oUmW1yo/edit?usp=sharing"",""เชียงใหม่!I455"")"),3000)</f>
        <v>3000</v>
      </c>
      <c r="J560" s="164">
        <f ca="1">IFERROR(__xludf.DUMMYFUNCTION("IMPORTRANGE(""https://docs.google.com/spreadsheets/d/11923uPwbBZFjjGgGUA6NLw09EwE0CqkOc4q9oUmW1yo/edit?usp=sharing"",""เชียงใหม่!J455"")"),1416)</f>
        <v>1416</v>
      </c>
      <c r="K560" s="225">
        <f t="shared" ref="K560:K561" ca="1" si="121">IF(I560&gt;0,J560*100/I560,0)</f>
        <v>47.2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IFERROR(__xludf.DUMMYFUNCTION("IMPORTRANGE(""https://docs.google.com/spreadsheets/d/11923uPwbBZFjjGgGUA6NLw09EwE0CqkOc4q9oUmW1yo/edit?usp=sharing"",""เชียงใหม่!I456"")"),0)</f>
        <v>0</v>
      </c>
      <c r="J561" s="205">
        <f ca="1">IFERROR(__xludf.DUMMYFUNCTION("IMPORTRANGE(""https://docs.google.com/spreadsheets/d/11923uPwbBZFjjGgGUA6NLw09EwE0CqkOc4q9oUmW1yo/edit?usp=sharing"",""เชียงใหม่!J456"")"),269)</f>
        <v>269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IFERROR(__xludf.DUMMYFUNCTION("IMPORTRANGE(""https://docs.google.com/spreadsheets/d/11923uPwbBZFjjGgGUA6NLw09EwE0CqkOc4q9oUmW1yo/edit?usp=sharing"",""เชียงใหม่!I459"")"),1000)</f>
        <v>1000</v>
      </c>
      <c r="J564" s="372">
        <f ca="1">IFERROR(__xludf.DUMMYFUNCTION("IMPORTRANGE(""https://docs.google.com/spreadsheets/d/11923uPwbBZFjjGgGUA6NLw09EwE0CqkOc4q9oUmW1yo/edit?usp=sharing"",""เชียงใหม่!J459"")"),907)</f>
        <v>907</v>
      </c>
      <c r="K564" s="373">
        <f ca="1">IF(I564&gt;0,J564*100/I564,0)</f>
        <v>90.7</v>
      </c>
      <c r="L564" s="374">
        <f ca="1">IFERROR(__xludf.DUMMYFUNCTION("IMPORTRANGE(""https://docs.google.com/spreadsheets/d/11923uPwbBZFjjGgGUA6NLw09EwE0CqkOc4q9oUmW1yo/edit?usp=sharing"",""เชียงใหม่!L459"")"),130880)</f>
        <v>130880</v>
      </c>
      <c r="M564" s="374"/>
      <c r="N564" s="374">
        <f ca="1">IFERROR(__xludf.DUMMYFUNCTION("IMPORTRANGE(""https://docs.google.com/spreadsheets/d/11923uPwbBZFjjGgGUA6NLw09EwE0CqkOc4q9oUmW1yo/edit?usp=sharing"",""เชียงใหม่!M459"")"),49295.24)</f>
        <v>49295.24</v>
      </c>
      <c r="O564" s="374">
        <f t="shared" ref="O564:O568" ca="1" si="122">+IF(L564&gt;0,N564*100/L564,0)</f>
        <v>37.664455990220048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IFERROR(__xludf.DUMMYFUNCTION("IMPORTRANGE(""https://docs.google.com/spreadsheets/d/11923uPwbBZFjjGgGUA6NLw09EwE0CqkOc4q9oUmW1yo/edit?usp=sharing"",""เชียงใหม่!L460"")"),0)</f>
        <v>0</v>
      </c>
      <c r="M565" s="166"/>
      <c r="N565" s="170">
        <f ca="1">IFERROR(__xludf.DUMMYFUNCTION("IMPORTRANGE(""https://docs.google.com/spreadsheets/d/11923uPwbBZFjjGgGUA6NLw09EwE0CqkOc4q9oUmW1yo/edit?usp=sharing"",""เชียงใหม่!M460"")"),0)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IFERROR(__xludf.DUMMYFUNCTION("IMPORTRANGE(""https://docs.google.com/spreadsheets/d/11923uPwbBZFjjGgGUA6NLw09EwE0CqkOc4q9oUmW1yo/edit?usp=sharing"",""เชียงใหม่!L461"")"),130880)</f>
        <v>130880</v>
      </c>
      <c r="M566" s="167"/>
      <c r="N566" s="170">
        <f ca="1">IFERROR(__xludf.DUMMYFUNCTION("IMPORTRANGE(""https://docs.google.com/spreadsheets/d/11923uPwbBZFjjGgGUA6NLw09EwE0CqkOc4q9oUmW1yo/edit?usp=sharing"",""เชียงใหม่!M461"")"),49295.24)</f>
        <v>49295.24</v>
      </c>
      <c r="O566" s="170">
        <f t="shared" ca="1" si="122"/>
        <v>37.664455990220048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IFERROR(__xludf.DUMMYFUNCTION("IMPORTRANGE(""https://docs.google.com/spreadsheets/d/11923uPwbBZFjjGgGUA6NLw09EwE0CqkOc4q9oUmW1yo/edit?usp=sharing"",""เชียงใหม่!L462"")"),0)</f>
        <v>0</v>
      </c>
      <c r="M567" s="170"/>
      <c r="N567" s="170">
        <f ca="1">IFERROR(__xludf.DUMMYFUNCTION("IMPORTRANGE(""https://docs.google.com/spreadsheets/d/11923uPwbBZFjjGgGUA6NLw09EwE0CqkOc4q9oUmW1yo/edit?usp=sharing"",""เชียงใหม่!M462"")"),0)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IFERROR(__xludf.DUMMYFUNCTION("IMPORTRANGE(""https://docs.google.com/spreadsheets/d/11923uPwbBZFjjGgGUA6NLw09EwE0CqkOc4q9oUmW1yo/edit?usp=sharing"",""เชียงใหม่!L463"")"),130880)</f>
        <v>130880</v>
      </c>
      <c r="M568" s="170"/>
      <c r="N568" s="170">
        <f ca="1">IFERROR(__xludf.DUMMYFUNCTION("IMPORTRANGE(""https://docs.google.com/spreadsheets/d/11923uPwbBZFjjGgGUA6NLw09EwE0CqkOc4q9oUmW1yo/edit?usp=sharing"",""เชียงใหม่!M463"")"),49295.24)</f>
        <v>49295.24</v>
      </c>
      <c r="O568" s="170">
        <f t="shared" ca="1" si="122"/>
        <v>37.664455990220048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IFERROR(__xludf.DUMMYFUNCTION("IMPORTRANGE(""https://docs.google.com/spreadsheets/d/11923uPwbBZFjjGgGUA6NLw09EwE0CqkOc4q9oUmW1yo/edit?usp=sharing"",""เชียงใหม่!M464"")"),0)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IFERROR(__xludf.DUMMYFUNCTION("IMPORTRANGE(""https://docs.google.com/spreadsheets/d/11923uPwbBZFjjGgGUA6NLw09EwE0CqkOc4q9oUmW1yo/edit?usp=sharing"",""เชียงใหม่!M465"")"),0)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IFERROR(__xludf.DUMMYFUNCTION("IMPORTRANGE(""https://docs.google.com/spreadsheets/d/11923uPwbBZFjjGgGUA6NLw09EwE0CqkOc4q9oUmW1yo/edit?usp=sharing"",""เชียงใหม่!M466"")"),42935.24)</f>
        <v>42935.24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IFERROR(__xludf.DUMMYFUNCTION("IMPORTRANGE(""https://docs.google.com/spreadsheets/d/11923uPwbBZFjjGgGUA6NLw09EwE0CqkOc4q9oUmW1yo/edit?usp=sharing"",""เชียงใหม่!M467"")"),6360)</f>
        <v>6360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IFERROR(__xludf.DUMMYFUNCTION("IMPORTRANGE(""https://docs.google.com/spreadsheets/d/11923uPwbBZFjjGgGUA6NLw09EwE0CqkOc4q9oUmW1yo/edit?usp=sharing"",""เชียงใหม่!I468"")"),1000)</f>
        <v>1000</v>
      </c>
      <c r="J573" s="422">
        <f ca="1">IFERROR(__xludf.DUMMYFUNCTION("IMPORTRANGE(""https://docs.google.com/spreadsheets/d/11923uPwbBZFjjGgGUA6NLw09EwE0CqkOc4q9oUmW1yo/edit?usp=sharing"",""เชียงใหม่!J468"")"),907)</f>
        <v>907</v>
      </c>
      <c r="K573" s="203">
        <f ca="1">IF(I573&gt;0,J573*100/I573,0)</f>
        <v>90.7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IFERROR(__xludf.DUMMYFUNCTION("IMPORTRANGE(""https://docs.google.com/spreadsheets/d/11923uPwbBZFjjGgGUA6NLw09EwE0CqkOc4q9oUmW1yo/edit?usp=sharing"",""เชียงใหม่!I470"")"),0)</f>
        <v>0</v>
      </c>
      <c r="J575" s="199">
        <f ca="1">IFERROR(__xludf.DUMMYFUNCTION("IMPORTRANGE(""https://docs.google.com/spreadsheets/d/11923uPwbBZFjjGgGUA6NLw09EwE0CqkOc4q9oUmW1yo/edit?usp=sharing"",""เชียงใหม่!J470"")"),2)</f>
        <v>2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IFERROR(__xludf.DUMMYFUNCTION("IMPORTRANGE(""https://docs.google.com/spreadsheets/d/11923uPwbBZFjjGgGUA6NLw09EwE0CqkOc4q9oUmW1yo/edit?usp=sharing"",""เชียงใหม่!I471"")"),0)</f>
        <v>0</v>
      </c>
      <c r="J576" s="199">
        <f ca="1">IFERROR(__xludf.DUMMYFUNCTION("IMPORTRANGE(""https://docs.google.com/spreadsheets/d/11923uPwbBZFjjGgGUA6NLw09EwE0CqkOc4q9oUmW1yo/edit?usp=sharing"",""เชียงใหม่!J471"")"),153)</f>
        <v>153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IFERROR(__xludf.DUMMYFUNCTION("IMPORTRANGE(""https://docs.google.com/spreadsheets/d/11923uPwbBZFjjGgGUA6NLw09EwE0CqkOc4q9oUmW1yo/edit?usp=sharing"",""เชียงใหม่!I472"")"),0)</f>
        <v>0</v>
      </c>
      <c r="J577" s="190">
        <f ca="1">IFERROR(__xludf.DUMMYFUNCTION("IMPORTRANGE(""https://docs.google.com/spreadsheets/d/11923uPwbBZFjjGgGUA6NLw09EwE0CqkOc4q9oUmW1yo/edit?usp=sharing"",""เชียงใหม่!J472"")"),725)</f>
        <v>725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IFERROR(__xludf.DUMMYFUNCTION("IMPORTRANGE(""https://docs.google.com/spreadsheets/d/11923uPwbBZFjjGgGUA6NLw09EwE0CqkOc4q9oUmW1yo/edit?usp=sharing"",""เชียงใหม่!I473"")"),0)</f>
        <v>0</v>
      </c>
      <c r="J578" s="199">
        <f ca="1">IFERROR(__xludf.DUMMYFUNCTION("IMPORTRANGE(""https://docs.google.com/spreadsheets/d/11923uPwbBZFjjGgGUA6NLw09EwE0CqkOc4q9oUmW1yo/edit?usp=sharing"",""เชียงใหม่!J473"")"),1)</f>
        <v>1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IFERROR(__xludf.DUMMYFUNCTION("IMPORTRANGE(""https://docs.google.com/spreadsheets/d/11923uPwbBZFjjGgGUA6NLw09EwE0CqkOc4q9oUmW1yo/edit?usp=sharing"",""เชียงใหม่!I474"")"),0)</f>
        <v>0</v>
      </c>
      <c r="J579" s="199">
        <f ca="1">IFERROR(__xludf.DUMMYFUNCTION("IMPORTRANGE(""https://docs.google.com/spreadsheets/d/11923uPwbBZFjjGgGUA6NLw09EwE0CqkOc4q9oUmW1yo/edit?usp=sharing"",""เชียงใหม่!J474"")"),28)</f>
        <v>28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IFERROR(__xludf.DUMMYFUNCTION("IMPORTRANGE(""https://docs.google.com/spreadsheets/d/11923uPwbBZFjjGgGUA6NLw09EwE0CqkOc4q9oUmW1yo/edit?usp=sharing"",""เชียงใหม่!I475"")"),30)</f>
        <v>30</v>
      </c>
      <c r="J580" s="372">
        <f ca="1">IFERROR(__xludf.DUMMYFUNCTION("IMPORTRANGE(""https://docs.google.com/spreadsheets/d/11923uPwbBZFjjGgGUA6NLw09EwE0CqkOc4q9oUmW1yo/edit?usp=sharing"",""เชียงใหม่!J475"")"),0)</f>
        <v>0</v>
      </c>
      <c r="K580" s="373">
        <f ca="1">IF(I580&gt;0,J580*100/I580,0)</f>
        <v>0</v>
      </c>
      <c r="L580" s="374">
        <f ca="1">IFERROR(__xludf.DUMMYFUNCTION("IMPORTRANGE(""https://docs.google.com/spreadsheets/d/11923uPwbBZFjjGgGUA6NLw09EwE0CqkOc4q9oUmW1yo/edit?usp=sharing"",""เชียงใหม่!L475"")"),153230)</f>
        <v>153230</v>
      </c>
      <c r="M580" s="374"/>
      <c r="N580" s="374">
        <f ca="1">IFERROR(__xludf.DUMMYFUNCTION("IMPORTRANGE(""https://docs.google.com/spreadsheets/d/11923uPwbBZFjjGgGUA6NLw09EwE0CqkOc4q9oUmW1yo/edit?usp=sharing"",""เชียงใหม่!M475"")"),10920)</f>
        <v>10920</v>
      </c>
      <c r="O580" s="374">
        <f t="shared" ref="O580:O584" ca="1" si="124">+IF(L580&gt;0,N580*100/L580,0)</f>
        <v>7.126541799908634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IFERROR(__xludf.DUMMYFUNCTION("IMPORTRANGE(""https://docs.google.com/spreadsheets/d/11923uPwbBZFjjGgGUA6NLw09EwE0CqkOc4q9oUmW1yo/edit?usp=sharing"",""เชียงใหม่!L476"")"),0)</f>
        <v>0</v>
      </c>
      <c r="M581" s="166"/>
      <c r="N581" s="170">
        <f ca="1">IFERROR(__xludf.DUMMYFUNCTION("IMPORTRANGE(""https://docs.google.com/spreadsheets/d/11923uPwbBZFjjGgGUA6NLw09EwE0CqkOc4q9oUmW1yo/edit?usp=sharing"",""เชียงใหม่!M476"")"),0)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IFERROR(__xludf.DUMMYFUNCTION("IMPORTRANGE(""https://docs.google.com/spreadsheets/d/11923uPwbBZFjjGgGUA6NLw09EwE0CqkOc4q9oUmW1yo/edit?usp=sharing"",""เชียงใหม่!L477"")"),153230)</f>
        <v>153230</v>
      </c>
      <c r="M582" s="167"/>
      <c r="N582" s="170">
        <f ca="1">IFERROR(__xludf.DUMMYFUNCTION("IMPORTRANGE(""https://docs.google.com/spreadsheets/d/11923uPwbBZFjjGgGUA6NLw09EwE0CqkOc4q9oUmW1yo/edit?usp=sharing"",""เชียงใหม่!M477"")"),10920)</f>
        <v>10920</v>
      </c>
      <c r="O582" s="170">
        <f t="shared" ca="1" si="124"/>
        <v>7.126541799908634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IFERROR(__xludf.DUMMYFUNCTION("IMPORTRANGE(""https://docs.google.com/spreadsheets/d/11923uPwbBZFjjGgGUA6NLw09EwE0CqkOc4q9oUmW1yo/edit?usp=sharing"",""เชียงใหม่!L478"")"),0)</f>
        <v>0</v>
      </c>
      <c r="M583" s="170"/>
      <c r="N583" s="170">
        <f ca="1">IFERROR(__xludf.DUMMYFUNCTION("IMPORTRANGE(""https://docs.google.com/spreadsheets/d/11923uPwbBZFjjGgGUA6NLw09EwE0CqkOc4q9oUmW1yo/edit?usp=sharing"",""เชียงใหม่!M478"")"),0)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IFERROR(__xludf.DUMMYFUNCTION("IMPORTRANGE(""https://docs.google.com/spreadsheets/d/11923uPwbBZFjjGgGUA6NLw09EwE0CqkOc4q9oUmW1yo/edit?usp=sharing"",""เชียงใหม่!L479"")"),153230)</f>
        <v>153230</v>
      </c>
      <c r="M584" s="170"/>
      <c r="N584" s="170">
        <f ca="1">IFERROR(__xludf.DUMMYFUNCTION("IMPORTRANGE(""https://docs.google.com/spreadsheets/d/11923uPwbBZFjjGgGUA6NLw09EwE0CqkOc4q9oUmW1yo/edit?usp=sharing"",""เชียงใหม่!M479"")"),10920)</f>
        <v>10920</v>
      </c>
      <c r="O584" s="170">
        <f t="shared" ca="1" si="124"/>
        <v>7.126541799908634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IFERROR(__xludf.DUMMYFUNCTION("IMPORTRANGE(""https://docs.google.com/spreadsheets/d/11923uPwbBZFjjGgGUA6NLw09EwE0CqkOc4q9oUmW1yo/edit?usp=sharing"",""เชียงใหม่!M480"")"),0)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IFERROR(__xludf.DUMMYFUNCTION("IMPORTRANGE(""https://docs.google.com/spreadsheets/d/11923uPwbBZFjjGgGUA6NLw09EwE0CqkOc4q9oUmW1yo/edit?usp=sharing"",""เชียงใหม่!M481"")"),0)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IFERROR(__xludf.DUMMYFUNCTION("IMPORTRANGE(""https://docs.google.com/spreadsheets/d/11923uPwbBZFjjGgGUA6NLw09EwE0CqkOc4q9oUmW1yo/edit?usp=sharing"",""เชียงใหม่!M482"")"),0)</f>
        <v>0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IFERROR(__xludf.DUMMYFUNCTION("IMPORTRANGE(""https://docs.google.com/spreadsheets/d/11923uPwbBZFjjGgGUA6NLw09EwE0CqkOc4q9oUmW1yo/edit?usp=sharing"",""เชียงใหม่!M483"")"),10920)</f>
        <v>10920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IFERROR(__xludf.DUMMYFUNCTION("IMPORTRANGE(""https://docs.google.com/spreadsheets/d/11923uPwbBZFjjGgGUA6NLw09EwE0CqkOc4q9oUmW1yo/edit?usp=sharing"",""เชียงใหม่!I484"")"),30)</f>
        <v>30</v>
      </c>
      <c r="J589" s="189">
        <f ca="1">IFERROR(__xludf.DUMMYFUNCTION("IMPORTRANGE(""https://docs.google.com/spreadsheets/d/11923uPwbBZFjjGgGUA6NLw09EwE0CqkOc4q9oUmW1yo/edit?usp=sharing"",""เชียงใหม่!J484"")"),31)</f>
        <v>31</v>
      </c>
      <c r="K589" s="165">
        <f t="shared" ref="K589:K596" ca="1" si="125">IF(I589&gt;0,J589*100/I589,0)</f>
        <v>103.33333333333333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IFERROR(__xludf.DUMMYFUNCTION("IMPORTRANGE(""https://docs.google.com/spreadsheets/d/11923uPwbBZFjjGgGUA6NLw09EwE0CqkOc4q9oUmW1yo/edit?usp=sharing"",""เชียงใหม่!I485"")"),0)</f>
        <v>0</v>
      </c>
      <c r="J590" s="189">
        <f ca="1">IFERROR(__xludf.DUMMYFUNCTION("IMPORTRANGE(""https://docs.google.com/spreadsheets/d/11923uPwbBZFjjGgGUA6NLw09EwE0CqkOc4q9oUmW1yo/edit?usp=sharing"",""เชียงใหม่!J485"")"),11.18)</f>
        <v>11.18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IFERROR(__xludf.DUMMYFUNCTION("IMPORTRANGE(""https://docs.google.com/spreadsheets/d/11923uPwbBZFjjGgGUA6NLw09EwE0CqkOc4q9oUmW1yo/edit?usp=sharing"",""เชียงใหม่!I486"")"),30)</f>
        <v>30</v>
      </c>
      <c r="J591" s="189">
        <f ca="1">IFERROR(__xludf.DUMMYFUNCTION("IMPORTRANGE(""https://docs.google.com/spreadsheets/d/11923uPwbBZFjjGgGUA6NLw09EwE0CqkOc4q9oUmW1yo/edit?usp=sharing"",""เชียงใหม่!J486"")"),14)</f>
        <v>14</v>
      </c>
      <c r="K591" s="165">
        <f t="shared" ca="1" si="125"/>
        <v>46.666666666666664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IFERROR(__xludf.DUMMYFUNCTION("IMPORTRANGE(""https://docs.google.com/spreadsheets/d/11923uPwbBZFjjGgGUA6NLw09EwE0CqkOc4q9oUmW1yo/edit?usp=sharing"",""เชียงใหม่!I487"")"),0)</f>
        <v>0</v>
      </c>
      <c r="J592" s="189">
        <f ca="1">IFERROR(__xludf.DUMMYFUNCTION("IMPORTRANGE(""https://docs.google.com/spreadsheets/d/11923uPwbBZFjjGgGUA6NLw09EwE0CqkOc4q9oUmW1yo/edit?usp=sharing"",""เชียงใหม่!J487"")"),4.83)</f>
        <v>4.83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IFERROR(__xludf.DUMMYFUNCTION("IMPORTRANGE(""https://docs.google.com/spreadsheets/d/11923uPwbBZFjjGgGUA6NLw09EwE0CqkOc4q9oUmW1yo/edit?usp=sharing"",""เชียงใหม่!I488"")"),30)</f>
        <v>30</v>
      </c>
      <c r="J593" s="189">
        <f ca="1">IFERROR(__xludf.DUMMYFUNCTION("IMPORTRANGE(""https://docs.google.com/spreadsheets/d/11923uPwbBZFjjGgGUA6NLw09EwE0CqkOc4q9oUmW1yo/edit?usp=sharing"",""เชียงใหม่!J488"")"),0)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IFERROR(__xludf.DUMMYFUNCTION("IMPORTRANGE(""https://docs.google.com/spreadsheets/d/11923uPwbBZFjjGgGUA6NLw09EwE0CqkOc4q9oUmW1yo/edit?usp=sharing"",""เชียงใหม่!I489"")"),0)</f>
        <v>0</v>
      </c>
      <c r="J594" s="189">
        <f ca="1">IFERROR(__xludf.DUMMYFUNCTION("IMPORTRANGE(""https://docs.google.com/spreadsheets/d/11923uPwbBZFjjGgGUA6NLw09EwE0CqkOc4q9oUmW1yo/edit?usp=sharing"",""เชียงใหม่!J489"")"),0)</f>
        <v>0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IFERROR(__xludf.DUMMYFUNCTION("IMPORTRANGE(""https://docs.google.com/spreadsheets/d/11923uPwbBZFjjGgGUA6NLw09EwE0CqkOc4q9oUmW1yo/edit?usp=sharing"",""เชียงใหม่!I490"")"),30)</f>
        <v>30</v>
      </c>
      <c r="J595" s="189">
        <f ca="1">IFERROR(__xludf.DUMMYFUNCTION("IMPORTRANGE(""https://docs.google.com/spreadsheets/d/11923uPwbBZFjjGgGUA6NLw09EwE0CqkOc4q9oUmW1yo/edit?usp=sharing"",""เชียงใหม่!J490"")"),0)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IFERROR(__xludf.DUMMYFUNCTION("IMPORTRANGE(""https://docs.google.com/spreadsheets/d/11923uPwbBZFjjGgGUA6NLw09EwE0CqkOc4q9oUmW1yo/edit?usp=sharing"",""เชียงใหม่!I491"")"),0)</f>
        <v>0</v>
      </c>
      <c r="J596" s="242">
        <f ca="1">IFERROR(__xludf.DUMMYFUNCTION("IMPORTRANGE(""https://docs.google.com/spreadsheets/d/11923uPwbBZFjjGgGUA6NLw09EwE0CqkOc4q9oUmW1yo/edit?usp=sharing"",""เชียงใหม่!J491"")"),0)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IFERROR(__xludf.DUMMYFUNCTION("IMPORTRANGE(""https://docs.google.com/spreadsheets/d/11923uPwbBZFjjGgGUA6NLw09EwE0CqkOc4q9oUmW1yo/edit?usp=sharing"",""เชียงใหม่!I492"")"),100)</f>
        <v>100</v>
      </c>
      <c r="J597" s="489">
        <f ca="1">IFERROR(__xludf.DUMMYFUNCTION("IMPORTRANGE(""https://docs.google.com/spreadsheets/d/11923uPwbBZFjjGgGUA6NLw09EwE0CqkOc4q9oUmW1yo/edit?usp=sharing"",""เชียงใหม่!J492"")"),0)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IFERROR(__xludf.DUMMYFUNCTION("IMPORTRANGE(""https://docs.google.com/spreadsheets/d/11923uPwbBZFjjGgGUA6NLw09EwE0CqkOc4q9oUmW1yo/edit?usp=sharing"",""เชียงใหม่!L492"")"),10900)</f>
        <v>10900</v>
      </c>
      <c r="M597" s="413"/>
      <c r="N597" s="413">
        <f ca="1">IFERROR(__xludf.DUMMYFUNCTION("IMPORTRANGE(""https://docs.google.com/spreadsheets/d/11923uPwbBZFjjGgGUA6NLw09EwE0CqkOc4q9oUmW1yo/edit?usp=sharing"",""เชียงใหม่!M492"")"),6080)</f>
        <v>6080</v>
      </c>
      <c r="O597" s="413">
        <f t="shared" ref="O597:O601" ca="1" si="126">+IF(L597&gt;0,N597*100/L597,0)</f>
        <v>55.779816513761467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IFERROR(__xludf.DUMMYFUNCTION("IMPORTRANGE(""https://docs.google.com/spreadsheets/d/11923uPwbBZFjjGgGUA6NLw09EwE0CqkOc4q9oUmW1yo/edit?usp=sharing"",""เชียงใหม่!L493"")"),0)</f>
        <v>0</v>
      </c>
      <c r="M598" s="166"/>
      <c r="N598" s="170">
        <f ca="1">IFERROR(__xludf.DUMMYFUNCTION("IMPORTRANGE(""https://docs.google.com/spreadsheets/d/11923uPwbBZFjjGgGUA6NLw09EwE0CqkOc4q9oUmW1yo/edit?usp=sharing"",""เชียงใหม่!M493"")"),0)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IFERROR(__xludf.DUMMYFUNCTION("IMPORTRANGE(""https://docs.google.com/spreadsheets/d/11923uPwbBZFjjGgGUA6NLw09EwE0CqkOc4q9oUmW1yo/edit?usp=sharing"",""เชียงใหม่!L494"")"),10900)</f>
        <v>10900</v>
      </c>
      <c r="M599" s="167"/>
      <c r="N599" s="170">
        <f ca="1">IFERROR(__xludf.DUMMYFUNCTION("IMPORTRANGE(""https://docs.google.com/spreadsheets/d/11923uPwbBZFjjGgGUA6NLw09EwE0CqkOc4q9oUmW1yo/edit?usp=sharing"",""เชียงใหม่!M494"")"),6080)</f>
        <v>6080</v>
      </c>
      <c r="O599" s="170">
        <f t="shared" ca="1" si="126"/>
        <v>55.779816513761467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IFERROR(__xludf.DUMMYFUNCTION("IMPORTRANGE(""https://docs.google.com/spreadsheets/d/11923uPwbBZFjjGgGUA6NLw09EwE0CqkOc4q9oUmW1yo/edit?usp=sharing"",""เชียงใหม่!L495"")"),0)</f>
        <v>0</v>
      </c>
      <c r="M600" s="170"/>
      <c r="N600" s="170">
        <f ca="1">IFERROR(__xludf.DUMMYFUNCTION("IMPORTRANGE(""https://docs.google.com/spreadsheets/d/11923uPwbBZFjjGgGUA6NLw09EwE0CqkOc4q9oUmW1yo/edit?usp=sharing"",""เชียงใหม่!M495"")"),0)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IFERROR(__xludf.DUMMYFUNCTION("IMPORTRANGE(""https://docs.google.com/spreadsheets/d/11923uPwbBZFjjGgGUA6NLw09EwE0CqkOc4q9oUmW1yo/edit?usp=sharing"",""เชียงใหม่!L496"")"),10900)</f>
        <v>10900</v>
      </c>
      <c r="M601" s="170"/>
      <c r="N601" s="170">
        <f ca="1">IFERROR(__xludf.DUMMYFUNCTION("IMPORTRANGE(""https://docs.google.com/spreadsheets/d/11923uPwbBZFjjGgGUA6NLw09EwE0CqkOc4q9oUmW1yo/edit?usp=sharing"",""เชียงใหม่!M496"")"),6080)</f>
        <v>6080</v>
      </c>
      <c r="O601" s="170">
        <f t="shared" ca="1" si="126"/>
        <v>55.779816513761467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IFERROR(__xludf.DUMMYFUNCTION("IMPORTRANGE(""https://docs.google.com/spreadsheets/d/11923uPwbBZFjjGgGUA6NLw09EwE0CqkOc4q9oUmW1yo/edit?usp=sharing"",""เชียงใหม่!M497"")"),0)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IFERROR(__xludf.DUMMYFUNCTION("IMPORTRANGE(""https://docs.google.com/spreadsheets/d/11923uPwbBZFjjGgGUA6NLw09EwE0CqkOc4q9oUmW1yo/edit?usp=sharing"",""เชียงใหม่!M498"")"),0)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IFERROR(__xludf.DUMMYFUNCTION("IMPORTRANGE(""https://docs.google.com/spreadsheets/d/11923uPwbBZFjjGgGUA6NLw09EwE0CqkOc4q9oUmW1yo/edit?usp=sharing"",""เชียงใหม่!M499"")"),0)</f>
        <v>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IFERROR(__xludf.DUMMYFUNCTION("IMPORTRANGE(""https://docs.google.com/spreadsheets/d/11923uPwbBZFjjGgGUA6NLw09EwE0CqkOc4q9oUmW1yo/edit?usp=sharing"",""เชียงใหม่!M500"")"),6080)</f>
        <v>6080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IFERROR(__xludf.DUMMYFUNCTION("IMPORTRANGE(""https://docs.google.com/spreadsheets/d/11923uPwbBZFjjGgGUA6NLw09EwE0CqkOc4q9oUmW1yo/edit?usp=sharing"",""เชียงใหม่!J502"")"),0)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IFERROR(__xludf.DUMMYFUNCTION("IMPORTRANGE(""https://docs.google.com/spreadsheets/d/11923uPwbBZFjjGgGUA6NLw09EwE0CqkOc4q9oUmW1yo/edit?usp=sharing"",""เชียงใหม่!J503"")"),1)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IFERROR(__xludf.DUMMYFUNCTION("IMPORTRANGE(""https://docs.google.com/spreadsheets/d/11923uPwbBZFjjGgGUA6NLw09EwE0CqkOc4q9oUmW1yo/edit?usp=sharing"",""เชียงใหม่!J166"")"),0)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IFERROR(__xludf.DUMMYFUNCTION("IMPORTRANGE(""https://docs.google.com/spreadsheets/d/11923uPwbBZFjjGgGUA6NLw09EwE0CqkOc4q9oUmW1yo/edit?usp=sharing"",""เชียงใหม่!J166"")"),0)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IFERROR(__xludf.DUMMYFUNCTION("IMPORTRANGE(""https://docs.google.com/spreadsheets/d/11923uPwbBZFjjGgGUA6NLw09EwE0CqkOc4q9oUmW1yo/edit?usp=sharing"",""เชียงใหม่!I506"")"),100)</f>
        <v>100</v>
      </c>
      <c r="J611" s="164">
        <f ca="1">IFERROR(__xludf.DUMMYFUNCTION("IMPORTRANGE(""https://docs.google.com/spreadsheets/d/11923uPwbBZFjjGgGUA6NLw09EwE0CqkOc4q9oUmW1yo/edit?usp=sharing"",""เชียงใหม่!J506"")"),0)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IFERROR(__xludf.DUMMYFUNCTION("IMPORTRANGE(""https://docs.google.com/spreadsheets/d/11923uPwbBZFjjGgGUA6NLw09EwE0CqkOc4q9oUmW1yo/edit?usp=sharing"",""เชียงใหม่!I507"")"),0)</f>
        <v>0</v>
      </c>
      <c r="J612" s="199">
        <f ca="1">IFERROR(__xludf.DUMMYFUNCTION("IMPORTRANGE(""https://docs.google.com/spreadsheets/d/11923uPwbBZFjjGgGUA6NLw09EwE0CqkOc4q9oUmW1yo/edit?usp=sharing"",""เชียงใหม่!J507"")"),110.75)</f>
        <v>110.75</v>
      </c>
      <c r="K612" s="165">
        <f t="shared" ca="1" si="127"/>
        <v>110.75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IFERROR(__xludf.DUMMYFUNCTION("IMPORTRANGE(""https://docs.google.com/spreadsheets/d/11923uPwbBZFjjGgGUA6NLw09EwE0CqkOc4q9oUmW1yo/edit?usp=sharing"",""เชียงใหม่!I508"")"),0)</f>
        <v>0</v>
      </c>
      <c r="J613" s="199">
        <f ca="1">IFERROR(__xludf.DUMMYFUNCTION("IMPORTRANGE(""https://docs.google.com/spreadsheets/d/11923uPwbBZFjjGgGUA6NLw09EwE0CqkOc4q9oUmW1yo/edit?usp=sharing"",""เชียงใหม่!J508"")"),110.75)</f>
        <v>110.75</v>
      </c>
      <c r="K613" s="165">
        <f t="shared" ca="1" si="127"/>
        <v>110.75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IFERROR(__xludf.DUMMYFUNCTION("IMPORTRANGE(""https://docs.google.com/spreadsheets/d/11923uPwbBZFjjGgGUA6NLw09EwE0CqkOc4q9oUmW1yo/edit?usp=sharing"",""เชียงใหม่!I509"")"),0)</f>
        <v>0</v>
      </c>
      <c r="J614" s="199">
        <f ca="1">IFERROR(__xludf.DUMMYFUNCTION("IMPORTRANGE(""https://docs.google.com/spreadsheets/d/11923uPwbBZFjjGgGUA6NLw09EwE0CqkOc4q9oUmW1yo/edit?usp=sharing"",""เชียงใหม่!J509"")"),110.75)</f>
        <v>110.75</v>
      </c>
      <c r="K614" s="165">
        <f t="shared" ca="1" si="127"/>
        <v>110.75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IFERROR(__xludf.DUMMYFUNCTION("IMPORTRANGE(""https://docs.google.com/spreadsheets/d/11923uPwbBZFjjGgGUA6NLw09EwE0CqkOc4q9oUmW1yo/edit?usp=sharing"",""เชียงใหม่!I510"")"),0)</f>
        <v>0</v>
      </c>
      <c r="J615" s="199">
        <f ca="1">IFERROR(__xludf.DUMMYFUNCTION("IMPORTRANGE(""https://docs.google.com/spreadsheets/d/11923uPwbBZFjjGgGUA6NLw09EwE0CqkOc4q9oUmW1yo/edit?usp=sharing"",""เชียงใหม่!J510"")"),110.75)</f>
        <v>110.75</v>
      </c>
      <c r="K615" s="165">
        <f t="shared" ca="1" si="127"/>
        <v>110.75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IFERROR(__xludf.DUMMYFUNCTION("IMPORTRANGE(""https://docs.google.com/spreadsheets/d/11923uPwbBZFjjGgGUA6NLw09EwE0CqkOc4q9oUmW1yo/edit?usp=sharing"",""เชียงใหม่!I511"")"),0)</f>
        <v>0</v>
      </c>
      <c r="J616" s="199">
        <f ca="1">IFERROR(__xludf.DUMMYFUNCTION("IMPORTRANGE(""https://docs.google.com/spreadsheets/d/11923uPwbBZFjjGgGUA6NLw09EwE0CqkOc4q9oUmW1yo/edit?usp=sharing"",""เชียงใหม่!J511"")"),0)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IFERROR(__xludf.DUMMYFUNCTION("IMPORTRANGE(""https://docs.google.com/spreadsheets/d/11923uPwbBZFjjGgGUA6NLw09EwE0CqkOc4q9oUmW1yo/edit?usp=sharing"",""เชียงใหม่!I512"")"),0)</f>
        <v>0</v>
      </c>
      <c r="J617" s="189">
        <f ca="1">IFERROR(__xludf.DUMMYFUNCTION("IMPORTRANGE(""https://docs.google.com/spreadsheets/d/11923uPwbBZFjjGgGUA6NLw09EwE0CqkOc4q9oUmW1yo/edit?usp=sharing"",""เชียงใหม่!J512"")"),0)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IFERROR(__xludf.DUMMYFUNCTION("IMPORTRANGE(""https://docs.google.com/spreadsheets/d/11923uPwbBZFjjGgGUA6NLw09EwE0CqkOc4q9oUmW1yo/edit?usp=sharing"",""เชียงใหม่!I513"")"),0)</f>
        <v>0</v>
      </c>
      <c r="J618" s="190">
        <f ca="1">IFERROR(__xludf.DUMMYFUNCTION("IMPORTRANGE(""https://docs.google.com/spreadsheets/d/11923uPwbBZFjjGgGUA6NLw09EwE0CqkOc4q9oUmW1yo/edit?usp=sharing"",""เชียงใหม่!J513"")"),0)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IFERROR(__xludf.DUMMYFUNCTION("IMPORTRANGE(""https://docs.google.com/spreadsheets/d/11923uPwbBZFjjGgGUA6NLw09EwE0CqkOc4q9oUmW1yo/edit?usp=sharing"",""เชียงใหม่!I514"")"),0)</f>
        <v>0</v>
      </c>
      <c r="J619" s="190">
        <f ca="1">IFERROR(__xludf.DUMMYFUNCTION("IMPORTRANGE(""https://docs.google.com/spreadsheets/d/11923uPwbBZFjjGgGUA6NLw09EwE0CqkOc4q9oUmW1yo/edit?usp=sharing"",""เชียงใหม่!J514"")"),0)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IFERROR(__xludf.DUMMYFUNCTION("IMPORTRANGE(""https://docs.google.com/spreadsheets/d/11923uPwbBZFjjGgGUA6NLw09EwE0CqkOc4q9oUmW1yo/edit?usp=sharing"",""เชียงใหม่!I515"")"),100)</f>
        <v>100</v>
      </c>
      <c r="J620" s="204">
        <f ca="1">IFERROR(__xludf.DUMMYFUNCTION("IMPORTRANGE(""https://docs.google.com/spreadsheets/d/11923uPwbBZFjjGgGUA6NLw09EwE0CqkOc4q9oUmW1yo/edit?usp=sharing"",""เชียงใหม่!J515"")"),0)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IFERROR(__xludf.DUMMYFUNCTION("IMPORTRANGE(""https://docs.google.com/spreadsheets/d/11923uPwbBZFjjGgGUA6NLw09EwE0CqkOc4q9oUmW1yo/edit?usp=sharing"",""เชียงใหม่!I516"")"),0)</f>
        <v>0</v>
      </c>
      <c r="J621" s="204">
        <f ca="1">IFERROR(__xludf.DUMMYFUNCTION("IMPORTRANGE(""https://docs.google.com/spreadsheets/d/11923uPwbBZFjjGgGUA6NLw09EwE0CqkOc4q9oUmW1yo/edit?usp=sharing"",""เชียงใหม่!J516"")"),0)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IFERROR(__xludf.DUMMYFUNCTION("IMPORTRANGE(""https://docs.google.com/spreadsheets/d/11923uPwbBZFjjGgGUA6NLw09EwE0CqkOc4q9oUmW1yo/edit?usp=sharing"",""เชียงใหม่!I517"")"),0)</f>
        <v>0</v>
      </c>
      <c r="J622" s="190">
        <f ca="1">IFERROR(__xludf.DUMMYFUNCTION("IMPORTRANGE(""https://docs.google.com/spreadsheets/d/11923uPwbBZFjjGgGUA6NLw09EwE0CqkOc4q9oUmW1yo/edit?usp=sharing"",""เชียงใหม่!J517"")"),0)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IFERROR(__xludf.DUMMYFUNCTION("IMPORTRANGE(""https://docs.google.com/spreadsheets/d/11923uPwbBZFjjGgGUA6NLw09EwE0CqkOc4q9oUmW1yo/edit?usp=sharing"",""เชียงใหม่!I518"")"),0)</f>
        <v>0</v>
      </c>
      <c r="J623" s="190">
        <f ca="1">IFERROR(__xludf.DUMMYFUNCTION("IMPORTRANGE(""https://docs.google.com/spreadsheets/d/11923uPwbBZFjjGgGUA6NLw09EwE0CqkOc4q9oUmW1yo/edit?usp=sharing"",""เชียงใหม่!J518"")"),0)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IFERROR(__xludf.DUMMYFUNCTION("IMPORTRANGE(""https://docs.google.com/spreadsheets/d/11923uPwbBZFjjGgGUA6NLw09EwE0CqkOc4q9oUmW1yo/edit?usp=sharing"",""เชียงใหม่!I519"")"),0)</f>
        <v>0</v>
      </c>
      <c r="J624" s="189">
        <f ca="1">IFERROR(__xludf.DUMMYFUNCTION("IMPORTRANGE(""https://docs.google.com/spreadsheets/d/11923uPwbBZFjjGgGUA6NLw09EwE0CqkOc4q9oUmW1yo/edit?usp=sharing"",""เชียงใหม่!J519"")"),0)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IFERROR(__xludf.DUMMYFUNCTION("IMPORTRANGE(""https://docs.google.com/spreadsheets/d/11923uPwbBZFjjGgGUA6NLw09EwE0CqkOc4q9oUmW1yo/edit?usp=sharing"",""เชียงใหม่!I520"")"),0)</f>
        <v>0</v>
      </c>
      <c r="J625" s="190">
        <f ca="1">IFERROR(__xludf.DUMMYFUNCTION("IMPORTRANGE(""https://docs.google.com/spreadsheets/d/11923uPwbBZFjjGgGUA6NLw09EwE0CqkOc4q9oUmW1yo/edit?usp=sharing"",""เชียงใหม่!J520"")"),0)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IFERROR(__xludf.DUMMYFUNCTION("IMPORTRANGE(""https://docs.google.com/spreadsheets/d/11923uPwbBZFjjGgGUA6NLw09EwE0CqkOc4q9oUmW1yo/edit?usp=sharing"",""เชียงใหม่!I521"")"),0)</f>
        <v>0</v>
      </c>
      <c r="J626" s="190">
        <f ca="1">IFERROR(__xludf.DUMMYFUNCTION("IMPORTRANGE(""https://docs.google.com/spreadsheets/d/11923uPwbBZFjjGgGUA6NLw09EwE0CqkOc4q9oUmW1yo/edit?usp=sharing"",""เชียงใหม่!J521"")"),100)</f>
        <v>100</v>
      </c>
      <c r="K626" s="165">
        <f t="shared" ca="1" si="128"/>
        <v>100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IFERROR(__xludf.DUMMYFUNCTION("IMPORTRANGE(""https://docs.google.com/spreadsheets/d/11923uPwbBZFjjGgGUA6NLw09EwE0CqkOc4q9oUmW1yo/edit?usp=sharing"",""เชียงใหม่!I523"")"),2766411.24)</f>
        <v>2766411.24</v>
      </c>
      <c r="J628" s="342">
        <f ca="1">IFERROR(__xludf.DUMMYFUNCTION("IMPORTRANGE(""https://docs.google.com/spreadsheets/d/11923uPwbBZFjjGgGUA6NLw09EwE0CqkOc4q9oUmW1yo/edit?usp=sharing"",""เชียงใหม่!J523"")"),2000350.25)</f>
        <v>2000350.25</v>
      </c>
      <c r="K628" s="343">
        <f t="shared" ref="K628:K635" ca="1" si="129">IF(I628&gt;0,J628*100/I628,0)</f>
        <v>72.30849199412593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IFERROR(__xludf.DUMMYFUNCTION("IMPORTRANGE(""https://docs.google.com/spreadsheets/d/11923uPwbBZFjjGgGUA6NLw09EwE0CqkOc4q9oUmW1yo/edit?usp=sharing"",""เชียงใหม่!I524"")"),159)</f>
        <v>159</v>
      </c>
      <c r="J629" s="342">
        <f ca="1">IFERROR(__xludf.DUMMYFUNCTION("IMPORTRANGE(""https://docs.google.com/spreadsheets/d/11923uPwbBZFjjGgGUA6NLw09EwE0CqkOc4q9oUmW1yo/edit?usp=sharing"",""เชียงใหม่!J524"")"),100)</f>
        <v>100</v>
      </c>
      <c r="K629" s="343">
        <f t="shared" ca="1" si="129"/>
        <v>62.893081761006286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42">
        <f ca="1">IFERROR(__xludf.DUMMYFUNCTION("IMPORTRANGE(""https://docs.google.com/spreadsheets/d/11923uPwbBZFjjGgGUA6NLw09EwE0CqkOc4q9oUmW1yo/edit?usp=sharing"",""เชียงใหม่!J525"")"),63984.48)</f>
        <v>63984.480000000003</v>
      </c>
      <c r="K630" s="343">
        <f t="shared" ca="1" si="129"/>
        <v>10.04762204842913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IFERROR(__xludf.DUMMYFUNCTION("IMPORTRANGE(""https://docs.google.com/spreadsheets/d/11923uPwbBZFjjGgGUA6NLw09EwE0CqkOc4q9oUmW1yo/edit?usp=sharing"",""เชียงใหม่!I526"")"),41)</f>
        <v>41</v>
      </c>
      <c r="J631" s="342">
        <f ca="1">IFERROR(__xludf.DUMMYFUNCTION("IMPORTRANGE(""https://docs.google.com/spreadsheets/d/11923uPwbBZFjjGgGUA6NLw09EwE0CqkOc4q9oUmW1yo/edit?usp=sharing"",""เชียงใหม่!J526"")"),26)</f>
        <v>26</v>
      </c>
      <c r="K631" s="343">
        <f t="shared" ca="1" si="129"/>
        <v>63.414634146341463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42">
        <f ca="1">IFERROR(__xludf.DUMMYFUNCTION("IMPORTRANGE(""https://docs.google.com/spreadsheets/d/11923uPwbBZFjjGgGUA6NLw09EwE0CqkOc4q9oUmW1yo/edit?usp=sharing"",""เชียงใหม่!J527"")"),26826.25)</f>
        <v>26826.25</v>
      </c>
      <c r="K632" s="343">
        <f t="shared" ca="1" si="129"/>
        <v>26.597543046848756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IFERROR(__xludf.DUMMYFUNCTION("IMPORTRANGE(""https://docs.google.com/spreadsheets/d/11923uPwbBZFjjGgGUA6NLw09EwE0CqkOc4q9oUmW1yo/edit?usp=sharing"",""เชียงใหม่!I528"")"),23)</f>
        <v>23</v>
      </c>
      <c r="J633" s="342">
        <f ca="1">IFERROR(__xludf.DUMMYFUNCTION("IMPORTRANGE(""https://docs.google.com/spreadsheets/d/11923uPwbBZFjjGgGUA6NLw09EwE0CqkOc4q9oUmW1yo/edit?usp=sharing"",""เชียงใหม่!J528"")"),16)</f>
        <v>16</v>
      </c>
      <c r="K633" s="343">
        <f t="shared" ca="1" si="129"/>
        <v>69.565217391304344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IFERROR(__xludf.DUMMYFUNCTION("IMPORTRANGE(""https://docs.google.com/spreadsheets/d/11923uPwbBZFjjGgGUA6NLw09EwE0CqkOc4q9oUmW1yo/edit?usp=sharing"",""เชียงใหม่!I529"")"),1890000)</f>
        <v>1890000</v>
      </c>
      <c r="J634" s="342">
        <f ca="1">IFERROR(__xludf.DUMMYFUNCTION("IMPORTRANGE(""https://docs.google.com/spreadsheets/d/11923uPwbBZFjjGgGUA6NLw09EwE0CqkOc4q9oUmW1yo/edit?usp=sharing"",""เชียงใหม่!J529"")"),570000)</f>
        <v>570000</v>
      </c>
      <c r="K634" s="343">
        <f t="shared" ca="1" si="129"/>
        <v>30.158730158730158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IFERROR(__xludf.DUMMYFUNCTION("IMPORTRANGE(""https://docs.google.com/spreadsheets/d/11923uPwbBZFjjGgGUA6NLw09EwE0CqkOc4q9oUmW1yo/edit?usp=sharing"",""เชียงใหม่!I530"")"),63)</f>
        <v>63</v>
      </c>
      <c r="J635" s="506">
        <f ca="1">IFERROR(__xludf.DUMMYFUNCTION("IMPORTRANGE(""https://docs.google.com/spreadsheets/d/11923uPwbBZFjjGgGUA6NLw09EwE0CqkOc4q9oUmW1yo/edit?usp=sharing"",""เชียงใหม่!J530"")"),20)</f>
        <v>20</v>
      </c>
      <c r="K635" s="488">
        <f t="shared" ca="1" si="129"/>
        <v>31.746031746031747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5525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5525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5525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IFERROR(__xludf.DUMMYFUNCTION("IMPORTRANGE(""https://docs.google.com/spreadsheets/d/11923uPwbBZFjjGgGUA6NLw09EwE0CqkOc4q9oUmW1yo/edit?usp=sharing"",""เชียงใหม่!J541"")"),1)</f>
        <v>1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IFERROR(__xludf.DUMMYFUNCTION("IMPORTRANGE(""https://docs.google.com/spreadsheets/d/11923uPwbBZFjjGgGUA6NLw09EwE0CqkOc4q9oUmW1yo/edit?usp=sharing"",""เชียงใหม่!J542"")"),0)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IFERROR(__xludf.DUMMYFUNCTION("IMPORTRANGE(""https://docs.google.com/spreadsheets/d/11923uPwbBZFjjGgGUA6NLw09EwE0CqkOc4q9oUmW1yo/edit?usp=sharing"",""เชียงใหม่!I543"")"),0)</f>
        <v>0</v>
      </c>
      <c r="J648" s="537">
        <f ca="1">IFERROR(__xludf.DUMMYFUNCTION("IMPORTRANGE(""https://docs.google.com/spreadsheets/d/11923uPwbBZFjjGgGUA6NLw09EwE0CqkOc4q9oUmW1yo/edit?usp=sharing"",""เชียงใหม่!J543"")"),0)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IFERROR(__xludf.DUMMYFUNCTION("IMPORTRANGE(""https://docs.google.com/spreadsheets/d/11923uPwbBZFjjGgGUA6NLw09EwE0CqkOc4q9oUmW1yo/edit?usp=sharing"",""เชียงใหม่!L543"")"),0)</f>
        <v>0</v>
      </c>
      <c r="M648" s="522"/>
      <c r="N648" s="539">
        <f ca="1">IFERROR(__xludf.DUMMYFUNCTION("IMPORTRANGE(""https://docs.google.com/spreadsheets/d/11923uPwbBZFjjGgGUA6NLw09EwE0CqkOc4q9oUmW1yo/edit?usp=sharing"",""เชียงใหม่!M543"")"),0)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IFERROR(__xludf.DUMMYFUNCTION("IMPORTRANGE(""https://docs.google.com/spreadsheets/d/11923uPwbBZFjjGgGUA6NLw09EwE0CqkOc4q9oUmW1yo/edit?usp=sharing"",""เชียงใหม่!I544"")"),22)</f>
        <v>22</v>
      </c>
      <c r="J649" s="537">
        <f ca="1">IFERROR(__xludf.DUMMYFUNCTION("IMPORTRANGE(""https://docs.google.com/spreadsheets/d/11923uPwbBZFjjGgGUA6NLw09EwE0CqkOc4q9oUmW1yo/edit?usp=sharing"",""เชียงใหม่!J544"")"),0)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IFERROR(__xludf.DUMMYFUNCTION("IMPORTRANGE(""https://docs.google.com/spreadsheets/d/11923uPwbBZFjjGgGUA6NLw09EwE0CqkOc4q9oUmW1yo/edit?usp=sharing"",""เชียงใหม่!L544"")"),2640)</f>
        <v>2640</v>
      </c>
      <c r="M649" s="522"/>
      <c r="N649" s="539">
        <f ca="1">IFERROR(__xludf.DUMMYFUNCTION("IMPORTRANGE(""https://docs.google.com/spreadsheets/d/11923uPwbBZFjjGgGUA6NLw09EwE0CqkOc4q9oUmW1yo/edit?usp=sharing"",""เชียงใหม่!M544"")"),0)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IFERROR(__xludf.DUMMYFUNCTION("IMPORTRANGE(""https://docs.google.com/spreadsheets/d/11923uPwbBZFjjGgGUA6NLw09EwE0CqkOc4q9oUmW1yo/edit?usp=sharing"",""เชียงใหม่!I545"")"),0)</f>
        <v>0</v>
      </c>
      <c r="J650" s="537">
        <f ca="1">IFERROR(__xludf.DUMMYFUNCTION("IMPORTRANGE(""https://docs.google.com/spreadsheets/d/11923uPwbBZFjjGgGUA6NLw09EwE0CqkOc4q9oUmW1yo/edit?usp=sharing"",""เชียงใหม่!J545"")"),0)</f>
        <v>0</v>
      </c>
      <c r="K650" s="538">
        <f t="shared" ca="1" si="131"/>
        <v>0</v>
      </c>
      <c r="L650" s="523">
        <f ca="1">IFERROR(__xludf.DUMMYFUNCTION("IMPORTRANGE(""https://docs.google.com/spreadsheets/d/11923uPwbBZFjjGgGUA6NLw09EwE0CqkOc4q9oUmW1yo/edit?usp=sharing"",""เชียงใหม่!L545"")"),0)</f>
        <v>0</v>
      </c>
      <c r="M650" s="522"/>
      <c r="N650" s="539">
        <f ca="1">IFERROR(__xludf.DUMMYFUNCTION("IMPORTRANGE(""https://docs.google.com/spreadsheets/d/11923uPwbBZFjjGgGUA6NLw09EwE0CqkOc4q9oUmW1yo/edit?usp=sharing"",""เชียงใหม่!M545"")"),0)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IFERROR(__xludf.DUMMYFUNCTION("IMPORTRANGE(""https://docs.google.com/spreadsheets/d/11923uPwbBZFjjGgGUA6NLw09EwE0CqkOc4q9oUmW1yo/edit?usp=sharing"",""เชียงใหม่!I546"")"),101)</f>
        <v>101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IFERROR(__xludf.DUMMYFUNCTION("IMPORTRANGE(""https://docs.google.com/spreadsheets/d/11923uPwbBZFjjGgGUA6NLw09EwE0CqkOc4q9oUmW1yo/edit?usp=sharing"",""เชียงใหม่!L546"")"),2525)</f>
        <v>2525</v>
      </c>
      <c r="M651" s="522"/>
      <c r="N651" s="539">
        <f ca="1">IFERROR(__xludf.DUMMYFUNCTION("IMPORTRANGE(""https://docs.google.com/spreadsheets/d/11923uPwbBZFjjGgGUA6NLw09EwE0CqkOc4q9oUmW1yo/edit?usp=sharing"",""เชียงใหม่!M546"")"),0)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IFERROR(__xludf.DUMMYFUNCTION("IMPORTRANGE(""https://docs.google.com/spreadsheets/d/11923uPwbBZFjjGgGUA6NLw09EwE0CqkOc4q9oUmW1yo/edit?usp=sharing"",""เชียงใหม่!J547"")"),0)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IFERROR(__xludf.DUMMYFUNCTION("IMPORTRANGE(""https://docs.google.com/spreadsheets/d/11923uPwbBZFjjGgGUA6NLw09EwE0CqkOc4q9oUmW1yo/edit?usp=sharing"",""เชียงใหม่!J548"")"),0)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IFERROR(__xludf.DUMMYFUNCTION("IMPORTRANGE(""https://docs.google.com/spreadsheets/d/11923uPwbBZFjjGgGUA6NLw09EwE0CqkOc4q9oUmW1yo/edit?usp=sharing"",""เชียงใหม่!J550"")"),0)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IFERROR(__xludf.DUMMYFUNCTION("IMPORTRANGE(""https://docs.google.com/spreadsheets/d/11923uPwbBZFjjGgGUA6NLw09EwE0CqkOc4q9oUmW1yo/edit?usp=sharing"",""เชียงใหม่!J551"")"),0)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IFERROR(__xludf.DUMMYFUNCTION("IMPORTRANGE(""https://docs.google.com/spreadsheets/d/11923uPwbBZFjjGgGUA6NLw09EwE0CqkOc4q9oUmW1yo/edit?usp=sharing"",""เชียงใหม่!J552"")"),0)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IFERROR(__xludf.DUMMYFUNCTION("IMPORTRANGE(""https://docs.google.com/spreadsheets/d/11923uPwbBZFjjGgGUA6NLw09EwE0CqkOc4q9oUmW1yo/edit?usp=sharing"",""เชียงใหม่!J553"")"),0)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IFERROR(__xludf.DUMMYFUNCTION("IMPORTRANGE(""https://docs.google.com/spreadsheets/d/11923uPwbBZFjjGgGUA6NLw09EwE0CqkOc4q9oUmW1yo/edit?usp=sharing"",""เชียงใหม่!J554"")"),0)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IFERROR(__xludf.DUMMYFUNCTION("IMPORTRANGE(""https://docs.google.com/spreadsheets/d/11923uPwbBZFjjGgGUA6NLw09EwE0CqkOc4q9oUmW1yo/edit?usp=sharing"",""เชียงใหม่!J555"")"),0)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IFERROR(__xludf.DUMMYFUNCTION("IMPORTRANGE(""https://docs.google.com/spreadsheets/d/11923uPwbBZFjjGgGUA6NLw09EwE0CqkOc4q9oUmW1yo/edit?usp=sharing"",""เชียงใหม่!J556"")"),0)</f>
        <v>0</v>
      </c>
      <c r="K661" s="538"/>
      <c r="L661" s="523">
        <f ca="1">IFERROR(__xludf.DUMMYFUNCTION("IMPORTRANGE(""https://docs.google.com/spreadsheets/d/11923uPwbBZFjjGgGUA6NLw09EwE0CqkOc4q9oUmW1yo/edit?usp=sharing"",""เชียงใหม่!L556"")"),360)</f>
        <v>360</v>
      </c>
      <c r="M661" s="522"/>
      <c r="N661" s="539">
        <f ca="1">IFERROR(__xludf.DUMMYFUNCTION("IMPORTRANGE(""https://docs.google.com/spreadsheets/d/11923uPwbBZFjjGgGUA6NLw09EwE0CqkOc4q9oUmW1yo/edit?usp=sharing"",""เชียงใหม่!M556"")"),0)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IFERROR(__xludf.DUMMYFUNCTION("IMPORTRANGE(""https://docs.google.com/spreadsheets/d/11923uPwbBZFjjGgGUA6NLw09EwE0CqkOc4q9oUmW1yo/edit?usp=sharing"",""เชียงใหม่!J557"")"),0)</f>
        <v>0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IFERROR(__xludf.DUMMYFUNCTION("IMPORTRANGE(""https://docs.google.com/spreadsheets/d/11923uPwbBZFjjGgGUA6NLw09EwE0CqkOc4q9oUmW1yo/edit?usp=sharing"",""เชียงใหม่!I558"")"),9)</f>
        <v>9</v>
      </c>
      <c r="J663" s="537">
        <f ca="1">IFERROR(__xludf.DUMMYFUNCTION("IMPORTRANGE(""https://docs.google.com/spreadsheets/d/11923uPwbBZFjjGgGUA6NLw09EwE0CqkOc4q9oUmW1yo/edit?usp=sharing"",""เชียงใหม่!J558"")"),0)</f>
        <v>0</v>
      </c>
      <c r="K663" s="538">
        <f ca="1">IF(I663&gt;0,J663*100/I663,0)</f>
        <v>0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IFERROR(__xludf.DUMMYFUNCTION("IMPORTRANGE(""https://docs.google.com/spreadsheets/d/11923uPwbBZFjjGgGUA6NLw09EwE0CqkOc4q9oUmW1yo/edit?usp=sharing"",""เชียงใหม่!I560"")"),0)</f>
        <v>0</v>
      </c>
      <c r="J665" s="537">
        <f ca="1">IFERROR(__xludf.DUMMYFUNCTION("IMPORTRANGE(""https://docs.google.com/spreadsheets/d/11923uPwbBZFjjGgGUA6NLw09EwE0CqkOc4q9oUmW1yo/edit?usp=sharing"",""เชียงใหม่!J560"")"),0)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IFERROR(__xludf.DUMMYFUNCTION("IMPORTRANGE(""https://docs.google.com/spreadsheets/d/11923uPwbBZFjjGgGUA6NLw09EwE0CqkOc4q9oUmW1yo/edit?usp=sharing"",""เชียงใหม่!L560"")"),0)</f>
        <v>0</v>
      </c>
      <c r="M665" s="522"/>
      <c r="N665" s="539">
        <f ca="1">IFERROR(__xludf.DUMMYFUNCTION("IMPORTRANGE(""https://docs.google.com/spreadsheets/d/11923uPwbBZFjjGgGUA6NLw09EwE0CqkOc4q9oUmW1yo/edit?usp=sharing"",""เชียงใหม่!M560"")"),0)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IFERROR(__xludf.DUMMYFUNCTION("IMPORTRANGE(""https://docs.google.com/spreadsheets/d/11923uPwbBZFjjGgGUA6NLw09EwE0CqkOc4q9oUmW1yo/edit?usp=sharing"",""เชียงใหม่!J561"")"),0)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IFERROR(__xludf.DUMMYFUNCTION("IMPORTRANGE(""https://docs.google.com/spreadsheets/d/11923uPwbBZFjjGgGUA6NLw09EwE0CqkOc4q9oUmW1yo/edit?usp=sharing"",""เชียงใหม่!J562"")"),0)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IFERROR(__xludf.DUMMYFUNCTION("IMPORTRANGE(""https://docs.google.com/spreadsheets/d/11923uPwbBZFjjGgGUA6NLw09EwE0CqkOc4q9oUmW1yo/edit?usp=sharing"",""เชียงใหม่!I563"")"),0)</f>
        <v>0</v>
      </c>
      <c r="J668" s="537">
        <f ca="1">IFERROR(__xludf.DUMMYFUNCTION("IMPORTRANGE(""https://docs.google.com/spreadsheets/d/11923uPwbBZFjjGgGUA6NLw09EwE0CqkOc4q9oUmW1yo/edit?usp=sharing"",""เชียงใหม่!J563"")"),0)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IFERROR(__xludf.DUMMYFUNCTION("IMPORTRANGE(""https://docs.google.com/spreadsheets/d/11923uPwbBZFjjGgGUA6NLw09EwE0CqkOc4q9oUmW1yo/edit?usp=sharing"",""เชียงใหม่!L563"")"),0)</f>
        <v>0</v>
      </c>
      <c r="M668" s="522"/>
      <c r="N668" s="539">
        <f ca="1">IFERROR(__xludf.DUMMYFUNCTION("IMPORTRANGE(""https://docs.google.com/spreadsheets/d/11923uPwbBZFjjGgGUA6NLw09EwE0CqkOc4q9oUmW1yo/edit?usp=sharing"",""เชียงใหม่!M563"")"),0)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IFERROR(__xludf.DUMMYFUNCTION("IMPORTRANGE(""https://docs.google.com/spreadsheets/d/11923uPwbBZFjjGgGUA6NLw09EwE0CqkOc4q9oUmW1yo/edit?usp=sharing"",""เชียงใหม่!J564"")"),0)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IFERROR(__xludf.DUMMYFUNCTION("IMPORTRANGE(""https://docs.google.com/spreadsheets/d/11923uPwbBZFjjGgGUA6NLw09EwE0CqkOc4q9oUmW1yo/edit?usp=sharing"",""เชียงใหม่!J565"")"),0)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IFERROR(__xludf.DUMMYFUNCTION("IMPORTRANGE(""https://docs.google.com/spreadsheets/d/11923uPwbBZFjjGgGUA6NLw09EwE0CqkOc4q9oUmW1yo/edit?usp=sharing"",""เชียงใหม่!I566"")"),0)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IFERROR(__xludf.DUMMYFUNCTION("IMPORTRANGE(""https://docs.google.com/spreadsheets/d/11923uPwbBZFjjGgGUA6NLw09EwE0CqkOc4q9oUmW1yo/edit?usp=sharing"",""เชียงใหม่!L566"")"),0)</f>
        <v>0</v>
      </c>
      <c r="M671" s="522"/>
      <c r="N671" s="539">
        <f ca="1">IFERROR(__xludf.DUMMYFUNCTION("IMPORTRANGE(""https://docs.google.com/spreadsheets/d/11923uPwbBZFjjGgGUA6NLw09EwE0CqkOc4q9oUmW1yo/edit?usp=sharing"",""เชียงใหม่!M566"")"),0)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IFERROR(__xludf.DUMMYFUNCTION("IMPORTRANGE(""https://docs.google.com/spreadsheets/d/11923uPwbBZFjjGgGUA6NLw09EwE0CqkOc4q9oUmW1yo/edit?usp=sharing"",""เชียงใหม่!J567"")"),0)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IFERROR(__xludf.DUMMYFUNCTION("IMPORTRANGE(""https://docs.google.com/spreadsheets/d/11923uPwbBZFjjGgGUA6NLw09EwE0CqkOc4q9oUmW1yo/edit?usp=sharing"",""เชียงใหม่!J568"")"),0)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IFERROR(__xludf.DUMMYFUNCTION("IMPORTRANGE(""https://docs.google.com/spreadsheets/d/11923uPwbBZFjjGgGUA6NLw09EwE0CqkOc4q9oUmW1yo/edit?usp=sharing"",""เชียงใหม่!J569"")"),0)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IFERROR(__xludf.DUMMYFUNCTION("IMPORTRANGE(""https://docs.google.com/spreadsheets/d/11923uPwbBZFjjGgGUA6NLw09EwE0CqkOc4q9oUmW1yo/edit?usp=sharing"",""เชียงใหม่!J570"")"),0)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IFERROR(__xludf.DUMMYFUNCTION("IMPORTRANGE(""https://docs.google.com/spreadsheets/d/11923uPwbBZFjjGgGUA6NLw09EwE0CqkOc4q9oUmW1yo/edit?usp=sharing"",""เชียงใหม่!J571"")"),0)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IFERROR(__xludf.DUMMYFUNCTION("IMPORTRANGE(""https://docs.google.com/spreadsheets/d/11923uPwbBZFjjGgGUA6NLw09EwE0CqkOc4q9oUmW1yo/edit?usp=sharing"",""เชียงใหม่!J572"")"),0)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61"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266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4688948</v>
      </c>
      <c r="M8" s="25">
        <f t="shared" ca="1" si="0"/>
        <v>2340660</v>
      </c>
      <c r="N8" s="25">
        <f t="shared" ca="1" si="0"/>
        <v>2689975.04</v>
      </c>
      <c r="O8" s="24">
        <f t="shared" ref="O8:O16" ca="1" si="1">IF(L8&gt;0,N8*100/L8,0)</f>
        <v>57.368412701527078</v>
      </c>
      <c r="P8" s="24">
        <f t="shared" ref="P8:P16" ca="1" si="2">IF(M8&gt;0,N8*100/M8,0)</f>
        <v>114.92378389001392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4688948</v>
      </c>
      <c r="M10" s="32">
        <f t="shared" ca="1" si="4"/>
        <v>2340660</v>
      </c>
      <c r="N10" s="32">
        <f t="shared" ca="1" si="4"/>
        <v>2689975.04</v>
      </c>
      <c r="O10" s="31">
        <f t="shared" ca="1" si="1"/>
        <v>57.368412701527078</v>
      </c>
      <c r="P10" s="31">
        <f t="shared" ca="1" si="2"/>
        <v>114.92378389001392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4458328</v>
      </c>
      <c r="M12" s="41">
        <f t="shared" ca="1" si="6"/>
        <v>2110040</v>
      </c>
      <c r="N12" s="41">
        <f t="shared" ca="1" si="6"/>
        <v>2459355.04</v>
      </c>
      <c r="O12" s="41">
        <f t="shared" ca="1" si="1"/>
        <v>55.163169690520753</v>
      </c>
      <c r="P12" s="41">
        <f t="shared" ca="1" si="2"/>
        <v>116.55490132888477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1854900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2603428</v>
      </c>
      <c r="M14" s="41">
        <f t="shared" si="8"/>
        <v>0</v>
      </c>
      <c r="N14" s="41">
        <f t="shared" ca="1" si="8"/>
        <v>1021331.25</v>
      </c>
      <c r="O14" s="41">
        <f t="shared" ca="1" si="1"/>
        <v>39.230247581265928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230620</v>
      </c>
      <c r="M16" s="41">
        <f t="shared" ca="1" si="10"/>
        <v>230620</v>
      </c>
      <c r="N16" s="41">
        <f t="shared" ca="1" si="10"/>
        <v>230620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2895720</v>
      </c>
      <c r="M18" s="25">
        <f t="shared" ca="1" si="11"/>
        <v>2340660</v>
      </c>
      <c r="N18" s="25">
        <f t="shared" ca="1" si="11"/>
        <v>1668643.79</v>
      </c>
      <c r="O18" s="24">
        <f t="shared" ref="O18:O20" ca="1" si="12">IF(L18&gt;0,N18*100/L18,0)</f>
        <v>57.624486828837043</v>
      </c>
      <c r="P18" s="24">
        <f t="shared" ref="P18:P26" ca="1" si="13">IF(M18&gt;0,N18*100/M18,0)</f>
        <v>71.289456392641398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2895720</v>
      </c>
      <c r="M20" s="32">
        <f t="shared" ca="1" si="15"/>
        <v>2340660</v>
      </c>
      <c r="N20" s="32">
        <f t="shared" ca="1" si="15"/>
        <v>1668643.79</v>
      </c>
      <c r="O20" s="31">
        <f t="shared" ca="1" si="12"/>
        <v>57.624486828837043</v>
      </c>
      <c r="P20" s="31">
        <f t="shared" ca="1" si="13"/>
        <v>71.289456392641398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2665100</v>
      </c>
      <c r="M22" s="44">
        <f t="shared" ca="1" si="18"/>
        <v>2110040</v>
      </c>
      <c r="N22" s="41">
        <f t="shared" ca="1" si="18"/>
        <v>1438023.79</v>
      </c>
      <c r="O22" s="41">
        <f t="shared" ca="1" si="17"/>
        <v>53.957592210423627</v>
      </c>
      <c r="P22" s="41">
        <f t="shared" ca="1" si="13"/>
        <v>68.151494284468541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1854900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810200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230620</v>
      </c>
      <c r="M26" s="52">
        <f t="shared" ca="1" si="22"/>
        <v>230620</v>
      </c>
      <c r="N26" s="52">
        <f t="shared" ca="1" si="22"/>
        <v>230620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1793228</v>
      </c>
      <c r="M28" s="25">
        <f t="shared" si="23"/>
        <v>0</v>
      </c>
      <c r="N28" s="25">
        <f t="shared" ca="1" si="23"/>
        <v>1021331.25</v>
      </c>
      <c r="O28" s="24">
        <f t="shared" ref="O28:O30" ca="1" si="24">IF(L28&gt;0,N28*100/L28,0)</f>
        <v>56.954901997961215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1793228</v>
      </c>
      <c r="M30" s="32">
        <f t="shared" si="27"/>
        <v>0</v>
      </c>
      <c r="N30" s="32">
        <f t="shared" ca="1" si="27"/>
        <v>1021331.25</v>
      </c>
      <c r="O30" s="31">
        <f t="shared" ca="1" si="24"/>
        <v>56.954901997961215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1793228</v>
      </c>
      <c r="M32" s="41">
        <f t="shared" si="30"/>
        <v>0</v>
      </c>
      <c r="N32" s="41">
        <f t="shared" ca="1" si="30"/>
        <v>1021331.25</v>
      </c>
      <c r="O32" s="41">
        <f t="shared" ca="1" si="29"/>
        <v>56.954901997961215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1793228</v>
      </c>
      <c r="M34" s="41">
        <f t="shared" si="32"/>
        <v>0</v>
      </c>
      <c r="N34" s="41">
        <f t="shared" ca="1" si="32"/>
        <v>1021331.25</v>
      </c>
      <c r="O34" s="41">
        <f t="shared" ca="1" si="29"/>
        <v>56.954901997961215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2895720</v>
      </c>
      <c r="M37" s="57">
        <f t="shared" ca="1" si="33"/>
        <v>2340660</v>
      </c>
      <c r="N37" s="57">
        <f t="shared" ca="1" si="33"/>
        <v>1668643.79</v>
      </c>
      <c r="O37" s="58">
        <f t="shared" ca="1" si="29"/>
        <v>57.624486828837043</v>
      </c>
      <c r="P37" s="58">
        <f t="shared" ca="1" si="25"/>
        <v>71.289456392641398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694100</v>
      </c>
      <c r="M41" s="81">
        <f t="shared" ca="1" si="34"/>
        <v>520600</v>
      </c>
      <c r="N41" s="81">
        <f t="shared" ca="1" si="34"/>
        <v>307130.93</v>
      </c>
      <c r="O41" s="80">
        <f t="shared" ref="O41:O43" ca="1" si="35">IF(L41&gt;0,N41*100/L41,0)</f>
        <v>44.248801325457428</v>
      </c>
      <c r="P41" s="80">
        <f t="shared" ref="P41:P43" ca="1" si="36">IF(M41&gt;0,N41*100/M41,0)</f>
        <v>58.995568574721474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694100</v>
      </c>
      <c r="M43" s="81">
        <f t="shared" ca="1" si="38"/>
        <v>520600</v>
      </c>
      <c r="N43" s="81">
        <f t="shared" ca="1" si="38"/>
        <v>307130.93</v>
      </c>
      <c r="O43" s="80">
        <f t="shared" ca="1" si="35"/>
        <v>44.248801325457428</v>
      </c>
      <c r="P43" s="80">
        <f t="shared" ca="1" si="36"/>
        <v>58.995568574721474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694100</v>
      </c>
      <c r="M45" s="52">
        <f ca="1">IFERROR(__xludf.DUMMYFUNCTION("IMPORTRANGE(""https://docs.google.com/spreadsheets/d/1Yj_ptqi66GCucihVvJfMjLAmec39IyEx_6qawtMGysU/edit?usp=sharing"",""สบก!Q23"")"),520600)</f>
        <v>520600</v>
      </c>
      <c r="N45" s="52">
        <f ca="1">IFERROR(__xludf.DUMMYFUNCTION("IMPORTRANGE(""https://docs.google.com/spreadsheets/d/1Yj_ptqi66GCucihVvJfMjLAmec39IyEx_6qawtMGysU/edit?usp=sharing"",""สบก!R23"")"),307130.93)</f>
        <v>307130.93</v>
      </c>
      <c r="O45" s="41">
        <f ca="1">IF(L45&gt;0,N45*100/L45,0)</f>
        <v>44.248801325457428</v>
      </c>
      <c r="P45" s="41">
        <f ca="1">IF(M45&gt;0,N45*100/M45,0)</f>
        <v>58.995568574721474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IFERROR(__xludf.DUMMYFUNCTION("IMPORTRANGE(""https://docs.google.com/spreadsheets/d/1Yj_ptqi66GCucihVvJfMjLAmec39IyEx_6qawtMGysU/edit?usp=sharing"",""สบก!M23"")"),694100)</f>
        <v>694100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IFERROR(__xludf.DUMMYFUNCTION("IMPORTRANGE(""https://docs.google.com/spreadsheets/d/1Yj_ptqi66GCucihVvJfMjLAmec39IyEx_6qawtMGysU/edit?usp=sharing"",""สบก!N23"")"),0)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IFERROR(__xludf.DUMMYFUNCTION("IMPORTRANGE(""https://docs.google.com/spreadsheets/d/1Yj_ptqi66GCucihVvJfMjLAmec39IyEx_6qawtMGysU/edit?usp=sharing"",""สบก!O23"")"),0)</f>
        <v>0</v>
      </c>
      <c r="M49" s="52"/>
      <c r="N49" s="52">
        <f ca="1">IFERROR(__xludf.DUMMYFUNCTION("IMPORTRANGE(""https://docs.google.com/spreadsheets/d/1Yj_ptqi66GCucihVvJfMjLAmec39IyEx_6qawtMGysU/edit?usp=sharing"",""สบก!S23"")"),0)</f>
        <v>0</v>
      </c>
      <c r="O49" s="52">
        <f ca="1">IF(L49&gt;0,N49*100/L49,0)</f>
        <v>0</v>
      </c>
      <c r="P49" s="52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400000</v>
      </c>
      <c r="M53" s="123">
        <f t="shared" ca="1" si="39"/>
        <v>328860</v>
      </c>
      <c r="N53" s="123">
        <f t="shared" ca="1" si="39"/>
        <v>248713</v>
      </c>
      <c r="O53" s="122">
        <f t="shared" ref="O53:O55" ca="1" si="40">IF(L53&gt;0,N53*100/L53,0)</f>
        <v>62.178249999999998</v>
      </c>
      <c r="P53" s="122">
        <f t="shared" ref="P53:P55" ca="1" si="41">IF(M53&gt;0,N53*100/M53,0)</f>
        <v>75.628839019643621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400000</v>
      </c>
      <c r="M55" s="123">
        <f t="shared" ca="1" si="43"/>
        <v>328860</v>
      </c>
      <c r="N55" s="123">
        <f t="shared" ca="1" si="43"/>
        <v>248713</v>
      </c>
      <c r="O55" s="122">
        <f t="shared" ca="1" si="40"/>
        <v>62.178249999999998</v>
      </c>
      <c r="P55" s="122">
        <f t="shared" ca="1" si="41"/>
        <v>75.628839019643621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400000</v>
      </c>
      <c r="M57" s="52">
        <f ca="1">IFERROR(__xludf.DUMMYFUNCTION("IMPORTRANGE(""https://docs.google.com/spreadsheets/d/1Yj_ptqi66GCucihVvJfMjLAmec39IyEx_6qawtMGysU/edit?usp=sharing"",""สบก!Z23"")"),328860)</f>
        <v>328860</v>
      </c>
      <c r="N57" s="52">
        <f ca="1">IFERROR(__xludf.DUMMYFUNCTION("IMPORTRANGE(""https://docs.google.com/spreadsheets/d/1Yj_ptqi66GCucihVvJfMjLAmec39IyEx_6qawtMGysU/edit?usp=sharing"",""สบก!AA23"")"),248713)</f>
        <v>248713</v>
      </c>
      <c r="O57" s="41">
        <f ca="1">IF(L57&gt;0,N57*100/L57,0)</f>
        <v>62.178249999999998</v>
      </c>
      <c r="P57" s="41">
        <f ca="1">IF(M57&gt;0,N57*100/M57,0)</f>
        <v>75.628839019643621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IFERROR(__xludf.DUMMYFUNCTION("IMPORTRANGE(""https://docs.google.com/spreadsheets/d/1Yj_ptqi66GCucihVvJfMjLAmec39IyEx_6qawtMGysU/edit?usp=sharing"",""สบก!V23"")"),400000)</f>
        <v>400000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IFERROR(__xludf.DUMMYFUNCTION("IMPORTRANGE(""https://docs.google.com/spreadsheets/d/1Yj_ptqi66GCucihVvJfMjLAmec39IyEx_6qawtMGysU/edit?usp=sharing"",""สบก!W23"")"),0)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IFERROR(__xludf.DUMMYFUNCTION("IMPORTRANGE(""https://docs.google.com/spreadsheets/d/1Yj_ptqi66GCucihVvJfMjLAmec39IyEx_6qawtMGysU/edit?usp=sharing"",""สบก!X23"")"),0)</f>
        <v>0</v>
      </c>
      <c r="M61" s="52"/>
      <c r="N61" s="52">
        <f ca="1">IFERROR(__xludf.DUMMYFUNCTION("IMPORTRANGE(""https://docs.google.com/spreadsheets/d/1Yj_ptqi66GCucihVvJfMjLAmec39IyEx_6qawtMGysU/edit?usp=sharing"",""สบก!AB23"")"),0)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IFERROR(__xludf.DUMMYFUNCTION("IMPORTRANGE(""https://docs.google.com/spreadsheets/d/11923uPwbBZFjjGgGUA6NLw09EwE0CqkOc4q9oUmW1yo/edit?usp=sharing"",""ตาก!I9"")"),0)</f>
        <v>0</v>
      </c>
      <c r="J64" s="144">
        <f ca="1">IFERROR(__xludf.DUMMYFUNCTION("IMPORTRANGE(""https://docs.google.com/spreadsheets/d/11923uPwbBZFjjGgGUA6NLw09EwE0CqkOc4q9oUmW1yo/edit?usp=sharing"",""ตาก!J9"")"),0)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IFERROR(__xludf.DUMMYFUNCTION("IMPORTRANGE(""https://docs.google.com/spreadsheets/d/11923uPwbBZFjjGgGUA6NLw09EwE0CqkOc4q9oUmW1yo/edit?usp=sharing"",""ตาก!I10"")"),0)</f>
        <v>0</v>
      </c>
      <c r="J65" s="144">
        <f ca="1">IFERROR(__xludf.DUMMYFUNCTION("IMPORTRANGE(""https://docs.google.com/spreadsheets/d/11923uPwbBZFjjGgGUA6NLw09EwE0CqkOc4q9oUmW1yo/edit?usp=sharing"",""ตาก!J10"")"),0)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0</v>
      </c>
      <c r="M68" s="90">
        <f t="shared" ca="1" si="49"/>
        <v>0</v>
      </c>
      <c r="N68" s="90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59"/>
      <c r="B69" s="160"/>
      <c r="C69" s="160" t="s">
        <v>16</v>
      </c>
      <c r="D69" s="570" t="s">
        <v>20</v>
      </c>
      <c r="E69" s="565"/>
      <c r="F69" s="565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IFERROR(__xludf.DUMMYFUNCTION("IMPORTRANGE(""https://docs.google.com/spreadsheets/d/1Yj_ptqi66GCucihVvJfMjLAmec39IyEx_6qawtMGysU/edit?usp=sharing"",""สบก!AI23"")"),0)</f>
        <v>0</v>
      </c>
      <c r="N70" s="170">
        <f ca="1">IFERROR(__xludf.DUMMYFUNCTION("IMPORTRANGE(""https://docs.google.com/spreadsheets/d/1Yj_ptqi66GCucihVvJfMjLAmec39IyEx_6qawtMGysU/edit?usp=sharing"",""สบก!AJ23"")"),0)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IFERROR(__xludf.DUMMYFUNCTION("IMPORTRANGE(""https://docs.google.com/spreadsheets/d/1Yj_ptqi66GCucihVvJfMjLAmec39IyEx_6qawtMGysU/edit?usp=sharing"",""สบก!AE23"")"),0)</f>
        <v>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IFERROR(__xludf.DUMMYFUNCTION("IMPORTRANGE(""https://docs.google.com/spreadsheets/d/1Yj_ptqi66GCucihVvJfMjLAmec39IyEx_6qawtMGysU/edit?usp=sharing"",""สบก!AF23"")"),0)</f>
        <v>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IFERROR(__xludf.DUMMYFUNCTION("IMPORTRANGE(""https://docs.google.com/spreadsheets/d/1Yj_ptqi66GCucihVvJfMjLAmec39IyEx_6qawtMGysU/edit?usp=sharing"",""สบก!AG23"")"),0)</f>
        <v>0</v>
      </c>
      <c r="M74" s="52"/>
      <c r="N74" s="52">
        <f ca="1">IFERROR(__xludf.DUMMYFUNCTION("IMPORTRANGE(""https://docs.google.com/spreadsheets/d/1Yj_ptqi66GCucihVvJfMjLAmec39IyEx_6qawtMGysU/edit?usp=sharing"",""สบก!AK23"")"),0)</f>
        <v>0</v>
      </c>
      <c r="O74" s="52">
        <f ca="1">IF(L74&gt;0,N74*100/L74,0)</f>
        <v>0</v>
      </c>
      <c r="P74" s="52"/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IFERROR(__xludf.DUMMYFUNCTION("IMPORTRANGE(""https://docs.google.com/spreadsheets/d/11923uPwbBZFjjGgGUA6NLw09EwE0CqkOc4q9oUmW1yo/edit?usp=sharing"",""ตาก!J16"")"),0)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IFERROR(__xludf.DUMMYFUNCTION("IMPORTRANGE(""https://docs.google.com/spreadsheets/d/11923uPwbBZFjjGgGUA6NLw09EwE0CqkOc4q9oUmW1yo/edit?usp=sharing"",""ตาก!J17"")"),0)</f>
        <v>0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IFERROR(__xludf.DUMMYFUNCTION("IMPORTRANGE(""https://docs.google.com/spreadsheets/d/11923uPwbBZFjjGgGUA6NLw09EwE0CqkOc4q9oUmW1yo/edit?usp=sharing"",""ตาก!J18"")"),0)</f>
        <v>0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IFERROR(__xludf.DUMMYFUNCTION("IMPORTRANGE(""https://docs.google.com/spreadsheets/d/11923uPwbBZFjjGgGUA6NLw09EwE0CqkOc4q9oUmW1yo/edit?usp=sharing"",""ตาก!J19"")"),0)</f>
        <v>0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IFERROR(__xludf.DUMMYFUNCTION("IMPORTRANGE(""https://docs.google.com/spreadsheets/d/11923uPwbBZFjjGgGUA6NLw09EwE0CqkOc4q9oUmW1yo/edit?usp=sharing"",""ตาก!I20"")"),0)</f>
        <v>0</v>
      </c>
      <c r="J80" s="202">
        <f ca="1">IFERROR(__xludf.DUMMYFUNCTION("IMPORTRANGE(""https://docs.google.com/spreadsheets/d/11923uPwbBZFjjGgGUA6NLw09EwE0CqkOc4q9oUmW1yo/edit?usp=sharing"",""ตาก!J20"")"),0)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IFERROR(__xludf.DUMMYFUNCTION("IMPORTRANGE(""https://docs.google.com/spreadsheets/d/11923uPwbBZFjjGgGUA6NLw09EwE0CqkOc4q9oUmW1yo/edit?usp=sharing"",""ตาก!I21"")"),0)</f>
        <v>0</v>
      </c>
      <c r="J81" s="202">
        <f ca="1">IFERROR(__xludf.DUMMYFUNCTION("IMPORTRANGE(""https://docs.google.com/spreadsheets/d/11923uPwbBZFjjGgGUA6NLw09EwE0CqkOc4q9oUmW1yo/edit?usp=sharing"",""ตาก!J21"")"),0)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IFERROR(__xludf.DUMMYFUNCTION("IMPORTRANGE(""https://docs.google.com/spreadsheets/d/11923uPwbBZFjjGgGUA6NLw09EwE0CqkOc4q9oUmW1yo/edit?usp=sharing"",""ตาก!I22"")"),0)</f>
        <v>0</v>
      </c>
      <c r="J82" s="205">
        <f ca="1">IFERROR(__xludf.DUMMYFUNCTION("IMPORTRANGE(""https://docs.google.com/spreadsheets/d/11923uPwbBZFjjGgGUA6NLw09EwE0CqkOc4q9oUmW1yo/edit?usp=sharing"",""ตาก!J22"")"),0)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IFERROR(__xludf.DUMMYFUNCTION("IMPORTRANGE(""https://docs.google.com/spreadsheets/d/11923uPwbBZFjjGgGUA6NLw09EwE0CqkOc4q9oUmW1yo/edit?usp=sharing"",""ตาก!I23"")"),0)</f>
        <v>0</v>
      </c>
      <c r="J83" s="205">
        <f ca="1">IFERROR(__xludf.DUMMYFUNCTION("IMPORTRANGE(""https://docs.google.com/spreadsheets/d/11923uPwbBZFjjGgGUA6NLw09EwE0CqkOc4q9oUmW1yo/edit?usp=sharing"",""ตาก!J23"")"),0)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IFERROR(__xludf.DUMMYFUNCTION("IMPORTRANGE(""https://docs.google.com/spreadsheets/d/11923uPwbBZFjjGgGUA6NLw09EwE0CqkOc4q9oUmW1yo/edit?usp=sharing"",""ตาก!I24"")"),0)</f>
        <v>0</v>
      </c>
      <c r="J84" s="190">
        <f ca="1">IFERROR(__xludf.DUMMYFUNCTION("IMPORTRANGE(""https://docs.google.com/spreadsheets/d/11923uPwbBZFjjGgGUA6NLw09EwE0CqkOc4q9oUmW1yo/edit?usp=sharing"",""ตาก!J24"")"),0)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IFERROR(__xludf.DUMMYFUNCTION("IMPORTRANGE(""https://docs.google.com/spreadsheets/d/11923uPwbBZFjjGgGUA6NLw09EwE0CqkOc4q9oUmW1yo/edit?usp=sharing"",""ตาก!I25"")"),0)</f>
        <v>0</v>
      </c>
      <c r="J85" s="190">
        <f ca="1">IFERROR(__xludf.DUMMYFUNCTION("IMPORTRANGE(""https://docs.google.com/spreadsheets/d/11923uPwbBZFjjGgGUA6NLw09EwE0CqkOc4q9oUmW1yo/edit?usp=sharing"",""ตาก!J25"")"),0)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IFERROR(__xludf.DUMMYFUNCTION("IMPORTRANGE(""https://docs.google.com/spreadsheets/d/11923uPwbBZFjjGgGUA6NLw09EwE0CqkOc4q9oUmW1yo/edit?usp=sharing"",""ตาก!I26"")"),0)</f>
        <v>0</v>
      </c>
      <c r="J86" s="205">
        <f ca="1">IFERROR(__xludf.DUMMYFUNCTION("IMPORTRANGE(""https://docs.google.com/spreadsheets/d/11923uPwbBZFjjGgGUA6NLw09EwE0CqkOc4q9oUmW1yo/edit?usp=sharing"",""ตาก!J26"")"),0)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IFERROR(__xludf.DUMMYFUNCTION("IMPORTRANGE(""https://docs.google.com/spreadsheets/d/11923uPwbBZFjjGgGUA6NLw09EwE0CqkOc4q9oUmW1yo/edit?usp=sharing"",""ตาก!I27"")"),0)</f>
        <v>0</v>
      </c>
      <c r="J87" s="205">
        <f ca="1">IFERROR(__xludf.DUMMYFUNCTION("IMPORTRANGE(""https://docs.google.com/spreadsheets/d/11923uPwbBZFjjGgGUA6NLw09EwE0CqkOc4q9oUmW1yo/edit?usp=sharing"",""ตาก!J27"")"),0)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IFERROR(__xludf.DUMMYFUNCTION("IMPORTRANGE(""https://docs.google.com/spreadsheets/d/11923uPwbBZFjjGgGUA6NLw09EwE0CqkOc4q9oUmW1yo/edit?usp=sharing"",""ตาก!I28"")"),0)</f>
        <v>0</v>
      </c>
      <c r="J88" s="205">
        <f ca="1">IFERROR(__xludf.DUMMYFUNCTION("IMPORTRANGE(""https://docs.google.com/spreadsheets/d/11923uPwbBZFjjGgGUA6NLw09EwE0CqkOc4q9oUmW1yo/edit?usp=sharing"",""ตาก!J28"")"),0)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IFERROR(__xludf.DUMMYFUNCTION("IMPORTRANGE(""https://docs.google.com/spreadsheets/d/11923uPwbBZFjjGgGUA6NLw09EwE0CqkOc4q9oUmW1yo/edit?usp=sharing"",""ตาก!J29"")"),0)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IFERROR(__xludf.DUMMYFUNCTION("IMPORTRANGE(""https://docs.google.com/spreadsheets/d/11923uPwbBZFjjGgGUA6NLw09EwE0CqkOc4q9oUmW1yo/edit?usp=sharing"",""ตาก!J30"")"),0)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IFERROR(__xludf.DUMMYFUNCTION("IMPORTRANGE(""https://docs.google.com/spreadsheets/d/11923uPwbBZFjjGgGUA6NLw09EwE0CqkOc4q9oUmW1yo/edit?usp=sharing"",""ตาก!I32"")"),4)</f>
        <v>4</v>
      </c>
      <c r="J92" s="144">
        <f ca="1">IFERROR(__xludf.DUMMYFUNCTION("IMPORTRANGE(""https://docs.google.com/spreadsheets/d/11923uPwbBZFjjGgGUA6NLw09EwE0CqkOc4q9oUmW1yo/edit?usp=sharing"",""ตาก!J32"")"),4)</f>
        <v>4</v>
      </c>
      <c r="K92" s="145">
        <f t="shared" ref="K92:K93" ca="1" si="51">IF(I92&gt;0,J92*100/I92,0)</f>
        <v>100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IFERROR(__xludf.DUMMYFUNCTION("IMPORTRANGE(""https://docs.google.com/spreadsheets/d/11923uPwbBZFjjGgGUA6NLw09EwE0CqkOc4q9oUmW1yo/edit?usp=sharing"",""ตาก!I33"")"),1)</f>
        <v>1</v>
      </c>
      <c r="J93" s="144">
        <f ca="1">IFERROR(__xludf.DUMMYFUNCTION("IMPORTRANGE(""https://docs.google.com/spreadsheets/d/11923uPwbBZFjjGgGUA6NLw09EwE0CqkOc4q9oUmW1yo/edit?usp=sharing"",""ตาก!J33"")"),1)</f>
        <v>1</v>
      </c>
      <c r="K93" s="145">
        <f t="shared" ca="1" si="51"/>
        <v>100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214500</v>
      </c>
      <c r="M94" s="154">
        <f t="shared" ca="1" si="52"/>
        <v>194455</v>
      </c>
      <c r="N94" s="154">
        <f t="shared" ca="1" si="52"/>
        <v>146945</v>
      </c>
      <c r="O94" s="153">
        <f t="shared" ref="O94:O96" ca="1" si="53">IF(L94&gt;0,N94*100/L94,0)</f>
        <v>68.505827505827511</v>
      </c>
      <c r="P94" s="153">
        <f t="shared" ref="P94:P96" ca="1" si="54">IF(M94&gt;0,N94*100/M94,0)</f>
        <v>75.56761204391762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214500</v>
      </c>
      <c r="M96" s="90">
        <f t="shared" ca="1" si="56"/>
        <v>194455</v>
      </c>
      <c r="N96" s="90">
        <f t="shared" ca="1" si="56"/>
        <v>146945</v>
      </c>
      <c r="O96" s="158">
        <f t="shared" ca="1" si="53"/>
        <v>68.505827505827511</v>
      </c>
      <c r="P96" s="158">
        <f t="shared" ca="1" si="54"/>
        <v>75.56761204391762</v>
      </c>
    </row>
    <row r="97" spans="1:16" ht="21.75" customHeight="1">
      <c r="A97" s="159"/>
      <c r="B97" s="160"/>
      <c r="C97" s="160" t="s">
        <v>16</v>
      </c>
      <c r="D97" s="570" t="s">
        <v>20</v>
      </c>
      <c r="E97" s="565"/>
      <c r="F97" s="565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IFERROR(__xludf.DUMMYFUNCTION("IMPORTRANGE(""https://docs.google.com/spreadsheets/d/1Yj_ptqi66GCucihVvJfMjLAmec39IyEx_6qawtMGysU/edit?usp=sharing"",""สบก!AR23"")"),102055)</f>
        <v>102055</v>
      </c>
      <c r="N98" s="170">
        <f ca="1">IFERROR(__xludf.DUMMYFUNCTION("IMPORTRANGE(""https://docs.google.com/spreadsheets/d/1Yj_ptqi66GCucihVvJfMjLAmec39IyEx_6qawtMGysU/edit?usp=sharing"",""สบก!AS23"")"),54545)</f>
        <v>54545</v>
      </c>
      <c r="O98" s="170">
        <f ca="1">IF(L98&gt;0,N98*100/L98,0)</f>
        <v>44.672399672399671</v>
      </c>
      <c r="P98" s="170">
        <f ca="1">IF(M98&gt;0,N98*100/M98,0)</f>
        <v>53.44667091274313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IFERROR(__xludf.DUMMYFUNCTION("IMPORTRANGE(""https://docs.google.com/spreadsheets/d/1Yj_ptqi66GCucihVvJfMjLAmec39IyEx_6qawtMGysU/edit?usp=sharing"",""สบก!AN23"")"),0)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IFERROR(__xludf.DUMMYFUNCTION("IMPORTRANGE(""https://docs.google.com/spreadsheets/d/1Yj_ptqi66GCucihVvJfMjLAmec39IyEx_6qawtMGysU/edit?usp=sharing"",""สบก!AO23"")"),122100)</f>
        <v>122100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IFERROR(__xludf.DUMMYFUNCTION("IMPORTRANGE(""https://docs.google.com/spreadsheets/d/1Yj_ptqi66GCucihVvJfMjLAmec39IyEx_6qawtMGysU/edit?usp=sharing"",""สบก!AP23"")"),92400)</f>
        <v>92400</v>
      </c>
      <c r="M102" s="52">
        <f ca="1">L102</f>
        <v>92400</v>
      </c>
      <c r="N102" s="52">
        <f ca="1">IFERROR(__xludf.DUMMYFUNCTION("IMPORTRANGE(""https://docs.google.com/spreadsheets/d/1Yj_ptqi66GCucihVvJfMjLAmec39IyEx_6qawtMGysU/edit?usp=sharing"",""สบก!AT23"")"),92400)</f>
        <v>92400</v>
      </c>
      <c r="O102" s="52">
        <f ca="1">IF(L102&gt;0,N102*100/L102,0)</f>
        <v>100</v>
      </c>
      <c r="P102" s="52">
        <f ca="1">IF(M102&gt;0,N102*100/M102,0)</f>
        <v>100</v>
      </c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IFERROR(__xludf.DUMMYFUNCTION("IMPORTRANGE(""https://docs.google.com/spreadsheets/d/11923uPwbBZFjjGgGUA6NLw09EwE0CqkOc4q9oUmW1yo/edit?usp=sharing"",""ตาก!J39"")"),0)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IFERROR(__xludf.DUMMYFUNCTION("IMPORTRANGE(""https://docs.google.com/spreadsheets/d/11923uPwbBZFjjGgGUA6NLw09EwE0CqkOc4q9oUmW1yo/edit?usp=sharing"",""ตาก!J40"")"),1)</f>
        <v>1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IFERROR(__xludf.DUMMYFUNCTION("IMPORTRANGE(""https://docs.google.com/spreadsheets/d/11923uPwbBZFjjGgGUA6NLw09EwE0CqkOc4q9oUmW1yo/edit?usp=sharing"",""ตาก!J41"")"),1)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IFERROR(__xludf.DUMMYFUNCTION("IMPORTRANGE(""https://docs.google.com/spreadsheets/d/11923uPwbBZFjjGgGUA6NLw09EwE0CqkOc4q9oUmW1yo/edit?usp=sharing"",""ตาก!J42"")"),1)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IFERROR(__xludf.DUMMYFUNCTION("IMPORTRANGE(""https://docs.google.com/spreadsheets/d/11923uPwbBZFjjGgGUA6NLw09EwE0CqkOc4q9oUmW1yo/edit?usp=sharing"",""ตาก!I43"")"),1)</f>
        <v>1</v>
      </c>
      <c r="J108" s="205">
        <f ca="1">IFERROR(__xludf.DUMMYFUNCTION("IMPORTRANGE(""https://docs.google.com/spreadsheets/d/11923uPwbBZFjjGgGUA6NLw09EwE0CqkOc4q9oUmW1yo/edit?usp=sharing"",""ตาก!J43"")"),1)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IFERROR(__xludf.DUMMYFUNCTION("IMPORTRANGE(""https://docs.google.com/spreadsheets/d/11923uPwbBZFjjGgGUA6NLw09EwE0CqkOc4q9oUmW1yo/edit?usp=sharing"",""ตาก!I44"")"),4)</f>
        <v>4</v>
      </c>
      <c r="J109" s="205">
        <f ca="1">IFERROR(__xludf.DUMMYFUNCTION("IMPORTRANGE(""https://docs.google.com/spreadsheets/d/11923uPwbBZFjjGgGUA6NLw09EwE0CqkOc4q9oUmW1yo/edit?usp=sharing"",""ตาก!J44"")"),4)</f>
        <v>4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IFERROR(__xludf.DUMMYFUNCTION("IMPORTRANGE(""https://docs.google.com/spreadsheets/d/11923uPwbBZFjjGgGUA6NLw09EwE0CqkOc4q9oUmW1yo/edit?usp=sharing"",""ตาก!I45"")"),4)</f>
        <v>4</v>
      </c>
      <c r="J110" s="205">
        <f ca="1">IFERROR(__xludf.DUMMYFUNCTION("IMPORTRANGE(""https://docs.google.com/spreadsheets/d/11923uPwbBZFjjGgGUA6NLw09EwE0CqkOc4q9oUmW1yo/edit?usp=sharing"",""ตาก!J45"")"),4)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IFERROR(__xludf.DUMMYFUNCTION("IMPORTRANGE(""https://docs.google.com/spreadsheets/d/11923uPwbBZFjjGgGUA6NLw09EwE0CqkOc4q9oUmW1yo/edit?usp=sharing"",""ตาก!I46"")"),4)</f>
        <v>4</v>
      </c>
      <c r="J111" s="205">
        <f ca="1">IFERROR(__xludf.DUMMYFUNCTION("IMPORTRANGE(""https://docs.google.com/spreadsheets/d/11923uPwbBZFjjGgGUA6NLw09EwE0CqkOc4q9oUmW1yo/edit?usp=sharing"",""ตาก!J46"")"),4)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IFERROR(__xludf.DUMMYFUNCTION("IMPORTRANGE(""https://docs.google.com/spreadsheets/d/11923uPwbBZFjjGgGUA6NLw09EwE0CqkOc4q9oUmW1yo/edit?usp=sharing"",""ตาก!I47"")"),4)</f>
        <v>4</v>
      </c>
      <c r="J112" s="205">
        <f ca="1">IFERROR(__xludf.DUMMYFUNCTION("IMPORTRANGE(""https://docs.google.com/spreadsheets/d/11923uPwbBZFjjGgGUA6NLw09EwE0CqkOc4q9oUmW1yo/edit?usp=sharing"",""ตาก!J47"")"),4)</f>
        <v>4</v>
      </c>
      <c r="K112" s="225">
        <f t="shared" ca="1" si="57"/>
        <v>100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IFERROR(__xludf.DUMMYFUNCTION("IMPORTRANGE(""https://docs.google.com/spreadsheets/d/11923uPwbBZFjjGgGUA6NLw09EwE0CqkOc4q9oUmW1yo/edit?usp=sharing"",""ตาก!I48"")"),1)</f>
        <v>1</v>
      </c>
      <c r="J113" s="205">
        <f ca="1">IFERROR(__xludf.DUMMYFUNCTION("IMPORTRANGE(""https://docs.google.com/spreadsheets/d/11923uPwbBZFjjGgGUA6NLw09EwE0CqkOc4q9oUmW1yo/edit?usp=sharing"",""ตาก!J48"")"),1)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IFERROR(__xludf.DUMMYFUNCTION("IMPORTRANGE(""https://docs.google.com/spreadsheets/d/11923uPwbBZFjjGgGUA6NLw09EwE0CqkOc4q9oUmW1yo/edit?usp=sharing"",""ตาก!J49"")"),0)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IFERROR(__xludf.DUMMYFUNCTION("IMPORTRANGE(""https://docs.google.com/spreadsheets/d/11923uPwbBZFjjGgGUA6NLw09EwE0CqkOc4q9oUmW1yo/edit?usp=sharing"",""ตาก!J50"")"),0)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IFERROR(__xludf.DUMMYFUNCTION("IMPORTRANGE(""https://docs.google.com/spreadsheets/d/11923uPwbBZFjjGgGUA6NLw09EwE0CqkOc4q9oUmW1yo/edit?usp=sharing"",""ตาก!I52"")"),20)</f>
        <v>20</v>
      </c>
      <c r="J117" s="144">
        <f ca="1">IFERROR(__xludf.DUMMYFUNCTION("IMPORTRANGE(""https://docs.google.com/spreadsheets/d/11923uPwbBZFjjGgGUA6NLw09EwE0CqkOc4q9oUmW1yo/edit?usp=sharing"",""ตาก!J52"")"),20)</f>
        <v>20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82440</v>
      </c>
      <c r="M118" s="154">
        <f t="shared" ca="1" si="58"/>
        <v>82440</v>
      </c>
      <c r="N118" s="154">
        <f t="shared" ca="1" si="58"/>
        <v>44450</v>
      </c>
      <c r="O118" s="153">
        <f t="shared" ref="O118:O120" ca="1" si="59">IF(L118&gt;0,N118*100/L118,0)</f>
        <v>53.918000970402716</v>
      </c>
      <c r="P118" s="153">
        <f t="shared" ref="P118:P120" ca="1" si="60">IF(M118&gt;0,N118*100/M118,0)</f>
        <v>53.918000970402716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82440</v>
      </c>
      <c r="M120" s="90">
        <f t="shared" ca="1" si="62"/>
        <v>82440</v>
      </c>
      <c r="N120" s="90">
        <f t="shared" ca="1" si="62"/>
        <v>44450</v>
      </c>
      <c r="O120" s="158">
        <f t="shared" ca="1" si="59"/>
        <v>53.918000970402716</v>
      </c>
      <c r="P120" s="158">
        <f t="shared" ca="1" si="60"/>
        <v>53.918000970402716</v>
      </c>
    </row>
    <row r="121" spans="1:16" ht="21.75" customHeight="1">
      <c r="A121" s="159"/>
      <c r="B121" s="160"/>
      <c r="C121" s="160" t="s">
        <v>16</v>
      </c>
      <c r="D121" s="570" t="s">
        <v>20</v>
      </c>
      <c r="E121" s="565"/>
      <c r="F121" s="565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IFERROR(__xludf.DUMMYFUNCTION("IMPORTRANGE(""https://docs.google.com/spreadsheets/d/1Yj_ptqi66GCucihVvJfMjLAmec39IyEx_6qawtMGysU/edit?usp=sharing"",""สบก!BA23"")"),82440)</f>
        <v>82440</v>
      </c>
      <c r="N122" s="170">
        <f ca="1">IFERROR(__xludf.DUMMYFUNCTION("IMPORTRANGE(""https://docs.google.com/spreadsheets/d/1Yj_ptqi66GCucihVvJfMjLAmec39IyEx_6qawtMGysU/edit?usp=sharing"",""สบก!BB23"")"),44450)</f>
        <v>44450</v>
      </c>
      <c r="O122" s="170">
        <f ca="1">IF(L122&gt;0,N122*100/L122,0)</f>
        <v>53.918000970402716</v>
      </c>
      <c r="P122" s="170">
        <f ca="1">IF(M122&gt;0,N122*100/M122,0)</f>
        <v>53.918000970402716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IFERROR(__xludf.DUMMYFUNCTION("IMPORTRANGE(""https://docs.google.com/spreadsheets/d/1Yj_ptqi66GCucihVvJfMjLAmec39IyEx_6qawtMGysU/edit?usp=sharing"",""สบก!AW23"")"),0)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IFERROR(__xludf.DUMMYFUNCTION("IMPORTRANGE(""https://docs.google.com/spreadsheets/d/1Yj_ptqi66GCucihVvJfMjLAmec39IyEx_6qawtMGysU/edit?usp=sharing"",""สบก!AX23"")"),82440)</f>
        <v>82440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IFERROR(__xludf.DUMMYFUNCTION("IMPORTRANGE(""https://docs.google.com/spreadsheets/d/1Yj_ptqi66GCucihVvJfMjLAmec39IyEx_6qawtMGysU/edit?usp=sharing"",""สบก!AY23"")"),0)</f>
        <v>0</v>
      </c>
      <c r="M126" s="52"/>
      <c r="N126" s="52">
        <f ca="1">IFERROR(__xludf.DUMMYFUNCTION("IMPORTRANGE(""https://docs.google.com/spreadsheets/d/1Yj_ptqi66GCucihVvJfMjLAmec39IyEx_6qawtMGysU/edit?usp=sharing"",""สบก!BC23"")"),0)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267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IFERROR(__xludf.DUMMYFUNCTION("IMPORTRANGE(""https://docs.google.com/spreadsheets/d/11923uPwbBZFjjGgGUA6NLw09EwE0CqkOc4q9oUmW1yo/edit?usp=sharing"",""ตาก!J58"")"),0)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IFERROR(__xludf.DUMMYFUNCTION("IMPORTRANGE(""https://docs.google.com/spreadsheets/d/11923uPwbBZFjjGgGUA6NLw09EwE0CqkOc4q9oUmW1yo/edit?usp=sharing"",""ตาก!J59"")"),1)</f>
        <v>1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IFERROR(__xludf.DUMMYFUNCTION("IMPORTRANGE(""https://docs.google.com/spreadsheets/d/11923uPwbBZFjjGgGUA6NLw09EwE0CqkOc4q9oUmW1yo/edit?usp=sharing"",""ตาก!J60"")"),1)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IFERROR(__xludf.DUMMYFUNCTION("IMPORTRANGE(""https://docs.google.com/spreadsheets/d/11923uPwbBZFjjGgGUA6NLw09EwE0CqkOc4q9oUmW1yo/edit?usp=sharing"",""ตาก!J61"")"),1)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IFERROR(__xludf.DUMMYFUNCTION("IMPORTRANGE(""https://docs.google.com/spreadsheets/d/11923uPwbBZFjjGgGUA6NLw09EwE0CqkOc4q9oUmW1yo/edit?usp=sharing"",""ตาก!I62"")"),20)</f>
        <v>20</v>
      </c>
      <c r="J132" s="205">
        <f ca="1">IFERROR(__xludf.DUMMYFUNCTION("IMPORTRANGE(""https://docs.google.com/spreadsheets/d/11923uPwbBZFjjGgGUA6NLw09EwE0CqkOc4q9oUmW1yo/edit?usp=sharing"",""ตาก!J62"")"),20)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IFERROR(__xludf.DUMMYFUNCTION("IMPORTRANGE(""https://docs.google.com/spreadsheets/d/11923uPwbBZFjjGgGUA6NLw09EwE0CqkOc4q9oUmW1yo/edit?usp=sharing"",""ตาก!I63"")"),20)</f>
        <v>20</v>
      </c>
      <c r="J133" s="205">
        <f ca="1">IFERROR(__xludf.DUMMYFUNCTION("IMPORTRANGE(""https://docs.google.com/spreadsheets/d/11923uPwbBZFjjGgGUA6NLw09EwE0CqkOc4q9oUmW1yo/edit?usp=sharing"",""ตาก!J63"")"),20)</f>
        <v>20</v>
      </c>
      <c r="K133" s="225">
        <f t="shared" ca="1" si="63"/>
        <v>100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IFERROR(__xludf.DUMMYFUNCTION("IMPORTRANGE(""https://docs.google.com/spreadsheets/d/11923uPwbBZFjjGgGUA6NLw09EwE0CqkOc4q9oUmW1yo/edit?usp=sharing"",""ตาก!J64"")"),0)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IFERROR(__xludf.DUMMYFUNCTION("IMPORTRANGE(""https://docs.google.com/spreadsheets/d/11923uPwbBZFjjGgGUA6NLw09EwE0CqkOc4q9oUmW1yo/edit?usp=sharing"",""ตาก!J65"")"),0)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IFERROR(__xludf.DUMMYFUNCTION("IMPORTRANGE(""https://docs.google.com/spreadsheets/d/11923uPwbBZFjjGgGUA6NLw09EwE0CqkOc4q9oUmW1yo/edit?usp=sharing"",""ตาก!I68"")"),0)</f>
        <v>0</v>
      </c>
      <c r="J138" s="268">
        <f ca="1">IFERROR(__xludf.DUMMYFUNCTION("IMPORTRANGE(""https://docs.google.com/spreadsheets/d/11923uPwbBZFjjGgGUA6NLw09EwE0CqkOc4q9oUmW1yo/edit?usp=sharing"",""ตาก!J68"")"),0)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69000</v>
      </c>
      <c r="M140" s="154">
        <f t="shared" ca="1" si="64"/>
        <v>51125</v>
      </c>
      <c r="N140" s="154">
        <f t="shared" ca="1" si="64"/>
        <v>44000</v>
      </c>
      <c r="O140" s="153">
        <f t="shared" ref="O140:O142" ca="1" si="65">IF(L140&gt;0,N140*100/L140,0)</f>
        <v>63.768115942028984</v>
      </c>
      <c r="P140" s="153">
        <f t="shared" ref="P140:P142" ca="1" si="66">IF(M140&gt;0,N140*100/M140,0)</f>
        <v>86.063569682151595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69000</v>
      </c>
      <c r="M142" s="90">
        <f t="shared" ca="1" si="68"/>
        <v>51125</v>
      </c>
      <c r="N142" s="90">
        <f t="shared" ca="1" si="68"/>
        <v>44000</v>
      </c>
      <c r="O142" s="158">
        <f t="shared" ca="1" si="65"/>
        <v>63.768115942028984</v>
      </c>
      <c r="P142" s="158">
        <f t="shared" ca="1" si="66"/>
        <v>86.063569682151595</v>
      </c>
    </row>
    <row r="143" spans="1:16" ht="21.75" customHeight="1">
      <c r="A143" s="159"/>
      <c r="B143" s="160"/>
      <c r="C143" s="160" t="s">
        <v>16</v>
      </c>
      <c r="D143" s="570" t="s">
        <v>20</v>
      </c>
      <c r="E143" s="565"/>
      <c r="F143" s="565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69000</v>
      </c>
      <c r="M144" s="169">
        <f ca="1">IFERROR(__xludf.DUMMYFUNCTION("IMPORTRANGE(""https://docs.google.com/spreadsheets/d/1Yj_ptqi66GCucihVvJfMjLAmec39IyEx_6qawtMGysU/edit?usp=sharing"",""สบก!BJ23"")"),51125)</f>
        <v>51125</v>
      </c>
      <c r="N144" s="170">
        <f ca="1">IFERROR(__xludf.DUMMYFUNCTION("IMPORTRANGE(""https://docs.google.com/spreadsheets/d/1Yj_ptqi66GCucihVvJfMjLAmec39IyEx_6qawtMGysU/edit?usp=sharing"",""สบก!BK23"")"),44000)</f>
        <v>44000</v>
      </c>
      <c r="O144" s="170">
        <f ca="1">IF(L144&gt;0,N144*100/L144,0)</f>
        <v>63.768115942028984</v>
      </c>
      <c r="P144" s="170">
        <f ca="1">IF(M144&gt;0,N144*100/M144,0)</f>
        <v>86.063569682151595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IFERROR(__xludf.DUMMYFUNCTION("IMPORTRANGE(""https://docs.google.com/spreadsheets/d/1Yj_ptqi66GCucihVvJfMjLAmec39IyEx_6qawtMGysU/edit?usp=sharing"",""สบก!BF23"")"),0)</f>
        <v>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IFERROR(__xludf.DUMMYFUNCTION("IMPORTRANGE(""https://docs.google.com/spreadsheets/d/1Yj_ptqi66GCucihVvJfMjLAmec39IyEx_6qawtMGysU/edit?usp=sharing"",""สบก!BG23"")"),69000)</f>
        <v>69000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IFERROR(__xludf.DUMMYFUNCTION("IMPORTRANGE(""https://docs.google.com/spreadsheets/d/1Yj_ptqi66GCucihVvJfMjLAmec39IyEx_6qawtMGysU/edit?usp=sharing"",""สบก!BH23"")"),0)</f>
        <v>0</v>
      </c>
      <c r="M148" s="52"/>
      <c r="N148" s="52">
        <f ca="1">IFERROR(__xludf.DUMMYFUNCTION("IMPORTRANGE(""https://docs.google.com/spreadsheets/d/1Yj_ptqi66GCucihVvJfMjLAmec39IyEx_6qawtMGysU/edit?usp=sharing"",""สบก!BL23"")"),0)</f>
        <v>0</v>
      </c>
      <c r="O148" s="52">
        <f ca="1">IF(L148&gt;0,N148*100/L148,0)</f>
        <v>0</v>
      </c>
      <c r="P148" s="52"/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IFERROR(__xludf.DUMMYFUNCTION("IMPORTRANGE(""https://docs.google.com/spreadsheets/d/11923uPwbBZFjjGgGUA6NLw09EwE0CqkOc4q9oUmW1yo/edit?usp=sharing"",""ตาก!I74"")"),4)</f>
        <v>4</v>
      </c>
      <c r="J149" s="276">
        <f ca="1">IFERROR(__xludf.DUMMYFUNCTION("IMPORTRANGE(""https://docs.google.com/spreadsheets/d/11923uPwbBZFjjGgGUA6NLw09EwE0CqkOc4q9oUmW1yo/edit?usp=sharing"",""ตาก!J74"")"),1)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IFERROR(__xludf.DUMMYFUNCTION("IMPORTRANGE(""https://docs.google.com/spreadsheets/d/11923uPwbBZFjjGgGUA6NLw09EwE0CqkOc4q9oUmW1yo/edit?usp=sharing"",""ตาก!J79"")"),0)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IFERROR(__xludf.DUMMYFUNCTION("IMPORTRANGE(""https://docs.google.com/spreadsheets/d/11923uPwbBZFjjGgGUA6NLw09EwE0CqkOc4q9oUmW1yo/edit?usp=sharing"",""ตาก!J80"")"),1)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IFERROR(__xludf.DUMMYFUNCTION("IMPORTRANGE(""https://docs.google.com/spreadsheets/d/11923uPwbBZFjjGgGUA6NLw09EwE0CqkOc4q9oUmW1yo/edit?usp=sharing"",""ตาก!J81"")"),1)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IFERROR(__xludf.DUMMYFUNCTION("IMPORTRANGE(""https://docs.google.com/spreadsheets/d/11923uPwbBZFjjGgGUA6NLw09EwE0CqkOc4q9oUmW1yo/edit?usp=sharing"",""ตาก!J82"")"),1)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IFERROR(__xludf.DUMMYFUNCTION("IMPORTRANGE(""https://docs.google.com/spreadsheets/d/11923uPwbBZFjjGgGUA6NLw09EwE0CqkOc4q9oUmW1yo/edit?usp=sharing"",""ตาก!I83"")"),4)</f>
        <v>4</v>
      </c>
      <c r="J158" s="190">
        <f ca="1">IFERROR(__xludf.DUMMYFUNCTION("IMPORTRANGE(""https://docs.google.com/spreadsheets/d/11923uPwbBZFjjGgGUA6NLw09EwE0CqkOc4q9oUmW1yo/edit?usp=sharing"",""ตาก!J83"")"),1)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IFERROR(__xludf.DUMMYFUNCTION("IMPORTRANGE(""https://docs.google.com/spreadsheets/d/11923uPwbBZFjjGgGUA6NLw09EwE0CqkOc4q9oUmW1yo/edit?usp=sharing"",""ตาก!J84"")"),24)</f>
        <v>24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IFERROR(__xludf.DUMMYFUNCTION("IMPORTRANGE(""https://docs.google.com/spreadsheets/d/11923uPwbBZFjjGgGUA6NLw09EwE0CqkOc4q9oUmW1yo/edit?usp=sharing"",""ตาก!J85"")"),24)</f>
        <v>24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IFERROR(__xludf.DUMMYFUNCTION("IMPORTRANGE(""https://docs.google.com/spreadsheets/d/11923uPwbBZFjjGgGUA6NLw09EwE0CqkOc4q9oUmW1yo/edit?usp=sharing"",""ตาก!J86"")"),0)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IFERROR(__xludf.DUMMYFUNCTION("IMPORTRANGE(""https://docs.google.com/spreadsheets/d/11923uPwbBZFjjGgGUA6NLw09EwE0CqkOc4q9oUmW1yo/edit?usp=sharing"",""ตาก!J87"")"),0)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IFERROR(__xludf.DUMMYFUNCTION("IMPORTRANGE(""https://docs.google.com/spreadsheets/d/11923uPwbBZFjjGgGUA6NLw09EwE0CqkOc4q9oUmW1yo/edit?usp=sharing"",""ตาก!J88"")"),0)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IFERROR(__xludf.DUMMYFUNCTION("IMPORTRANGE(""https://docs.google.com/spreadsheets/d/11923uPwbBZFjjGgGUA6NLw09EwE0CqkOc4q9oUmW1yo/edit?usp=sharing"",""ตาก!I89"")"),3)</f>
        <v>3</v>
      </c>
      <c r="J164" s="285">
        <f ca="1">IFERROR(__xludf.DUMMYFUNCTION("IMPORTRANGE(""https://docs.google.com/spreadsheets/d/11923uPwbBZFjjGgGUA6NLw09EwE0CqkOc4q9oUmW1yo/edit?usp=sharing"",""ตาก!J89"")"),3)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IFERROR(__xludf.DUMMYFUNCTION("IMPORTRANGE(""https://docs.google.com/spreadsheets/d/11923uPwbBZFjjGgGUA6NLw09EwE0CqkOc4q9oUmW1yo/edit?usp=sharing"",""ตาก!J94"")"),0)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IFERROR(__xludf.DUMMYFUNCTION("IMPORTRANGE(""https://docs.google.com/spreadsheets/d/11923uPwbBZFjjGgGUA6NLw09EwE0CqkOc4q9oUmW1yo/edit?usp=sharing"",""ตาก!J95"")"),1)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IFERROR(__xludf.DUMMYFUNCTION("IMPORTRANGE(""https://docs.google.com/spreadsheets/d/11923uPwbBZFjjGgGUA6NLw09EwE0CqkOc4q9oUmW1yo/edit?usp=sharing"",""ตาก!J96"")"),1)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IFERROR(__xludf.DUMMYFUNCTION("IMPORTRANGE(""https://docs.google.com/spreadsheets/d/11923uPwbBZFjjGgGUA6NLw09EwE0CqkOc4q9oUmW1yo/edit?usp=sharing"",""ตาก!J97"")"),1)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IFERROR(__xludf.DUMMYFUNCTION("IMPORTRANGE(""https://docs.google.com/spreadsheets/d/11923uPwbBZFjjGgGUA6NLw09EwE0CqkOc4q9oUmW1yo/edit?usp=sharing"",""ตาก!I98"")"),3)</f>
        <v>3</v>
      </c>
      <c r="J173" s="190">
        <f ca="1">IFERROR(__xludf.DUMMYFUNCTION("IMPORTRANGE(""https://docs.google.com/spreadsheets/d/11923uPwbBZFjjGgGUA6NLw09EwE0CqkOc4q9oUmW1yo/edit?usp=sharing"",""ตาก!J98"")"),3)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IFERROR(__xludf.DUMMYFUNCTION("IMPORTRANGE(""https://docs.google.com/spreadsheets/d/11923uPwbBZFjjGgGUA6NLw09EwE0CqkOc4q9oUmW1yo/edit?usp=sharing"",""ตาก!J99"")"),0)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IFERROR(__xludf.DUMMYFUNCTION("IMPORTRANGE(""https://docs.google.com/spreadsheets/d/11923uPwbBZFjjGgGUA6NLw09EwE0CqkOc4q9oUmW1yo/edit?usp=sharing"",""ตาก!J100"")"),0)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IFERROR(__xludf.DUMMYFUNCTION("IMPORTRANGE(""https://docs.google.com/spreadsheets/d/11923uPwbBZFjjGgGUA6NLw09EwE0CqkOc4q9oUmW1yo/edit?usp=sharing"",""ตาก!I101"")"),0)</f>
        <v>0</v>
      </c>
      <c r="J176" s="285">
        <f ca="1">IFERROR(__xludf.DUMMYFUNCTION("IMPORTRANGE(""https://docs.google.com/spreadsheets/d/11923uPwbBZFjjGgGUA6NLw09EwE0CqkOc4q9oUmW1yo/edit?usp=sharing"",""ตาก!J101"")"),0)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IFERROR(__xludf.DUMMYFUNCTION("IMPORTRANGE(""https://docs.google.com/spreadsheets/d/11923uPwbBZFjjGgGUA6NLw09EwE0CqkOc4q9oUmW1yo/edit?usp=sharing"",""ตาก!J106"")"),0)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IFERROR(__xludf.DUMMYFUNCTION("IMPORTRANGE(""https://docs.google.com/spreadsheets/d/11923uPwbBZFjjGgGUA6NLw09EwE0CqkOc4q9oUmW1yo/edit?usp=sharing"",""ตาก!J107"")"),0)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IFERROR(__xludf.DUMMYFUNCTION("IMPORTRANGE(""https://docs.google.com/spreadsheets/d/11923uPwbBZFjjGgGUA6NLw09EwE0CqkOc4q9oUmW1yo/edit?usp=sharing"",""ตาก!J108"")"),0)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IFERROR(__xludf.DUMMYFUNCTION("IMPORTRANGE(""https://docs.google.com/spreadsheets/d/11923uPwbBZFjjGgGUA6NLw09EwE0CqkOc4q9oUmW1yo/edit?usp=sharing"",""ตาก!J109"")"),0)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IFERROR(__xludf.DUMMYFUNCTION("IMPORTRANGE(""https://docs.google.com/spreadsheets/d/11923uPwbBZFjjGgGUA6NLw09EwE0CqkOc4q9oUmW1yo/edit?usp=sharing"",""ตาก!I110"")"),0)</f>
        <v>0</v>
      </c>
      <c r="J185" s="205">
        <f ca="1">IFERROR(__xludf.DUMMYFUNCTION("IMPORTRANGE(""https://docs.google.com/spreadsheets/d/11923uPwbBZFjjGgGUA6NLw09EwE0CqkOc4q9oUmW1yo/edit?usp=sharing"",""ตาก!J110"")"),0)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IFERROR(__xludf.DUMMYFUNCTION("IMPORTRANGE(""https://docs.google.com/spreadsheets/d/11923uPwbBZFjjGgGUA6NLw09EwE0CqkOc4q9oUmW1yo/edit?usp=sharing"",""ตาก!I111"")"),0)</f>
        <v>0</v>
      </c>
      <c r="J186" s="205">
        <f ca="1">IFERROR(__xludf.DUMMYFUNCTION("IMPORTRANGE(""https://docs.google.com/spreadsheets/d/11923uPwbBZFjjGgGUA6NLw09EwE0CqkOc4q9oUmW1yo/edit?usp=sharing"",""ตาก!J111"")"),0)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IFERROR(__xludf.DUMMYFUNCTION("IMPORTRANGE(""https://docs.google.com/spreadsheets/d/11923uPwbBZFjjGgGUA6NLw09EwE0CqkOc4q9oUmW1yo/edit?usp=sharing"",""ตาก!J112"")"),0)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IFERROR(__xludf.DUMMYFUNCTION("IMPORTRANGE(""https://docs.google.com/spreadsheets/d/11923uPwbBZFjjGgGUA6NLw09EwE0CqkOc4q9oUmW1yo/edit?usp=sharing"",""ตาก!J113"")"),0)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IFERROR(__xludf.DUMMYFUNCTION("IMPORTRANGE(""https://docs.google.com/spreadsheets/d/11923uPwbBZFjjGgGUA6NLw09EwE0CqkOc4q9oUmW1yo/edit?usp=sharing"",""ตาก!I114"")"),50000)</f>
        <v>50000</v>
      </c>
      <c r="J189" s="285">
        <f ca="1">IFERROR(__xludf.DUMMYFUNCTION("IMPORTRANGE(""https://docs.google.com/spreadsheets/d/11923uPwbBZFjjGgGUA6NLw09EwE0CqkOc4q9oUmW1yo/edit?usp=sharing"",""ตาก!J114"")"),0)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IFERROR(__xludf.DUMMYFUNCTION("IMPORTRANGE(""https://docs.google.com/spreadsheets/d/11923uPwbBZFjjGgGUA6NLw09EwE0CqkOc4q9oUmW1yo/edit?usp=sharing"",""ตาก!J119"")"),0)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IFERROR(__xludf.DUMMYFUNCTION("IMPORTRANGE(""https://docs.google.com/spreadsheets/d/11923uPwbBZFjjGgGUA6NLw09EwE0CqkOc4q9oUmW1yo/edit?usp=sharing"",""ตาก!J120"")"),1)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IFERROR(__xludf.DUMMYFUNCTION("IMPORTRANGE(""https://docs.google.com/spreadsheets/d/11923uPwbBZFjjGgGUA6NLw09EwE0CqkOc4q9oUmW1yo/edit?usp=sharing"",""ตาก!J121"")"),1)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IFERROR(__xludf.DUMMYFUNCTION("IMPORTRANGE(""https://docs.google.com/spreadsheets/d/11923uPwbBZFjjGgGUA6NLw09EwE0CqkOc4q9oUmW1yo/edit?usp=sharing"",""ตาก!J122"")"),1)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IFERROR(__xludf.DUMMYFUNCTION("IMPORTRANGE(""https://docs.google.com/spreadsheets/d/11923uPwbBZFjjGgGUA6NLw09EwE0CqkOc4q9oUmW1yo/edit?usp=sharing"",""ตาก!I124"")"),50000)</f>
        <v>50000</v>
      </c>
      <c r="J199" s="190">
        <f ca="1">IFERROR(__xludf.DUMMYFUNCTION("IMPORTRANGE(""https://docs.google.com/spreadsheets/d/11923uPwbBZFjjGgGUA6NLw09EwE0CqkOc4q9oUmW1yo/edit?usp=sharing"",""ตาก!J124"")"),50000)</f>
        <v>50000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IFERROR(__xludf.DUMMYFUNCTION("IMPORTRANGE(""https://docs.google.com/spreadsheets/d/11923uPwbBZFjjGgGUA6NLw09EwE0CqkOc4q9oUmW1yo/edit?usp=sharing"",""ตาก!I125"")"),50000)</f>
        <v>50000</v>
      </c>
      <c r="J200" s="190">
        <f ca="1">IFERROR(__xludf.DUMMYFUNCTION("IMPORTRANGE(""https://docs.google.com/spreadsheets/d/11923uPwbBZFjjGgGUA6NLw09EwE0CqkOc4q9oUmW1yo/edit?usp=sharing"",""ตาก!J125"")"),0)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IFERROR(__xludf.DUMMYFUNCTION("IMPORTRANGE(""https://docs.google.com/spreadsheets/d/11923uPwbBZFjjGgGUA6NLw09EwE0CqkOc4q9oUmW1yo/edit?usp=sharing"",""ตาก!I126"")"),0)</f>
        <v>0</v>
      </c>
      <c r="J201" s="190">
        <f ca="1">IFERROR(__xludf.DUMMYFUNCTION("IMPORTRANGE(""https://docs.google.com/spreadsheets/d/11923uPwbBZFjjGgGUA6NLw09EwE0CqkOc4q9oUmW1yo/edit?usp=sharing"",""ตาก!J126"")"),0)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IFERROR(__xludf.DUMMYFUNCTION("IMPORTRANGE(""https://docs.google.com/spreadsheets/d/11923uPwbBZFjjGgGUA6NLw09EwE0CqkOc4q9oUmW1yo/edit?usp=sharing"",""ตาก!J127"")"),0)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IFERROR(__xludf.DUMMYFUNCTION("IMPORTRANGE(""https://docs.google.com/spreadsheets/d/11923uPwbBZFjjGgGUA6NLw09EwE0CqkOc4q9oUmW1yo/edit?usp=sharing"",""ตาก!J128"")"),0)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IFERROR(__xludf.DUMMYFUNCTION("IMPORTRANGE(""https://docs.google.com/spreadsheets/d/11923uPwbBZFjjGgGUA6NLw09EwE0CqkOc4q9oUmW1yo/edit?usp=sharing"",""ตาก!I129"")"),0)</f>
        <v>0</v>
      </c>
      <c r="J204" s="285">
        <f ca="1">IFERROR(__xludf.DUMMYFUNCTION("IMPORTRANGE(""https://docs.google.com/spreadsheets/d/11923uPwbBZFjjGgGUA6NLw09EwE0CqkOc4q9oUmW1yo/edit?usp=sharing"",""ตาก!J129"")"),0)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IFERROR(__xludf.DUMMYFUNCTION("IMPORTRANGE(""https://docs.google.com/spreadsheets/d/11923uPwbBZFjjGgGUA6NLw09EwE0CqkOc4q9oUmW1yo/edit?usp=sharing"",""ตาก!J134"")"),0)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IFERROR(__xludf.DUMMYFUNCTION("IMPORTRANGE(""https://docs.google.com/spreadsheets/d/11923uPwbBZFjjGgGUA6NLw09EwE0CqkOc4q9oUmW1yo/edit?usp=sharing"",""ตาก!J135"")"),0)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IFERROR(__xludf.DUMMYFUNCTION("IMPORTRANGE(""https://docs.google.com/spreadsheets/d/11923uPwbBZFjjGgGUA6NLw09EwE0CqkOc4q9oUmW1yo/edit?usp=sharing"",""ตาก!J136"")"),0)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IFERROR(__xludf.DUMMYFUNCTION("IMPORTRANGE(""https://docs.google.com/spreadsheets/d/11923uPwbBZFjjGgGUA6NLw09EwE0CqkOc4q9oUmW1yo/edit?usp=sharing"",""ตาก!J137"")"),0)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IFERROR(__xludf.DUMMYFUNCTION("IMPORTRANGE(""https://docs.google.com/spreadsheets/d/11923uPwbBZFjjGgGUA6NLw09EwE0CqkOc4q9oUmW1yo/edit?usp=sharing"",""ตาก!I138"")"),0)</f>
        <v>0</v>
      </c>
      <c r="J213" s="205">
        <f ca="1">IFERROR(__xludf.DUMMYFUNCTION("IMPORTRANGE(""https://docs.google.com/spreadsheets/d/11923uPwbBZFjjGgGUA6NLw09EwE0CqkOc4q9oUmW1yo/edit?usp=sharing"",""ตาก!J138"")"),0)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IFERROR(__xludf.DUMMYFUNCTION("IMPORTRANGE(""https://docs.google.com/spreadsheets/d/11923uPwbBZFjjGgGUA6NLw09EwE0CqkOc4q9oUmW1yo/edit?usp=sharing"",""ตาก!I140"")"),0)</f>
        <v>0</v>
      </c>
      <c r="J215" s="205">
        <f ca="1">IFERROR(__xludf.DUMMYFUNCTION("IMPORTRANGE(""https://docs.google.com/spreadsheets/d/11923uPwbBZFjjGgGUA6NLw09EwE0CqkOc4q9oUmW1yo/edit?usp=sharing"",""ตาก!J140"")"),0)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IFERROR(__xludf.DUMMYFUNCTION("IMPORTRANGE(""https://docs.google.com/spreadsheets/d/11923uPwbBZFjjGgGUA6NLw09EwE0CqkOc4q9oUmW1yo/edit?usp=sharing"",""ตาก!I141"")"),0)</f>
        <v>0</v>
      </c>
      <c r="J216" s="205">
        <f ca="1">IFERROR(__xludf.DUMMYFUNCTION("IMPORTRANGE(""https://docs.google.com/spreadsheets/d/11923uPwbBZFjjGgGUA6NLw09EwE0CqkOc4q9oUmW1yo/edit?usp=sharing"",""ตาก!J141"")"),0)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IFERROR(__xludf.DUMMYFUNCTION("IMPORTRANGE(""https://docs.google.com/spreadsheets/d/11923uPwbBZFjjGgGUA6NLw09EwE0CqkOc4q9oUmW1yo/edit?usp=sharing"",""ตาก!J142"")"),0)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IFERROR(__xludf.DUMMYFUNCTION("IMPORTRANGE(""https://docs.google.com/spreadsheets/d/11923uPwbBZFjjGgGUA6NLw09EwE0CqkOc4q9oUmW1yo/edit?usp=sharing"",""ตาก!J143"")"),0)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IFERROR(__xludf.DUMMYFUNCTION("IMPORTRANGE(""https://docs.google.com/spreadsheets/d/11923uPwbBZFjjGgGUA6NLw09EwE0CqkOc4q9oUmW1yo/edit?usp=sharing"",""ตาก!I144"")"),14)</f>
        <v>14</v>
      </c>
      <c r="J219" s="268">
        <f ca="1">IFERROR(__xludf.DUMMYFUNCTION("IMPORTRANGE(""https://docs.google.com/spreadsheets/d/11923uPwbBZFjjGgGUA6NLw09EwE0CqkOc4q9oUmW1yo/edit?usp=sharing"",""ตาก!J144"")"),14)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20210</v>
      </c>
      <c r="M220" s="154">
        <f t="shared" ca="1" si="72"/>
        <v>20210</v>
      </c>
      <c r="N220" s="154">
        <f t="shared" ca="1" si="72"/>
        <v>20210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20210</v>
      </c>
      <c r="M222" s="90">
        <f t="shared" ca="1" si="76"/>
        <v>20210</v>
      </c>
      <c r="N222" s="90">
        <f t="shared" ca="1" si="76"/>
        <v>20210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59"/>
      <c r="B223" s="160"/>
      <c r="C223" s="160" t="s">
        <v>16</v>
      </c>
      <c r="D223" s="570" t="s">
        <v>20</v>
      </c>
      <c r="E223" s="565"/>
      <c r="F223" s="565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20210</v>
      </c>
      <c r="M224" s="169">
        <f ca="1">IFERROR(__xludf.DUMMYFUNCTION("IMPORTRANGE(""https://docs.google.com/spreadsheets/d/1Yj_ptqi66GCucihVvJfMjLAmec39IyEx_6qawtMGysU/edit?usp=sharing"",""สบก!BS23"")"),20210)</f>
        <v>20210</v>
      </c>
      <c r="N224" s="170">
        <f ca="1">IFERROR(__xludf.DUMMYFUNCTION("IMPORTRANGE(""https://docs.google.com/spreadsheets/d/1Yj_ptqi66GCucihVvJfMjLAmec39IyEx_6qawtMGysU/edit?usp=sharing"",""สบก!BT23"")"),20210)</f>
        <v>20210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IFERROR(__xludf.DUMMYFUNCTION("IMPORTRANGE(""https://docs.google.com/spreadsheets/d/1Yj_ptqi66GCucihVvJfMjLAmec39IyEx_6qawtMGysU/edit?usp=sharing"",""สบก!BO23"")"),0)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IFERROR(__xludf.DUMMYFUNCTION("IMPORTRANGE(""https://docs.google.com/spreadsheets/d/1Yj_ptqi66GCucihVvJfMjLAmec39IyEx_6qawtMGysU/edit?usp=sharing"",""สบก!BP23"")"),20210)</f>
        <v>20210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IFERROR(__xludf.DUMMYFUNCTION("IMPORTRANGE(""https://docs.google.com/spreadsheets/d/1Yj_ptqi66GCucihVvJfMjLAmec39IyEx_6qawtMGysU/edit?usp=sharing"",""สบก!BQ23"")"),0)</f>
        <v>0</v>
      </c>
      <c r="M228" s="52"/>
      <c r="N228" s="52">
        <f ca="1">IFERROR(__xludf.DUMMYFUNCTION("IMPORTRANGE(""https://docs.google.com/spreadsheets/d/1Yj_ptqi66GCucihVvJfMjLAmec39IyEx_6qawtMGysU/edit?usp=sharing"",""สบก!BU23"")"),0)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IFERROR(__xludf.DUMMYFUNCTION("IMPORTRANGE(""https://docs.google.com/spreadsheets/d/11923uPwbBZFjjGgGUA6NLw09EwE0CqkOc4q9oUmW1yo/edit?usp=sharing"",""ตาก!I149"")"),14)</f>
        <v>14</v>
      </c>
      <c r="J229" s="268">
        <f ca="1">IFERROR(__xludf.DUMMYFUNCTION("IMPORTRANGE(""https://docs.google.com/spreadsheets/d/11923uPwbBZFjjGgGUA6NLw09EwE0CqkOc4q9oUmW1yo/edit?usp=sharing"",""ตาก!J149"")"),14)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IFERROR(__xludf.DUMMYFUNCTION("IMPORTRANGE(""https://docs.google.com/spreadsheets/d/11923uPwbBZFjjGgGUA6NLw09EwE0CqkOc4q9oUmW1yo/edit?usp=sharing"",""ตาก!J151"")"),0)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IFERROR(__xludf.DUMMYFUNCTION("IMPORTRANGE(""https://docs.google.com/spreadsheets/d/11923uPwbBZFjjGgGUA6NLw09EwE0CqkOc4q9oUmW1yo/edit?usp=sharing"",""ตาก!J152"")"),1)</f>
        <v>1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IFERROR(__xludf.DUMMYFUNCTION("IMPORTRANGE(""https://docs.google.com/spreadsheets/d/11923uPwbBZFjjGgGUA6NLw09EwE0CqkOc4q9oUmW1yo/edit?usp=sharing"",""ตาก!J153"")"),1)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IFERROR(__xludf.DUMMYFUNCTION("IMPORTRANGE(""https://docs.google.com/spreadsheets/d/11923uPwbBZFjjGgGUA6NLw09EwE0CqkOc4q9oUmW1yo/edit?usp=sharing"",""ตาก!J154"")"),1)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IFERROR(__xludf.DUMMYFUNCTION("IMPORTRANGE(""https://docs.google.com/spreadsheets/d/11923uPwbBZFjjGgGUA6NLw09EwE0CqkOc4q9oUmW1yo/edit?usp=sharing"",""ตาก!I155"")"),14)</f>
        <v>14</v>
      </c>
      <c r="J235" s="190">
        <f ca="1">IFERROR(__xludf.DUMMYFUNCTION("IMPORTRANGE(""https://docs.google.com/spreadsheets/d/11923uPwbBZFjjGgGUA6NLw09EwE0CqkOc4q9oUmW1yo/edit?usp=sharing"",""ตาก!J155"")"),14)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IFERROR(__xludf.DUMMYFUNCTION("IMPORTRANGE(""https://docs.google.com/spreadsheets/d/11923uPwbBZFjjGgGUA6NLw09EwE0CqkOc4q9oUmW1yo/edit?usp=sharing"",""ตาก!J156"")"),0)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IFERROR(__xludf.DUMMYFUNCTION("IMPORTRANGE(""https://docs.google.com/spreadsheets/d/11923uPwbBZFjjGgGUA6NLw09EwE0CqkOc4q9oUmW1yo/edit?usp=sharing"",""ตาก!J157"")"),0)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IFERROR(__xludf.DUMMYFUNCTION("IMPORTRANGE(""https://docs.google.com/spreadsheets/d/11923uPwbBZFjjGgGUA6NLw09EwE0CqkOc4q9oUmW1yo/edit?usp=sharing"",""ตาก!I158"")"),0)</f>
        <v>0</v>
      </c>
      <c r="J238" s="268">
        <f ca="1">IFERROR(__xludf.DUMMYFUNCTION("IMPORTRANGE(""https://docs.google.com/spreadsheets/d/11923uPwbBZFjjGgGUA6NLw09EwE0CqkOc4q9oUmW1yo/edit?usp=sharing"",""ตาก!J158"")"),0)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IFERROR(__xludf.DUMMYFUNCTION("IMPORTRANGE(""https://docs.google.com/spreadsheets/d/11923uPwbBZFjjGgGUA6NLw09EwE0CqkOc4q9oUmW1yo/edit?usp=sharing"",""ตาก!J159"")"),"")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IFERROR(__xludf.DUMMYFUNCTION("IMPORTRANGE(""https://docs.google.com/spreadsheets/d/11923uPwbBZFjjGgGUA6NLw09EwE0CqkOc4q9oUmW1yo/edit?usp=sharing"",""ตาก!J161"")"),0)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IFERROR(__xludf.DUMMYFUNCTION("IMPORTRANGE(""https://docs.google.com/spreadsheets/d/11923uPwbBZFjjGgGUA6NLw09EwE0CqkOc4q9oUmW1yo/edit?usp=sharing"",""ตาก!J162"")"),0)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IFERROR(__xludf.DUMMYFUNCTION("IMPORTRANGE(""https://docs.google.com/spreadsheets/d/11923uPwbBZFjjGgGUA6NLw09EwE0CqkOc4q9oUmW1yo/edit?usp=sharing"",""ตาก!J163"")"),0)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IFERROR(__xludf.DUMMYFUNCTION("IMPORTRANGE(""https://docs.google.com/spreadsheets/d/11923uPwbBZFjjGgGUA6NLw09EwE0CqkOc4q9oUmW1yo/edit?usp=sharing"",""ตาก!I164"")"),0)</f>
        <v>0</v>
      </c>
      <c r="J244" s="189">
        <f ca="1">IFERROR(__xludf.DUMMYFUNCTION("IMPORTRANGE(""https://docs.google.com/spreadsheets/d/11923uPwbBZFjjGgGUA6NLw09EwE0CqkOc4q9oUmW1yo/edit?usp=sharing"",""ตาก!J164"")"),0)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IFERROR(__xludf.DUMMYFUNCTION("IMPORTRANGE(""https://docs.google.com/spreadsheets/d/11923uPwbBZFjjGgGUA6NLw09EwE0CqkOc4q9oUmW1yo/edit?usp=sharing"",""ตาก!J165"")"),0)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IFERROR(__xludf.DUMMYFUNCTION("IMPORTRANGE(""https://docs.google.com/spreadsheets/d/11923uPwbBZFjjGgGUA6NLw09EwE0CqkOc4q9oUmW1yo/edit?usp=sharing"",""ตาก!J166"")"),0)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IFERROR(__xludf.DUMMYFUNCTION("IMPORTRANGE(""https://docs.google.com/spreadsheets/d/11923uPwbBZFjjGgGUA6NLw09EwE0CqkOc4q9oUmW1yo/edit?usp=sharing"",""ตาก!I169"")"),0)</f>
        <v>0</v>
      </c>
      <c r="J249" s="317">
        <f ca="1">IFERROR(__xludf.DUMMYFUNCTION("IMPORTRANGE(""https://docs.google.com/spreadsheets/d/11923uPwbBZFjjGgGUA6NLw09EwE0CqkOc4q9oUmW1yo/edit?usp=sharing"",""ตาก!J169"")"),0)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0</v>
      </c>
      <c r="M252" s="90">
        <f t="shared" ca="1" si="81"/>
        <v>0</v>
      </c>
      <c r="N252" s="90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59"/>
      <c r="B253" s="160"/>
      <c r="C253" s="160" t="s">
        <v>16</v>
      </c>
      <c r="D253" s="570" t="s">
        <v>20</v>
      </c>
      <c r="E253" s="565"/>
      <c r="F253" s="565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IFERROR(__xludf.DUMMYFUNCTION("IMPORTRANGE(""https://docs.google.com/spreadsheets/d/1Yj_ptqi66GCucihVvJfMjLAmec39IyEx_6qawtMGysU/edit?usp=sharing"",""สบก!CB23"")"),0)</f>
        <v>0</v>
      </c>
      <c r="N254" s="170">
        <f ca="1">IFERROR(__xludf.DUMMYFUNCTION("IMPORTRANGE(""https://docs.google.com/spreadsheets/d/1Yj_ptqi66GCucihVvJfMjLAmec39IyEx_6qawtMGysU/edit?usp=sharing"",""สบก!CC23"")"),0)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IFERROR(__xludf.DUMMYFUNCTION("IMPORTRANGE(""https://docs.google.com/spreadsheets/d/1Yj_ptqi66GCucihVvJfMjLAmec39IyEx_6qawtMGysU/edit?usp=sharing"",""สบก!BX23"")"),0)</f>
        <v>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IFERROR(__xludf.DUMMYFUNCTION("IMPORTRANGE(""https://docs.google.com/spreadsheets/d/1Yj_ptqi66GCucihVvJfMjLAmec39IyEx_6qawtMGysU/edit?usp=sharing"",""สบก!BY23"")"),0)</f>
        <v>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IFERROR(__xludf.DUMMYFUNCTION("IMPORTRANGE(""https://docs.google.com/spreadsheets/d/1Yj_ptqi66GCucihVvJfMjLAmec39IyEx_6qawtMGysU/edit?usp=sharing"",""สบก!BZ23"")"),0)</f>
        <v>0</v>
      </c>
      <c r="M258" s="52"/>
      <c r="N258" s="52">
        <f ca="1">IFERROR(__xludf.DUMMYFUNCTION("IMPORTRANGE(""https://docs.google.com/spreadsheets/d/1Yj_ptqi66GCucihVvJfMjLAmec39IyEx_6qawtMGysU/edit?usp=sharing"",""สบก!CD23"")"),0)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IFERROR(__xludf.DUMMYFUNCTION("IMPORTRANGE(""https://docs.google.com/spreadsheets/d/11923uPwbBZFjjGgGUA6NLw09EwE0CqkOc4q9oUmW1yo/edit?usp=sharing"",""ตาก!J175"")"),0)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IFERROR(__xludf.DUMMYFUNCTION("IMPORTRANGE(""https://docs.google.com/spreadsheets/d/11923uPwbBZFjjGgGUA6NLw09EwE0CqkOc4q9oUmW1yo/edit?usp=sharing"",""ตาก!J176"")"),0)</f>
        <v>0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IFERROR(__xludf.DUMMYFUNCTION("IMPORTRANGE(""https://docs.google.com/spreadsheets/d/11923uPwbBZFjjGgGUA6NLw09EwE0CqkOc4q9oUmW1yo/edit?usp=sharing"",""ตาก!J177"")"),0)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IFERROR(__xludf.DUMMYFUNCTION("IMPORTRANGE(""https://docs.google.com/spreadsheets/d/11923uPwbBZFjjGgGUA6NLw09EwE0CqkOc4q9oUmW1yo/edit?usp=sharing"",""ตาก!J178"")"),0)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IFERROR(__xludf.DUMMYFUNCTION("IMPORTRANGE(""https://docs.google.com/spreadsheets/d/11923uPwbBZFjjGgGUA6NLw09EwE0CqkOc4q9oUmW1yo/edit?usp=sharing"",""ตาก!I179"")"),0)</f>
        <v>0</v>
      </c>
      <c r="J264" s="190">
        <f ca="1">IFERROR(__xludf.DUMMYFUNCTION("IMPORTRANGE(""https://docs.google.com/spreadsheets/d/11923uPwbBZFjjGgGUA6NLw09EwE0CqkOc4q9oUmW1yo/edit?usp=sharing"",""ตาก!J179"")"),0)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IFERROR(__xludf.DUMMYFUNCTION("IMPORTRANGE(""https://docs.google.com/spreadsheets/d/11923uPwbBZFjjGgGUA6NLw09EwE0CqkOc4q9oUmW1yo/edit?usp=sharing"",""ตาก!I180"")"),0)</f>
        <v>0</v>
      </c>
      <c r="J265" s="190">
        <f ca="1">IFERROR(__xludf.DUMMYFUNCTION("IMPORTRANGE(""https://docs.google.com/spreadsheets/d/11923uPwbBZFjjGgGUA6NLw09EwE0CqkOc4q9oUmW1yo/edit?usp=sharing"",""ตาก!J180"")"),0)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IFERROR(__xludf.DUMMYFUNCTION("IMPORTRANGE(""https://docs.google.com/spreadsheets/d/11923uPwbBZFjjGgGUA6NLw09EwE0CqkOc4q9oUmW1yo/edit?usp=sharing"",""ตาก!I181"")"),0)</f>
        <v>0</v>
      </c>
      <c r="J266" s="190">
        <f ca="1">IFERROR(__xludf.DUMMYFUNCTION("IMPORTRANGE(""https://docs.google.com/spreadsheets/d/11923uPwbBZFjjGgGUA6NLw09EwE0CqkOc4q9oUmW1yo/edit?usp=sharing"",""ตาก!J181"")"),0)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IFERROR(__xludf.DUMMYFUNCTION("IMPORTRANGE(""https://docs.google.com/spreadsheets/d/11923uPwbBZFjjGgGUA6NLw09EwE0CqkOc4q9oUmW1yo/edit?usp=sharing"",""ตาก!I182"")"),0)</f>
        <v>0</v>
      </c>
      <c r="J267" s="190">
        <f ca="1">IFERROR(__xludf.DUMMYFUNCTION("IMPORTRANGE(""https://docs.google.com/spreadsheets/d/11923uPwbBZFjjGgGUA6NLw09EwE0CqkOc4q9oUmW1yo/edit?usp=sharing"",""ตาก!J182"")"),0)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IFERROR(__xludf.DUMMYFUNCTION("IMPORTRANGE(""https://docs.google.com/spreadsheets/d/11923uPwbBZFjjGgGUA6NLw09EwE0CqkOc4q9oUmW1yo/edit?usp=sharing"",""ตาก!J183"")"),0)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IFERROR(__xludf.DUMMYFUNCTION("IMPORTRANGE(""https://docs.google.com/spreadsheets/d/11923uPwbBZFjjGgGUA6NLw09EwE0CqkOc4q9oUmW1yo/edit?usp=sharing"",""ตาก!J184"")"),0)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IFERROR(__xludf.DUMMYFUNCTION("IMPORTRANGE(""https://docs.google.com/spreadsheets/d/11923uPwbBZFjjGgGUA6NLw09EwE0CqkOc4q9oUmW1yo/edit?usp=sharing"",""ตาก!I185"")"),20)</f>
        <v>20</v>
      </c>
      <c r="J270" s="317">
        <f ca="1">IFERROR(__xludf.DUMMYFUNCTION("IMPORTRANGE(""https://docs.google.com/spreadsheets/d/11923uPwbBZFjjGgGUA6NLw09EwE0CqkOc4q9oUmW1yo/edit?usp=sharing"",""ตาก!J185"")"),20)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337600</v>
      </c>
      <c r="M271" s="154">
        <f t="shared" ca="1" si="83"/>
        <v>236000</v>
      </c>
      <c r="N271" s="154">
        <f t="shared" ca="1" si="83"/>
        <v>167006</v>
      </c>
      <c r="O271" s="153">
        <f t="shared" ref="O271:O273" ca="1" si="84">IF(L271&gt;0,N271*100/L271,0)</f>
        <v>49.468601895734594</v>
      </c>
      <c r="P271" s="153">
        <f t="shared" ref="P271:P273" ca="1" si="85">IF(M271&gt;0,N271*100/M271,0)</f>
        <v>70.765254237288133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337600</v>
      </c>
      <c r="M273" s="90">
        <f t="shared" ca="1" si="87"/>
        <v>236000</v>
      </c>
      <c r="N273" s="90">
        <f t="shared" ca="1" si="87"/>
        <v>167006</v>
      </c>
      <c r="O273" s="158">
        <f t="shared" ca="1" si="84"/>
        <v>49.468601895734594</v>
      </c>
      <c r="P273" s="158">
        <f t="shared" ca="1" si="85"/>
        <v>70.765254237288133</v>
      </c>
    </row>
    <row r="274" spans="1:16" ht="21.75" customHeight="1">
      <c r="A274" s="159"/>
      <c r="B274" s="160"/>
      <c r="C274" s="160" t="s">
        <v>16</v>
      </c>
      <c r="D274" s="570" t="s">
        <v>20</v>
      </c>
      <c r="E274" s="565"/>
      <c r="F274" s="565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337600</v>
      </c>
      <c r="M275" s="169">
        <f ca="1">IFERROR(__xludf.DUMMYFUNCTION("IMPORTRANGE(""https://docs.google.com/spreadsheets/d/1Yj_ptqi66GCucihVvJfMjLAmec39IyEx_6qawtMGysU/edit?usp=sharing"",""สบก!CK23"")"),236000)</f>
        <v>236000</v>
      </c>
      <c r="N275" s="170">
        <f ca="1">IFERROR(__xludf.DUMMYFUNCTION("IMPORTRANGE(""https://docs.google.com/spreadsheets/d/1Yj_ptqi66GCucihVvJfMjLAmec39IyEx_6qawtMGysU/edit?usp=sharing"",""สบก!CL23"")"),167006)</f>
        <v>167006</v>
      </c>
      <c r="O275" s="170">
        <f ca="1">IF(L275&gt;0,N275*100/L275,0)</f>
        <v>49.468601895734594</v>
      </c>
      <c r="P275" s="170">
        <f ca="1">IF(M275&gt;0,N275*100/M275,0)</f>
        <v>70.765254237288133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IFERROR(__xludf.DUMMYFUNCTION("IMPORTRANGE(""https://docs.google.com/spreadsheets/d/1Yj_ptqi66GCucihVvJfMjLAmec39IyEx_6qawtMGysU/edit?usp=sharing"",""สบก!CG23"")"),264000)</f>
        <v>264000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IFERROR(__xludf.DUMMYFUNCTION("IMPORTRANGE(""https://docs.google.com/spreadsheets/d/1Yj_ptqi66GCucihVvJfMjLAmec39IyEx_6qawtMGysU/edit?usp=sharing"",""สบก!CH23"")"),73600)</f>
        <v>73600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IFERROR(__xludf.DUMMYFUNCTION("IMPORTRANGE(""https://docs.google.com/spreadsheets/d/1Yj_ptqi66GCucihVvJfMjLAmec39IyEx_6qawtMGysU/edit?usp=sharing"",""สบก!CI23"")"),0)</f>
        <v>0</v>
      </c>
      <c r="M279" s="52"/>
      <c r="N279" s="52">
        <f ca="1">IFERROR(__xludf.DUMMYFUNCTION("IMPORTRANGE(""https://docs.google.com/spreadsheets/d/1Yj_ptqi66GCucihVvJfMjLAmec39IyEx_6qawtMGysU/edit?usp=sharing"",""สบก!CM23"")"),0)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IFERROR(__xludf.DUMMYFUNCTION("IMPORTRANGE(""https://docs.google.com/spreadsheets/d/11923uPwbBZFjjGgGUA6NLw09EwE0CqkOc4q9oUmW1yo/edit?usp=sharing"",""ตาก!J191"")"),0)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IFERROR(__xludf.DUMMYFUNCTION("IMPORTRANGE(""https://docs.google.com/spreadsheets/d/11923uPwbBZFjjGgGUA6NLw09EwE0CqkOc4q9oUmW1yo/edit?usp=sharing"",""ตาก!J192"")"),1)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IFERROR(__xludf.DUMMYFUNCTION("IMPORTRANGE(""https://docs.google.com/spreadsheets/d/11923uPwbBZFjjGgGUA6NLw09EwE0CqkOc4q9oUmW1yo/edit?usp=sharing"",""ตาก!J193"")"),1)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IFERROR(__xludf.DUMMYFUNCTION("IMPORTRANGE(""https://docs.google.com/spreadsheets/d/11923uPwbBZFjjGgGUA6NLw09EwE0CqkOc4q9oUmW1yo/edit?usp=sharing"",""ตาก!J194"")"),1)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IFERROR(__xludf.DUMMYFUNCTION("IMPORTRANGE(""https://docs.google.com/spreadsheets/d/11923uPwbBZFjjGgGUA6NLw09EwE0CqkOc4q9oUmW1yo/edit?usp=sharing"",""ตาก!I195"")"),20)</f>
        <v>20</v>
      </c>
      <c r="J285" s="190">
        <f ca="1">IFERROR(__xludf.DUMMYFUNCTION("IMPORTRANGE(""https://docs.google.com/spreadsheets/d/11923uPwbBZFjjGgGUA6NLw09EwE0CqkOc4q9oUmW1yo/edit?usp=sharing"",""ตาก!J195"")"),20)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IFERROR(__xludf.DUMMYFUNCTION("IMPORTRANGE(""https://docs.google.com/spreadsheets/d/11923uPwbBZFjjGgGUA6NLw09EwE0CqkOc4q9oUmW1yo/edit?usp=sharing"",""ตาก!J196"")"),0)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IFERROR(__xludf.DUMMYFUNCTION("IMPORTRANGE(""https://docs.google.com/spreadsheets/d/11923uPwbBZFjjGgGUA6NLw09EwE0CqkOc4q9oUmW1yo/edit?usp=sharing"",""ตาก!J197"")"),0)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IFERROR(__xludf.DUMMYFUNCTION("IMPORTRANGE(""https://docs.google.com/spreadsheets/d/11923uPwbBZFjjGgGUA6NLw09EwE0CqkOc4q9oUmW1yo/edit?usp=sharing"",""ตาก!I199"")"),0)</f>
        <v>0</v>
      </c>
      <c r="J289" s="317">
        <f ca="1">IFERROR(__xludf.DUMMYFUNCTION("IMPORTRANGE(""https://docs.google.com/spreadsheets/d/11923uPwbBZFjjGgGUA6NLw09EwE0CqkOc4q9oUmW1yo/edit?usp=sharing"",""ตาก!J199"")"),0)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0</v>
      </c>
      <c r="M292" s="90">
        <f t="shared" ca="1" si="92"/>
        <v>0</v>
      </c>
      <c r="N292" s="90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59"/>
      <c r="B293" s="160"/>
      <c r="C293" s="160" t="s">
        <v>16</v>
      </c>
      <c r="D293" s="570" t="s">
        <v>20</v>
      </c>
      <c r="E293" s="565"/>
      <c r="F293" s="565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IFERROR(__xludf.DUMMYFUNCTION("IMPORTRANGE(""https://docs.google.com/spreadsheets/d/1Yj_ptqi66GCucihVvJfMjLAmec39IyEx_6qawtMGysU/edit?usp=sharing"",""สบก!CT23"")"),0)</f>
        <v>0</v>
      </c>
      <c r="N294" s="170">
        <f ca="1">IFERROR(__xludf.DUMMYFUNCTION("IMPORTRANGE(""https://docs.google.com/spreadsheets/d/1Yj_ptqi66GCucihVvJfMjLAmec39IyEx_6qawtMGysU/edit?usp=sharing"",""สบก!CU23"")"),0)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IFERROR(__xludf.DUMMYFUNCTION("IMPORTRANGE(""https://docs.google.com/spreadsheets/d/1Yj_ptqi66GCucihVvJfMjLAmec39IyEx_6qawtMGysU/edit?usp=sharing"",""สบก!CP23"")"),0)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IFERROR(__xludf.DUMMYFUNCTION("IMPORTRANGE(""https://docs.google.com/spreadsheets/d/1Yj_ptqi66GCucihVvJfMjLAmec39IyEx_6qawtMGysU/edit?usp=sharing"",""สบก!CQ23"")"),0)</f>
        <v>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IFERROR(__xludf.DUMMYFUNCTION("IMPORTRANGE(""https://docs.google.com/spreadsheets/d/1Yj_ptqi66GCucihVvJfMjLAmec39IyEx_6qawtMGysU/edit?usp=sharing"",""สบก!CR23"")"),0)</f>
        <v>0</v>
      </c>
      <c r="M298" s="52"/>
      <c r="N298" s="52">
        <f ca="1">IFERROR(__xludf.DUMMYFUNCTION("IMPORTRANGE(""https://docs.google.com/spreadsheets/d/1Yj_ptqi66GCucihVvJfMjLAmec39IyEx_6qawtMGysU/edit?usp=sharing"",""สบก!CV23"")"),0)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IFERROR(__xludf.DUMMYFUNCTION("IMPORTRANGE(""https://docs.google.com/spreadsheets/d/11923uPwbBZFjjGgGUA6NLw09EwE0CqkOc4q9oUmW1yo/edit?usp=sharing"",""ตาก!J205"")"),0)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IFERROR(__xludf.DUMMYFUNCTION("IMPORTRANGE(""https://docs.google.com/spreadsheets/d/11923uPwbBZFjjGgGUA6NLw09EwE0CqkOc4q9oUmW1yo/edit?usp=sharing"",""ตาก!J206"")"),0)</f>
        <v>0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IFERROR(__xludf.DUMMYFUNCTION("IMPORTRANGE(""https://docs.google.com/spreadsheets/d/11923uPwbBZFjjGgGUA6NLw09EwE0CqkOc4q9oUmW1yo/edit?usp=sharing"",""ตาก!J207"")"),0)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IFERROR(__xludf.DUMMYFUNCTION("IMPORTRANGE(""https://docs.google.com/spreadsheets/d/11923uPwbBZFjjGgGUA6NLw09EwE0CqkOc4q9oUmW1yo/edit?usp=sharing"",""ตาก!J208"")"),0)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IFERROR(__xludf.DUMMYFUNCTION("IMPORTRANGE(""https://docs.google.com/spreadsheets/d/11923uPwbBZFjjGgGUA6NLw09EwE0CqkOc4q9oUmW1yo/edit?usp=sharing"",""ตาก!I209"")"),0)</f>
        <v>0</v>
      </c>
      <c r="J304" s="205">
        <f ca="1">IFERROR(__xludf.DUMMYFUNCTION("IMPORTRANGE(""https://docs.google.com/spreadsheets/d/11923uPwbBZFjjGgGUA6NLw09EwE0CqkOc4q9oUmW1yo/edit?usp=sharing"",""ตาก!J209"")"),0)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IFERROR(__xludf.DUMMYFUNCTION("IMPORTRANGE(""https://docs.google.com/spreadsheets/d/11923uPwbBZFjjGgGUA6NLw09EwE0CqkOc4q9oUmW1yo/edit?usp=sharing"",""ตาก!I211"")"),0)</f>
        <v>0</v>
      </c>
      <c r="J306" s="205">
        <f ca="1">IFERROR(__xludf.DUMMYFUNCTION("IMPORTRANGE(""https://docs.google.com/spreadsheets/d/11923uPwbBZFjjGgGUA6NLw09EwE0CqkOc4q9oUmW1yo/edit?usp=sharing"",""ตาก!J211"")"),0)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IFERROR(__xludf.DUMMYFUNCTION("IMPORTRANGE(""https://docs.google.com/spreadsheets/d/11923uPwbBZFjjGgGUA6NLw09EwE0CqkOc4q9oUmW1yo/edit?usp=sharing"",""ตาก!J212"")"),0)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IFERROR(__xludf.DUMMYFUNCTION("IMPORTRANGE(""https://docs.google.com/spreadsheets/d/11923uPwbBZFjjGgGUA6NLw09EwE0CqkOc4q9oUmW1yo/edit?usp=sharing"",""ตาก!J213"")"),0)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IFERROR(__xludf.DUMMYFUNCTION("IMPORTRANGE(""https://docs.google.com/spreadsheets/d/11923uPwbBZFjjGgGUA6NLw09EwE0CqkOc4q9oUmW1yo/edit?usp=sharing"",""ตาก!I214"")"),0)</f>
        <v>0</v>
      </c>
      <c r="J309" s="334">
        <f ca="1">IFERROR(__xludf.DUMMYFUNCTION("IMPORTRANGE(""https://docs.google.com/spreadsheets/d/11923uPwbBZFjjGgGUA6NLw09EwE0CqkOc4q9oUmW1yo/edit?usp=sharing"",""ตาก!J214"")"),0)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0</v>
      </c>
      <c r="M312" s="90">
        <f t="shared" ca="1" si="97"/>
        <v>0</v>
      </c>
      <c r="N312" s="90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59"/>
      <c r="B313" s="160"/>
      <c r="C313" s="160" t="s">
        <v>16</v>
      </c>
      <c r="D313" s="570" t="s">
        <v>20</v>
      </c>
      <c r="E313" s="565"/>
      <c r="F313" s="565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IFERROR(__xludf.DUMMYFUNCTION("IMPORTRANGE(""https://docs.google.com/spreadsheets/d/1Yj_ptqi66GCucihVvJfMjLAmec39IyEx_6qawtMGysU/edit?usp=sharing"",""สบก!DC23"")"),0)</f>
        <v>0</v>
      </c>
      <c r="N314" s="170">
        <f ca="1">IFERROR(__xludf.DUMMYFUNCTION("IMPORTRANGE(""https://docs.google.com/spreadsheets/d/1Yj_ptqi66GCucihVvJfMjLAmec39IyEx_6qawtMGysU/edit?usp=sharing"",""สบก!DD23"")"),0)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IFERROR(__xludf.DUMMYFUNCTION("IMPORTRANGE(""https://docs.google.com/spreadsheets/d/1Yj_ptqi66GCucihVvJfMjLAmec39IyEx_6qawtMGysU/edit?usp=sharing"",""สบก!CY23"")"),0)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IFERROR(__xludf.DUMMYFUNCTION("IMPORTRANGE(""https://docs.google.com/spreadsheets/d/1Yj_ptqi66GCucihVvJfMjLAmec39IyEx_6qawtMGysU/edit?usp=sharing"",""สบก!CZ23"")"),0)</f>
        <v>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IFERROR(__xludf.DUMMYFUNCTION("IMPORTRANGE(""https://docs.google.com/spreadsheets/d/1Yj_ptqi66GCucihVvJfMjLAmec39IyEx_6qawtMGysU/edit?usp=sharing"",""สบก!DA23"")"),0)</f>
        <v>0</v>
      </c>
      <c r="M318" s="52"/>
      <c r="N318" s="52">
        <f ca="1">IFERROR(__xludf.DUMMYFUNCTION("IMPORTRANGE(""https://docs.google.com/spreadsheets/d/1Yj_ptqi66GCucihVvJfMjLAmec39IyEx_6qawtMGysU/edit?usp=sharing"",""สบก!DE23"")"),0)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IFERROR(__xludf.DUMMYFUNCTION("IMPORTRANGE(""https://docs.google.com/spreadsheets/d/11923uPwbBZFjjGgGUA6NLw09EwE0CqkOc4q9oUmW1yo/edit?usp=sharing"",""ตาก!J220"")"),0)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IFERROR(__xludf.DUMMYFUNCTION("IMPORTRANGE(""https://docs.google.com/spreadsheets/d/11923uPwbBZFjjGgGUA6NLw09EwE0CqkOc4q9oUmW1yo/edit?usp=sharing"",""ตาก!J221"")"),0)</f>
        <v>0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IFERROR(__xludf.DUMMYFUNCTION("IMPORTRANGE(""https://docs.google.com/spreadsheets/d/11923uPwbBZFjjGgGUA6NLw09EwE0CqkOc4q9oUmW1yo/edit?usp=sharing"",""ตาก!J222"")"),0)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IFERROR(__xludf.DUMMYFUNCTION("IMPORTRANGE(""https://docs.google.com/spreadsheets/d/11923uPwbBZFjjGgGUA6NLw09EwE0CqkOc4q9oUmW1yo/edit?usp=sharing"",""ตาก!J223"")"),0)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IFERROR(__xludf.DUMMYFUNCTION("IMPORTRANGE(""https://docs.google.com/spreadsheets/d/11923uPwbBZFjjGgGUA6NLw09EwE0CqkOc4q9oUmW1yo/edit?usp=sharing"",""ตาก!I224"")"),0)</f>
        <v>0</v>
      </c>
      <c r="J324" s="205">
        <f ca="1">IFERROR(__xludf.DUMMYFUNCTION("IMPORTRANGE(""https://docs.google.com/spreadsheets/d/11923uPwbBZFjjGgGUA6NLw09EwE0CqkOc4q9oUmW1yo/edit?usp=sharing"",""ตาก!J224"")"),0)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IFERROR(__xludf.DUMMYFUNCTION("IMPORTRANGE(""https://docs.google.com/spreadsheets/d/11923uPwbBZFjjGgGUA6NLw09EwE0CqkOc4q9oUmW1yo/edit?usp=sharing"",""ตาก!J225"")"),0)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IFERROR(__xludf.DUMMYFUNCTION("IMPORTRANGE(""https://docs.google.com/spreadsheets/d/11923uPwbBZFjjGgGUA6NLw09EwE0CqkOc4q9oUmW1yo/edit?usp=sharing"",""ตาก!J226"")"),0)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IFERROR(__xludf.DUMMYFUNCTION("IMPORTRANGE(""https://docs.google.com/spreadsheets/d/11923uPwbBZFjjGgGUA6NLw09EwE0CqkOc4q9oUmW1yo/edit?usp=sharing"",""ตาก!I228"")"),330)</f>
        <v>330</v>
      </c>
      <c r="J328" s="340">
        <f ca="1">IFERROR(__xludf.DUMMYFUNCTION("IMPORTRANGE(""https://docs.google.com/spreadsheets/d/11923uPwbBZFjjGgGUA6NLw09EwE0CqkOc4q9oUmW1yo/edit?usp=sharing"",""ตาก!J228"")"),169)</f>
        <v>169</v>
      </c>
      <c r="K328" s="318">
        <f ca="1">IF(I328&gt;0,J328*100/I328,0)</f>
        <v>51.212121212121211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1077870</v>
      </c>
      <c r="M329" s="154">
        <f t="shared" ca="1" si="98"/>
        <v>906970</v>
      </c>
      <c r="N329" s="154">
        <f t="shared" ca="1" si="98"/>
        <v>690188.86</v>
      </c>
      <c r="O329" s="153">
        <f t="shared" ref="O329:O331" ca="1" si="99">IF(L329&gt;0,N329*100/L329,0)</f>
        <v>64.032662565986627</v>
      </c>
      <c r="P329" s="153">
        <f t="shared" ref="P329:P331" ca="1" si="100">IF(M329&gt;0,N329*100/M329,0)</f>
        <v>76.0983119618069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1077870</v>
      </c>
      <c r="M331" s="90">
        <f t="shared" ca="1" si="102"/>
        <v>906970</v>
      </c>
      <c r="N331" s="90">
        <f t="shared" ca="1" si="102"/>
        <v>690188.86</v>
      </c>
      <c r="O331" s="158">
        <f t="shared" ca="1" si="99"/>
        <v>64.032662565986627</v>
      </c>
      <c r="P331" s="158">
        <f t="shared" ca="1" si="100"/>
        <v>76.0983119618069</v>
      </c>
    </row>
    <row r="332" spans="1:16" ht="21.75" customHeight="1">
      <c r="A332" s="159"/>
      <c r="B332" s="160"/>
      <c r="C332" s="160" t="s">
        <v>16</v>
      </c>
      <c r="D332" s="570" t="s">
        <v>20</v>
      </c>
      <c r="E332" s="565"/>
      <c r="F332" s="565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939650</v>
      </c>
      <c r="M333" s="169">
        <f ca="1">IFERROR(__xludf.DUMMYFUNCTION("IMPORTRANGE(""https://docs.google.com/spreadsheets/d/1Yj_ptqi66GCucihVvJfMjLAmec39IyEx_6qawtMGysU/edit?usp=sharing"",""สบก!DL23"")"),768750)</f>
        <v>768750</v>
      </c>
      <c r="N333" s="170">
        <f ca="1">IFERROR(__xludf.DUMMYFUNCTION("IMPORTRANGE(""https://docs.google.com/spreadsheets/d/1Yj_ptqi66GCucihVvJfMjLAmec39IyEx_6qawtMGysU/edit?usp=sharing"",""สบก!DM23"")"),551968.86)</f>
        <v>551968.86</v>
      </c>
      <c r="O333" s="170">
        <f ca="1">IF(L333&gt;0,N333*100/L333,0)</f>
        <v>58.741963497046775</v>
      </c>
      <c r="P333" s="170">
        <f ca="1">IF(M333&gt;0,N333*100/M333,0)</f>
        <v>71.800827317073171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IFERROR(__xludf.DUMMYFUNCTION("IMPORTRANGE(""https://docs.google.com/spreadsheets/d/1Yj_ptqi66GCucihVvJfMjLAmec39IyEx_6qawtMGysU/edit?usp=sharing"",""สบก!DH23"")"),496800)</f>
        <v>496800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IFERROR(__xludf.DUMMYFUNCTION("IMPORTRANGE(""https://docs.google.com/spreadsheets/d/1Yj_ptqi66GCucihVvJfMjLAmec39IyEx_6qawtMGysU/edit?usp=sharing"",""สบก!DI23"")"),442850)</f>
        <v>442850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IFERROR(__xludf.DUMMYFUNCTION("IMPORTRANGE(""https://docs.google.com/spreadsheets/d/1Yj_ptqi66GCucihVvJfMjLAmec39IyEx_6qawtMGysU/edit?usp=sharing"",""สบก!DJ23"")"),138220)</f>
        <v>138220</v>
      </c>
      <c r="M337" s="52">
        <f ca="1">L337</f>
        <v>138220</v>
      </c>
      <c r="N337" s="52">
        <f ca="1">IFERROR(__xludf.DUMMYFUNCTION("IMPORTRANGE(""https://docs.google.com/spreadsheets/d/1Yj_ptqi66GCucihVvJfMjLAmec39IyEx_6qawtMGysU/edit?usp=sharing"",""สบก!DN23"")"),138220)</f>
        <v>138220</v>
      </c>
      <c r="O337" s="52">
        <f ca="1">IF(L337&gt;0,N337*100/L337,0)</f>
        <v>100</v>
      </c>
      <c r="P337" s="52">
        <f ca="1">IF(M337&gt;0,N337*100/M337,0)</f>
        <v>100</v>
      </c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IFERROR(__xludf.DUMMYFUNCTION("IMPORTRANGE(""https://docs.google.com/spreadsheets/d/11923uPwbBZFjjGgGUA6NLw09EwE0CqkOc4q9oUmW1yo/edit?usp=sharing"",""ตาก!I234"")"),0)</f>
        <v>0</v>
      </c>
      <c r="J339" s="189">
        <f ca="1">IFERROR(__xludf.DUMMYFUNCTION("IMPORTRANGE(""https://docs.google.com/spreadsheets/d/11923uPwbBZFjjGgGUA6NLw09EwE0CqkOc4q9oUmW1yo/edit?usp=sharing"",""ตาก!J234"")"),130)</f>
        <v>130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IFERROR(__xludf.DUMMYFUNCTION("IMPORTRANGE(""https://docs.google.com/spreadsheets/d/11923uPwbBZFjjGgGUA6NLw09EwE0CqkOc4q9oUmW1yo/edit?usp=sharing"",""ตาก!I235"")"),3000)</f>
        <v>3000</v>
      </c>
      <c r="J340" s="189">
        <f ca="1">IFERROR(__xludf.DUMMYFUNCTION("IMPORTRANGE(""https://docs.google.com/spreadsheets/d/11923uPwbBZFjjGgGUA6NLw09EwE0CqkOc4q9oUmW1yo/edit?usp=sharing"",""ตาก!J235"")"),932.48)</f>
        <v>932.48</v>
      </c>
      <c r="K340" s="343">
        <f t="shared" ca="1" si="103"/>
        <v>31.082666666666668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IFERROR(__xludf.DUMMYFUNCTION("IMPORTRANGE(""https://docs.google.com/spreadsheets/d/11923uPwbBZFjjGgGUA6NLw09EwE0CqkOc4q9oUmW1yo/edit?usp=sharing"",""ตาก!I236"")"),330)</f>
        <v>330</v>
      </c>
      <c r="J341" s="189">
        <f ca="1">IFERROR(__xludf.DUMMYFUNCTION("IMPORTRANGE(""https://docs.google.com/spreadsheets/d/11923uPwbBZFjjGgGUA6NLw09EwE0CqkOc4q9oUmW1yo/edit?usp=sharing"",""ตาก!J236"")"),172)</f>
        <v>172</v>
      </c>
      <c r="K341" s="343">
        <f t="shared" ca="1" si="103"/>
        <v>52.121212121212125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IFERROR(__xludf.DUMMYFUNCTION("IMPORTRANGE(""https://docs.google.com/spreadsheets/d/11923uPwbBZFjjGgGUA6NLw09EwE0CqkOc4q9oUmW1yo/edit?usp=sharing"",""ตาก!I237"")"),0)</f>
        <v>0</v>
      </c>
      <c r="J342" s="189">
        <f ca="1">IFERROR(__xludf.DUMMYFUNCTION("IMPORTRANGE(""https://docs.google.com/spreadsheets/d/11923uPwbBZFjjGgGUA6NLw09EwE0CqkOc4q9oUmW1yo/edit?usp=sharing"",""ตาก!J237"")"),1848.28)</f>
        <v>1848.28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IFERROR(__xludf.DUMMYFUNCTION("IMPORTRANGE(""https://docs.google.com/spreadsheets/d/11923uPwbBZFjjGgGUA6NLw09EwE0CqkOc4q9oUmW1yo/edit?usp=sharing"",""ตาก!I238"")"),330)</f>
        <v>330</v>
      </c>
      <c r="J343" s="189">
        <f ca="1">IFERROR(__xludf.DUMMYFUNCTION("IMPORTRANGE(""https://docs.google.com/spreadsheets/d/11923uPwbBZFjjGgGUA6NLw09EwE0CqkOc4q9oUmW1yo/edit?usp=sharing"",""ตาก!J238"")"),0)</f>
        <v>0</v>
      </c>
      <c r="K343" s="343">
        <f t="shared" ca="1" si="103"/>
        <v>0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IFERROR(__xludf.DUMMYFUNCTION("IMPORTRANGE(""https://docs.google.com/spreadsheets/d/11923uPwbBZFjjGgGUA6NLw09EwE0CqkOc4q9oUmW1yo/edit?usp=sharing"",""ตาก!I239"")"),0)</f>
        <v>0</v>
      </c>
      <c r="J344" s="189">
        <f ca="1">IFERROR(__xludf.DUMMYFUNCTION("IMPORTRANGE(""https://docs.google.com/spreadsheets/d/11923uPwbBZFjjGgGUA6NLw09EwE0CqkOc4q9oUmW1yo/edit?usp=sharing"",""ตาก!J239"")"),0)</f>
        <v>0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IFERROR(__xludf.DUMMYFUNCTION("IMPORTRANGE(""https://docs.google.com/spreadsheets/d/11923uPwbBZFjjGgGUA6NLw09EwE0CqkOc4q9oUmW1yo/edit?usp=sharing"",""ตาก!I240"")"),330)</f>
        <v>330</v>
      </c>
      <c r="J345" s="189">
        <f ca="1">IFERROR(__xludf.DUMMYFUNCTION("IMPORTRANGE(""https://docs.google.com/spreadsheets/d/11923uPwbBZFjjGgGUA6NLw09EwE0CqkOc4q9oUmW1yo/edit?usp=sharing"",""ตาก!J240"")"),169)</f>
        <v>169</v>
      </c>
      <c r="K345" s="343">
        <f t="shared" ca="1" si="103"/>
        <v>51.212121212121211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IFERROR(__xludf.DUMMYFUNCTION("IMPORTRANGE(""https://docs.google.com/spreadsheets/d/11923uPwbBZFjjGgGUA6NLw09EwE0CqkOc4q9oUmW1yo/edit?usp=sharing"",""ตาก!I241"")"),0)</f>
        <v>0</v>
      </c>
      <c r="J346" s="189">
        <f ca="1">IFERROR(__xludf.DUMMYFUNCTION("IMPORTRANGE(""https://docs.google.com/spreadsheets/d/11923uPwbBZFjjGgGUA6NLw09EwE0CqkOc4q9oUmW1yo/edit?usp=sharing"",""ตาก!J241"")"),1852.47)</f>
        <v>1852.47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IFERROR(__xludf.DUMMYFUNCTION("IMPORTRANGE(""https://docs.google.com/spreadsheets/d/11923uPwbBZFjjGgGUA6NLw09EwE0CqkOc4q9oUmW1yo/edit?usp=sharing"",""ตาก!L242"")"),1793228)</f>
        <v>1793228</v>
      </c>
      <c r="M347" s="359"/>
      <c r="N347" s="359">
        <f ca="1">IFERROR(__xludf.DUMMYFUNCTION("IMPORTRANGE(""https://docs.google.com/spreadsheets/d/11923uPwbBZFjjGgGUA6NLw09EwE0CqkOc4q9oUmW1yo/edit?usp=sharing"",""ตาก!M242"")"),1021331.25)</f>
        <v>1021331.25</v>
      </c>
      <c r="O347" s="359">
        <f ca="1">+IF(L347&gt;0,N347*100/L347,0)</f>
        <v>56.954901997961215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IFERROR(__xludf.DUMMYFUNCTION("IMPORTRANGE(""https://docs.google.com/spreadsheets/d/11923uPwbBZFjjGgGUA6NLw09EwE0CqkOc4q9oUmW1yo/edit?usp=sharing"",""ตาก!I244"")"),0)</f>
        <v>0</v>
      </c>
      <c r="J349" s="372">
        <f ca="1">IFERROR(__xludf.DUMMYFUNCTION("IMPORTRANGE(""https://docs.google.com/spreadsheets/d/11923uPwbBZFjjGgGUA6NLw09EwE0CqkOc4q9oUmW1yo/edit?usp=sharing"",""ตาก!J244"")"),0)</f>
        <v>0</v>
      </c>
      <c r="K349" s="373">
        <f t="shared" ref="K349:K350" ca="1" si="104">IF(I349&gt;0,J349*100/I349,0)</f>
        <v>0</v>
      </c>
      <c r="L349" s="374">
        <f ca="1">IFERROR(__xludf.DUMMYFUNCTION("IMPORTRANGE(""https://docs.google.com/spreadsheets/d/11923uPwbBZFjjGgGUA6NLw09EwE0CqkOc4q9oUmW1yo/edit?usp=sharing"",""ตาก!L244"")"),0)</f>
        <v>0</v>
      </c>
      <c r="M349" s="374"/>
      <c r="N349" s="374">
        <f ca="1">IFERROR(__xludf.DUMMYFUNCTION("IMPORTRANGE(""https://docs.google.com/spreadsheets/d/11923uPwbBZFjjGgGUA6NLw09EwE0CqkOc4q9oUmW1yo/edit?usp=sharing"",""ตาก!M244"")"),0)</f>
        <v>0</v>
      </c>
      <c r="O349" s="374">
        <f ca="1">+IF(L349&gt;0,N349*100/L349,0)</f>
        <v>0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IFERROR(__xludf.DUMMYFUNCTION("IMPORTRANGE(""https://docs.google.com/spreadsheets/d/11923uPwbBZFjjGgGUA6NLw09EwE0CqkOc4q9oUmW1yo/edit?usp=sharing"",""ตาก!I245"")"),0)</f>
        <v>0</v>
      </c>
      <c r="J350" s="372">
        <f ca="1">IFERROR(__xludf.DUMMYFUNCTION("IMPORTRANGE(""https://docs.google.com/spreadsheets/d/11923uPwbBZFjjGgGUA6NLw09EwE0CqkOc4q9oUmW1yo/edit?usp=sharing"",""ตาก!J245"")"),0)</f>
        <v>0</v>
      </c>
      <c r="K350" s="373">
        <f t="shared" ca="1" si="104"/>
        <v>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IFERROR(__xludf.DUMMYFUNCTION("IMPORTRANGE(""https://docs.google.com/spreadsheets/d/11923uPwbBZFjjGgGUA6NLw09EwE0CqkOc4q9oUmW1yo/edit?usp=sharing"",""ตาก!L246"")"),0)</f>
        <v>0</v>
      </c>
      <c r="M351" s="166"/>
      <c r="N351" s="166">
        <f ca="1">IFERROR(__xludf.DUMMYFUNCTION("IMPORTRANGE(""https://docs.google.com/spreadsheets/d/11923uPwbBZFjjGgGUA6NLw09EwE0CqkOc4q9oUmW1yo/edit?usp=sharing"",""ตาก!M246"")"),0)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IFERROR(__xludf.DUMMYFUNCTION("IMPORTRANGE(""https://docs.google.com/spreadsheets/d/11923uPwbBZFjjGgGUA6NLw09EwE0CqkOc4q9oUmW1yo/edit?usp=sharing"",""ตาก!L247"")"),0)</f>
        <v>0</v>
      </c>
      <c r="M352" s="167"/>
      <c r="N352" s="166">
        <f ca="1">IFERROR(__xludf.DUMMYFUNCTION("IMPORTRANGE(""https://docs.google.com/spreadsheets/d/11923uPwbBZFjjGgGUA6NLw09EwE0CqkOc4q9oUmW1yo/edit?usp=sharing"",""ตาก!M247"")"),0)</f>
        <v>0</v>
      </c>
      <c r="O352" s="167">
        <f t="shared" ca="1" si="105"/>
        <v>0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IFERROR(__xludf.DUMMYFUNCTION("IMPORTRANGE(""https://docs.google.com/spreadsheets/d/11923uPwbBZFjjGgGUA6NLw09EwE0CqkOc4q9oUmW1yo/edit?usp=sharing"",""ตาก!L248"")"),0)</f>
        <v>0</v>
      </c>
      <c r="M353" s="170"/>
      <c r="N353" s="170">
        <f ca="1">IFERROR(__xludf.DUMMYFUNCTION("IMPORTRANGE(""https://docs.google.com/spreadsheets/d/11923uPwbBZFjjGgGUA6NLw09EwE0CqkOc4q9oUmW1yo/edit?usp=sharing"",""ตาก!M248"")"),0)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IFERROR(__xludf.DUMMYFUNCTION("IMPORTRANGE(""https://docs.google.com/spreadsheets/d/11923uPwbBZFjjGgGUA6NLw09EwE0CqkOc4q9oUmW1yo/edit?usp=sharing"",""ตาก!L249"")"),0)</f>
        <v>0</v>
      </c>
      <c r="M354" s="170"/>
      <c r="N354" s="169">
        <f ca="1">IFERROR(__xludf.DUMMYFUNCTION("IMPORTRANGE(""https://docs.google.com/spreadsheets/d/11923uPwbBZFjjGgGUA6NLw09EwE0CqkOc4q9oUmW1yo/edit?usp=sharing"",""ตาก!M249"")"),0)</f>
        <v>0</v>
      </c>
      <c r="O354" s="170">
        <f t="shared" ca="1" si="105"/>
        <v>0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IFERROR(__xludf.DUMMYFUNCTION("IMPORTRANGE(""https://docs.google.com/spreadsheets/d/11923uPwbBZFjjGgGUA6NLw09EwE0CqkOc4q9oUmW1yo/edit?usp=sharing"",""ตาก!M250"")"),0)</f>
        <v>0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IFERROR(__xludf.DUMMYFUNCTION("IMPORTRANGE(""https://docs.google.com/spreadsheets/d/11923uPwbBZFjjGgGUA6NLw09EwE0CqkOc4q9oUmW1yo/edit?usp=sharing"",""ตาก!M251"")"),0)</f>
        <v>0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IFERROR(__xludf.DUMMYFUNCTION("IMPORTRANGE(""https://docs.google.com/spreadsheets/d/11923uPwbBZFjjGgGUA6NLw09EwE0CqkOc4q9oUmW1yo/edit?usp=sharing"",""ตาก!M252"")"),0)</f>
        <v>0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IFERROR(__xludf.DUMMYFUNCTION("IMPORTRANGE(""https://docs.google.com/spreadsheets/d/11923uPwbBZFjjGgGUA6NLw09EwE0CqkOc4q9oUmW1yo/edit?usp=sharing"",""ตาก!M253"")"),0)</f>
        <v>0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IFERROR(__xludf.DUMMYFUNCTION("IMPORTRANGE(""https://docs.google.com/spreadsheets/d/11923uPwbBZFjjGgGUA6NLw09EwE0CqkOc4q9oUmW1yo/edit?usp=sharing"",""ตาก!J255"")"),0)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IFERROR(__xludf.DUMMYFUNCTION("IMPORTRANGE(""https://docs.google.com/spreadsheets/d/11923uPwbBZFjjGgGUA6NLw09EwE0CqkOc4q9oUmW1yo/edit?usp=sharing"",""ตาก!J256"")"),0)</f>
        <v>0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IFERROR(__xludf.DUMMYFUNCTION("IMPORTRANGE(""https://docs.google.com/spreadsheets/d/11923uPwbBZFjjGgGUA6NLw09EwE0CqkOc4q9oUmW1yo/edit?usp=sharing"",""ตาก!J257"")"),0)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IFERROR(__xludf.DUMMYFUNCTION("IMPORTRANGE(""https://docs.google.com/spreadsheets/d/11923uPwbBZFjjGgGUA6NLw09EwE0CqkOc4q9oUmW1yo/edit?usp=sharing"",""ตาก!J258"")"),0)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IFERROR(__xludf.DUMMYFUNCTION("IMPORTRANGE(""https://docs.google.com/spreadsheets/d/11923uPwbBZFjjGgGUA6NLw09EwE0CqkOc4q9oUmW1yo/edit?usp=sharing"",""ตาก!J166"")"),0)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IFERROR(__xludf.DUMMYFUNCTION("IMPORTRANGE(""https://docs.google.com/spreadsheets/d/11923uPwbBZFjjGgGUA6NLw09EwE0CqkOc4q9oUmW1yo/edit?usp=sharing"",""ตาก!J166"")"),0)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IFERROR(__xludf.DUMMYFUNCTION("IMPORTRANGE(""https://docs.google.com/spreadsheets/d/11923uPwbBZFjjGgGUA6NLw09EwE0CqkOc4q9oUmW1yo/edit?usp=sharing"",""ตาก!J166"")"),0)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IFERROR(__xludf.DUMMYFUNCTION("IMPORTRANGE(""https://docs.google.com/spreadsheets/d/11923uPwbBZFjjGgGUA6NLw09EwE0CqkOc4q9oUmW1yo/edit?usp=sharing"",""ตาก!J166"")"),0)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IFERROR(__xludf.DUMMYFUNCTION("IMPORTRANGE(""https://docs.google.com/spreadsheets/d/11923uPwbBZFjjGgGUA6NLw09EwE0CqkOc4q9oUmW1yo/edit?usp=sharing"",""ตาก!I263"")"),0)</f>
        <v>0</v>
      </c>
      <c r="J368" s="189">
        <f ca="1">IFERROR(__xludf.DUMMYFUNCTION("IMPORTRANGE(""https://docs.google.com/spreadsheets/d/11923uPwbBZFjjGgGUA6NLw09EwE0CqkOc4q9oUmW1yo/edit?usp=sharing"",""ตาก!J263"")"),0)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IFERROR(__xludf.DUMMYFUNCTION("IMPORTRANGE(""https://docs.google.com/spreadsheets/d/11923uPwbBZFjjGgGUA6NLw09EwE0CqkOc4q9oUmW1yo/edit?usp=sharing"",""ตาก!I164"")"),0)</f>
        <v>0</v>
      </c>
      <c r="J369" s="205">
        <f ca="1">IFERROR(__xludf.DUMMYFUNCTION("IMPORTRANGE(""https://docs.google.com/spreadsheets/d/11923uPwbBZFjjGgGUA6NLw09EwE0CqkOc4q9oUmW1yo/edit?usp=sharing"",""ตาก!J164"")"),0)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IFERROR(__xludf.DUMMYFUNCTION("IMPORTRANGE(""https://docs.google.com/spreadsheets/d/11923uPwbBZFjjGgGUA6NLw09EwE0CqkOc4q9oUmW1yo/edit?usp=sharing"",""ตาก!I265"")"),0)</f>
        <v>0</v>
      </c>
      <c r="J370" s="205">
        <f ca="1">IFERROR(__xludf.DUMMYFUNCTION("IMPORTRANGE(""https://docs.google.com/spreadsheets/d/11923uPwbBZFjjGgGUA6NLw09EwE0CqkOc4q9oUmW1yo/edit?usp=sharing"",""ตาก!J265"")"),0)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IFERROR(__xludf.DUMMYFUNCTION("IMPORTRANGE(""https://docs.google.com/spreadsheets/d/11923uPwbBZFjjGgGUA6NLw09EwE0CqkOc4q9oUmW1yo/edit?usp=sharing"",""ตาก!I164"")"),0)</f>
        <v>0</v>
      </c>
      <c r="J371" s="190">
        <f ca="1">IFERROR(__xludf.DUMMYFUNCTION("IMPORTRANGE(""https://docs.google.com/spreadsheets/d/11923uPwbBZFjjGgGUA6NLw09EwE0CqkOc4q9oUmW1yo/edit?usp=sharing"",""ตาก!J164"")"),0)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IFERROR(__xludf.DUMMYFUNCTION("IMPORTRANGE(""https://docs.google.com/spreadsheets/d/11923uPwbBZFjjGgGUA6NLw09EwE0CqkOc4q9oUmW1yo/edit?usp=sharing"",""ตาก!I267"")"),0)</f>
        <v>0</v>
      </c>
      <c r="J372" s="190">
        <f ca="1">IFERROR(__xludf.DUMMYFUNCTION("IMPORTRANGE(""https://docs.google.com/spreadsheets/d/11923uPwbBZFjjGgGUA6NLw09EwE0CqkOc4q9oUmW1yo/edit?usp=sharing"",""ตาก!J267"")"),0)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IFERROR(__xludf.DUMMYFUNCTION("IMPORTRANGE(""https://docs.google.com/spreadsheets/d/11923uPwbBZFjjGgGUA6NLw09EwE0CqkOc4q9oUmW1yo/edit?usp=sharing"",""ตาก!I164"")"),0)</f>
        <v>0</v>
      </c>
      <c r="J373" s="205">
        <f ca="1">IFERROR(__xludf.DUMMYFUNCTION("IMPORTRANGE(""https://docs.google.com/spreadsheets/d/11923uPwbBZFjjGgGUA6NLw09EwE0CqkOc4q9oUmW1yo/edit?usp=sharing"",""ตาก!J164"")"),0)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IFERROR(__xludf.DUMMYFUNCTION("IMPORTRANGE(""https://docs.google.com/spreadsheets/d/11923uPwbBZFjjGgGUA6NLw09EwE0CqkOc4q9oUmW1yo/edit?usp=sharing"",""ตาก!I164"")"),0)</f>
        <v>0</v>
      </c>
      <c r="J374" s="189">
        <f ca="1">IFERROR(__xludf.DUMMYFUNCTION("IMPORTRANGE(""https://docs.google.com/spreadsheets/d/11923uPwbBZFjjGgGUA6NLw09EwE0CqkOc4q9oUmW1yo/edit?usp=sharing"",""ตาก!J164"")"),0)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IFERROR(__xludf.DUMMYFUNCTION("IMPORTRANGE(""https://docs.google.com/spreadsheets/d/11923uPwbBZFjjGgGUA6NLw09EwE0CqkOc4q9oUmW1yo/edit?usp=sharing"",""ตาก!I270"")"),0)</f>
        <v>0</v>
      </c>
      <c r="J375" s="189">
        <f ca="1">IFERROR(__xludf.DUMMYFUNCTION("IMPORTRANGE(""https://docs.google.com/spreadsheets/d/11923uPwbBZFjjGgGUA6NLw09EwE0CqkOc4q9oUmW1yo/edit?usp=sharing"",""ตาก!J270"")"),0)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IFERROR(__xludf.DUMMYFUNCTION("IMPORTRANGE(""https://docs.google.com/spreadsheets/d/11923uPwbBZFjjGgGUA6NLw09EwE0CqkOc4q9oUmW1yo/edit?usp=sharing"",""ตาก!I271"")"),0)</f>
        <v>0</v>
      </c>
      <c r="J376" s="190">
        <f ca="1">IFERROR(__xludf.DUMMYFUNCTION("IMPORTRANGE(""https://docs.google.com/spreadsheets/d/11923uPwbBZFjjGgGUA6NLw09EwE0CqkOc4q9oUmW1yo/edit?usp=sharing"",""ตาก!J271"")"),0)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IFERROR(__xludf.DUMMYFUNCTION("IMPORTRANGE(""https://docs.google.com/spreadsheets/d/11923uPwbBZFjjGgGUA6NLw09EwE0CqkOc4q9oUmW1yo/edit?usp=sharing"",""ตาก!I272"")"),0)</f>
        <v>0</v>
      </c>
      <c r="J377" s="205">
        <f ca="1">IFERROR(__xludf.DUMMYFUNCTION("IMPORTRANGE(""https://docs.google.com/spreadsheets/d/11923uPwbBZFjjGgGUA6NLw09EwE0CqkOc4q9oUmW1yo/edit?usp=sharing"",""ตาก!J272"")"),0)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IFERROR(__xludf.DUMMYFUNCTION("IMPORTRANGE(""https://docs.google.com/spreadsheets/d/11923uPwbBZFjjGgGUA6NLw09EwE0CqkOc4q9oUmW1yo/edit?usp=sharing"",""ตาก!J273"")"),0)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IFERROR(__xludf.DUMMYFUNCTION("IMPORTRANGE(""https://docs.google.com/spreadsheets/d/11923uPwbBZFjjGgGUA6NLw09EwE0CqkOc4q9oUmW1yo/edit?usp=sharing"",""ตาก!J274"")"),0)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IFERROR(__xludf.DUMMYFUNCTION("IMPORTRANGE(""https://docs.google.com/spreadsheets/d/11923uPwbBZFjjGgGUA6NLw09EwE0CqkOc4q9oUmW1yo/edit?usp=sharing"",""ตาก!I275"")"),500)</f>
        <v>500</v>
      </c>
      <c r="J380" s="372">
        <f ca="1">IFERROR(__xludf.DUMMYFUNCTION("IMPORTRANGE(""https://docs.google.com/spreadsheets/d/11923uPwbBZFjjGgGUA6NLw09EwE0CqkOc4q9oUmW1yo/edit?usp=sharing"",""ตาก!J275"")"),500)</f>
        <v>500</v>
      </c>
      <c r="K380" s="373">
        <f t="shared" ref="K380:K381" ca="1" si="108">IF(I380&gt;0,J380*100/I380,0)</f>
        <v>100</v>
      </c>
      <c r="L380" s="374">
        <f ca="1">IFERROR(__xludf.DUMMYFUNCTION("IMPORTRANGE(""https://docs.google.com/spreadsheets/d/11923uPwbBZFjjGgGUA6NLw09EwE0CqkOc4q9oUmW1yo/edit?usp=sharing"",""ตาก!L275"")"),460140)</f>
        <v>460140</v>
      </c>
      <c r="M380" s="374"/>
      <c r="N380" s="374">
        <f ca="1">IFERROR(__xludf.DUMMYFUNCTION("IMPORTRANGE(""https://docs.google.com/spreadsheets/d/11923uPwbBZFjjGgGUA6NLw09EwE0CqkOc4q9oUmW1yo/edit?usp=sharing"",""ตาก!M275"")"),409065)</f>
        <v>409065</v>
      </c>
      <c r="O380" s="374">
        <f ca="1">+IF(L380&gt;0,N380*100/L380,0)</f>
        <v>88.900117355587426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IFERROR(__xludf.DUMMYFUNCTION("IMPORTRANGE(""https://docs.google.com/spreadsheets/d/11923uPwbBZFjjGgGUA6NLw09EwE0CqkOc4q9oUmW1yo/edit?usp=sharing"",""ตาก!I276"")"),50)</f>
        <v>50</v>
      </c>
      <c r="J381" s="372">
        <f ca="1">IFERROR(__xludf.DUMMYFUNCTION("IMPORTRANGE(""https://docs.google.com/spreadsheets/d/11923uPwbBZFjjGgGUA6NLw09EwE0CqkOc4q9oUmW1yo/edit?usp=sharing"",""ตาก!J276"")"),50)</f>
        <v>50</v>
      </c>
      <c r="K381" s="373">
        <f t="shared" ca="1" si="108"/>
        <v>100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IFERROR(__xludf.DUMMYFUNCTION("IMPORTRANGE(""https://docs.google.com/spreadsheets/d/11923uPwbBZFjjGgGUA6NLw09EwE0CqkOc4q9oUmW1yo/edit?usp=sharing"",""ตาก!L277"")"),0)</f>
        <v>0</v>
      </c>
      <c r="M382" s="166"/>
      <c r="N382" s="166">
        <f ca="1">IFERROR(__xludf.DUMMYFUNCTION("IMPORTRANGE(""https://docs.google.com/spreadsheets/d/11923uPwbBZFjjGgGUA6NLw09EwE0CqkOc4q9oUmW1yo/edit?usp=sharing"",""ตาก!M277"")"),0)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IFERROR(__xludf.DUMMYFUNCTION("IMPORTRANGE(""https://docs.google.com/spreadsheets/d/11923uPwbBZFjjGgGUA6NLw09EwE0CqkOc4q9oUmW1yo/edit?usp=sharing"",""ตาก!L278"")"),460140)</f>
        <v>460140</v>
      </c>
      <c r="M383" s="167"/>
      <c r="N383" s="167">
        <f ca="1">IFERROR(__xludf.DUMMYFUNCTION("IMPORTRANGE(""https://docs.google.com/spreadsheets/d/11923uPwbBZFjjGgGUA6NLw09EwE0CqkOc4q9oUmW1yo/edit?usp=sharing"",""ตาก!M278"")"),409065)</f>
        <v>409065</v>
      </c>
      <c r="O383" s="167">
        <f t="shared" ca="1" si="109"/>
        <v>88.900117355587426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IFERROR(__xludf.DUMMYFUNCTION("IMPORTRANGE(""https://docs.google.com/spreadsheets/d/11923uPwbBZFjjGgGUA6NLw09EwE0CqkOc4q9oUmW1yo/edit?usp=sharing"",""ตาก!L279"")"),0)</f>
        <v>0</v>
      </c>
      <c r="M384" s="170"/>
      <c r="N384" s="170">
        <f ca="1">IFERROR(__xludf.DUMMYFUNCTION("IMPORTRANGE(""https://docs.google.com/spreadsheets/d/11923uPwbBZFjjGgGUA6NLw09EwE0CqkOc4q9oUmW1yo/edit?usp=sharing"",""ตาก!M279"")"),0)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IFERROR(__xludf.DUMMYFUNCTION("IMPORTRANGE(""https://docs.google.com/spreadsheets/d/11923uPwbBZFjjGgGUA6NLw09EwE0CqkOc4q9oUmW1yo/edit?usp=sharing"",""ตาก!L280"")"),460140)</f>
        <v>460140</v>
      </c>
      <c r="M385" s="170"/>
      <c r="N385" s="169">
        <f ca="1">IFERROR(__xludf.DUMMYFUNCTION("IMPORTRANGE(""https://docs.google.com/spreadsheets/d/11923uPwbBZFjjGgGUA6NLw09EwE0CqkOc4q9oUmW1yo/edit?usp=sharing"",""ตาก!M280"")"),409065)</f>
        <v>409065</v>
      </c>
      <c r="O385" s="170">
        <f t="shared" ca="1" si="109"/>
        <v>88.900117355587426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IFERROR(__xludf.DUMMYFUNCTION("IMPORTRANGE(""https://docs.google.com/spreadsheets/d/11923uPwbBZFjjGgGUA6NLw09EwE0CqkOc4q9oUmW1yo/edit?usp=sharing"",""ตาก!M281"")"),78220)</f>
        <v>78220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IFERROR(__xludf.DUMMYFUNCTION("IMPORTRANGE(""https://docs.google.com/spreadsheets/d/11923uPwbBZFjjGgGUA6NLw09EwE0CqkOc4q9oUmW1yo/edit?usp=sharing"",""ตาก!M282"")"),312500)</f>
        <v>312500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IFERROR(__xludf.DUMMYFUNCTION("IMPORTRANGE(""https://docs.google.com/spreadsheets/d/11923uPwbBZFjjGgGUA6NLw09EwE0CqkOc4q9oUmW1yo/edit?usp=sharing"",""ตาก!M283"")"),0)</f>
        <v>0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IFERROR(__xludf.DUMMYFUNCTION("IMPORTRANGE(""https://docs.google.com/spreadsheets/d/11923uPwbBZFjjGgGUA6NLw09EwE0CqkOc4q9oUmW1yo/edit?usp=sharing"",""ตาก!M284"")"),18345)</f>
        <v>18345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IFERROR(__xludf.DUMMYFUNCTION("IMPORTRANGE(""https://docs.google.com/spreadsheets/d/11923uPwbBZFjjGgGUA6NLw09EwE0CqkOc4q9oUmW1yo/edit?usp=sharing"",""ตาก!J286"")"),0)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IFERROR(__xludf.DUMMYFUNCTION("IMPORTRANGE(""https://docs.google.com/spreadsheets/d/11923uPwbBZFjjGgGUA6NLw09EwE0CqkOc4q9oUmW1yo/edit?usp=sharing"",""ตาก!J287"")"),1)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IFERROR(__xludf.DUMMYFUNCTION("IMPORTRANGE(""https://docs.google.com/spreadsheets/d/11923uPwbBZFjjGgGUA6NLw09EwE0CqkOc4q9oUmW1yo/edit?usp=sharing"",""ตาก!J288"")"),1)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IFERROR(__xludf.DUMMYFUNCTION("IMPORTRANGE(""https://docs.google.com/spreadsheets/d/11923uPwbBZFjjGgGUA6NLw09EwE0CqkOc4q9oUmW1yo/edit?usp=sharing"",""ตาก!J289"")"),1)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IFERROR(__xludf.DUMMYFUNCTION("IMPORTRANGE(""https://docs.google.com/spreadsheets/d/11923uPwbBZFjjGgGUA6NLw09EwE0CqkOc4q9oUmW1yo/edit?usp=sharing"",""ตาก!I291"")"),50)</f>
        <v>50</v>
      </c>
      <c r="J396" s="199">
        <f ca="1">IFERROR(__xludf.DUMMYFUNCTION("IMPORTRANGE(""https://docs.google.com/spreadsheets/d/11923uPwbBZFjjGgGUA6NLw09EwE0CqkOc4q9oUmW1yo/edit?usp=sharing"",""ตาก!J291"")"),50)</f>
        <v>50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IFERROR(__xludf.DUMMYFUNCTION("IMPORTRANGE(""https://docs.google.com/spreadsheets/d/11923uPwbBZFjjGgGUA6NLw09EwE0CqkOc4q9oUmW1yo/edit?usp=sharing"",""ตาก!I292"")"),500)</f>
        <v>500</v>
      </c>
      <c r="J397" s="199">
        <f ca="1">IFERROR(__xludf.DUMMYFUNCTION("IMPORTRANGE(""https://docs.google.com/spreadsheets/d/11923uPwbBZFjjGgGUA6NLw09EwE0CqkOc4q9oUmW1yo/edit?usp=sharing"",""ตาก!J292"")"),500)</f>
        <v>500</v>
      </c>
      <c r="K397" s="165">
        <f t="shared" ca="1" si="110"/>
        <v>100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IFERROR(__xludf.DUMMYFUNCTION("IMPORTRANGE(""https://docs.google.com/spreadsheets/d/11923uPwbBZFjjGgGUA6NLw09EwE0CqkOc4q9oUmW1yo/edit?usp=sharing"",""ตาก!I293"")"),50)</f>
        <v>50</v>
      </c>
      <c r="J398" s="199">
        <f ca="1">IFERROR(__xludf.DUMMYFUNCTION("IMPORTRANGE(""https://docs.google.com/spreadsheets/d/11923uPwbBZFjjGgGUA6NLw09EwE0CqkOc4q9oUmW1yo/edit?usp=sharing"",""ตาก!J293"")"),50)</f>
        <v>50</v>
      </c>
      <c r="K398" s="165">
        <f t="shared" ca="1" si="110"/>
        <v>100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IFERROR(__xludf.DUMMYFUNCTION("IMPORTRANGE(""https://docs.google.com/spreadsheets/d/11923uPwbBZFjjGgGUA6NLw09EwE0CqkOc4q9oUmW1yo/edit?usp=sharing"",""ตาก!J294"")"),0)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IFERROR(__xludf.DUMMYFUNCTION("IMPORTRANGE(""https://docs.google.com/spreadsheets/d/11923uPwbBZFjjGgGUA6NLw09EwE0CqkOc4q9oUmW1yo/edit?usp=sharing"",""ตาก!J295"")"),0)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IFERROR(__xludf.DUMMYFUNCTION("IMPORTRANGE(""https://docs.google.com/spreadsheets/d/11923uPwbBZFjjGgGUA6NLw09EwE0CqkOc4q9oUmW1yo/edit?usp=sharing"",""ตาก!I296"")"),225)</f>
        <v>225</v>
      </c>
      <c r="J401" s="372">
        <f ca="1">IFERROR(__xludf.DUMMYFUNCTION("IMPORTRANGE(""https://docs.google.com/spreadsheets/d/11923uPwbBZFjjGgGUA6NLw09EwE0CqkOc4q9oUmW1yo/edit?usp=sharing"",""ตาก!J296"")"),225)</f>
        <v>225</v>
      </c>
      <c r="K401" s="373">
        <f t="shared" ref="K401:K402" ca="1" si="111">IF(I401&gt;0,J401*100/I401,0)</f>
        <v>100</v>
      </c>
      <c r="L401" s="374">
        <f ca="1">IFERROR(__xludf.DUMMYFUNCTION("IMPORTRANGE(""https://docs.google.com/spreadsheets/d/11923uPwbBZFjjGgGUA6NLw09EwE0CqkOc4q9oUmW1yo/edit?usp=sharing"",""ตาก!L296"")"),230370)</f>
        <v>230370</v>
      </c>
      <c r="M401" s="374"/>
      <c r="N401" s="374">
        <f ca="1">IFERROR(__xludf.DUMMYFUNCTION("IMPORTRANGE(""https://docs.google.com/spreadsheets/d/11923uPwbBZFjjGgGUA6NLw09EwE0CqkOc4q9oUmW1yo/edit?usp=sharing"",""ตาก!M296"")"),190789)</f>
        <v>190789</v>
      </c>
      <c r="O401" s="374">
        <f ca="1">+IF(L401&gt;0,N401*100/L401,0)</f>
        <v>82.81850935451665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IFERROR(__xludf.DUMMYFUNCTION("IMPORTRANGE(""https://docs.google.com/spreadsheets/d/11923uPwbBZFjjGgGUA6NLw09EwE0CqkOc4q9oUmW1yo/edit?usp=sharing"",""ตาก!I297"")"),75)</f>
        <v>75</v>
      </c>
      <c r="J402" s="372">
        <f ca="1">IFERROR(__xludf.DUMMYFUNCTION("IMPORTRANGE(""https://docs.google.com/spreadsheets/d/11923uPwbBZFjjGgGUA6NLw09EwE0CqkOc4q9oUmW1yo/edit?usp=sharing"",""ตาก!J297"")"),75)</f>
        <v>75</v>
      </c>
      <c r="K402" s="373">
        <f t="shared" ca="1" si="111"/>
        <v>100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IFERROR(__xludf.DUMMYFUNCTION("IMPORTRANGE(""https://docs.google.com/spreadsheets/d/11923uPwbBZFjjGgGUA6NLw09EwE0CqkOc4q9oUmW1yo/edit?usp=sharing"",""ตาก!L298"")"),0)</f>
        <v>0</v>
      </c>
      <c r="M403" s="166"/>
      <c r="N403" s="170">
        <f ca="1">IFERROR(__xludf.DUMMYFUNCTION("IMPORTRANGE(""https://docs.google.com/spreadsheets/d/11923uPwbBZFjjGgGUA6NLw09EwE0CqkOc4q9oUmW1yo/edit?usp=sharing"",""ตาก!M298"")"),0)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IFERROR(__xludf.DUMMYFUNCTION("IMPORTRANGE(""https://docs.google.com/spreadsheets/d/11923uPwbBZFjjGgGUA6NLw09EwE0CqkOc4q9oUmW1yo/edit?usp=sharing"",""ตาก!L299"")"),230370)</f>
        <v>230370</v>
      </c>
      <c r="M404" s="167"/>
      <c r="N404" s="170">
        <f ca="1">IFERROR(__xludf.DUMMYFUNCTION("IMPORTRANGE(""https://docs.google.com/spreadsheets/d/11923uPwbBZFjjGgGUA6NLw09EwE0CqkOc4q9oUmW1yo/edit?usp=sharing"",""ตาก!M299"")"),190789)</f>
        <v>190789</v>
      </c>
      <c r="O404" s="170">
        <f t="shared" ca="1" si="112"/>
        <v>82.81850935451665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IFERROR(__xludf.DUMMYFUNCTION("IMPORTRANGE(""https://docs.google.com/spreadsheets/d/11923uPwbBZFjjGgGUA6NLw09EwE0CqkOc4q9oUmW1yo/edit?usp=sharing"",""ตาก!L300"")"),0)</f>
        <v>0</v>
      </c>
      <c r="M405" s="170"/>
      <c r="N405" s="170">
        <f ca="1">IFERROR(__xludf.DUMMYFUNCTION("IMPORTRANGE(""https://docs.google.com/spreadsheets/d/11923uPwbBZFjjGgGUA6NLw09EwE0CqkOc4q9oUmW1yo/edit?usp=sharing"",""ตาก!M300"")"),0)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IFERROR(__xludf.DUMMYFUNCTION("IMPORTRANGE(""https://docs.google.com/spreadsheets/d/11923uPwbBZFjjGgGUA6NLw09EwE0CqkOc4q9oUmW1yo/edit?usp=sharing"",""ตาก!L301"")"),230370)</f>
        <v>230370</v>
      </c>
      <c r="M406" s="170"/>
      <c r="N406" s="170">
        <f ca="1">IFERROR(__xludf.DUMMYFUNCTION("IMPORTRANGE(""https://docs.google.com/spreadsheets/d/11923uPwbBZFjjGgGUA6NLw09EwE0CqkOc4q9oUmW1yo/edit?usp=sharing"",""ตาก!M301"")"),190789)</f>
        <v>190789</v>
      </c>
      <c r="O406" s="170">
        <f t="shared" ca="1" si="112"/>
        <v>82.81850935451665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IFERROR(__xludf.DUMMYFUNCTION("IMPORTRANGE(""https://docs.google.com/spreadsheets/d/11923uPwbBZFjjGgGUA6NLw09EwE0CqkOc4q9oUmW1yo/edit?usp=sharing"",""ตาก!M302"")"),119545)</f>
        <v>119545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IFERROR(__xludf.DUMMYFUNCTION("IMPORTRANGE(""https://docs.google.com/spreadsheets/d/11923uPwbBZFjjGgGUA6NLw09EwE0CqkOc4q9oUmW1yo/edit?usp=sharing"",""ตาก!M303"")"),45500)</f>
        <v>45500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IFERROR(__xludf.DUMMYFUNCTION("IMPORTRANGE(""https://docs.google.com/spreadsheets/d/11923uPwbBZFjjGgGUA6NLw09EwE0CqkOc4q9oUmW1yo/edit?usp=sharing"",""ตาก!M304"")"),0)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IFERROR(__xludf.DUMMYFUNCTION("IMPORTRANGE(""https://docs.google.com/spreadsheets/d/11923uPwbBZFjjGgGUA6NLw09EwE0CqkOc4q9oUmW1yo/edit?usp=sharing"",""ตาก!M305"")"),25744)</f>
        <v>25744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IFERROR(__xludf.DUMMYFUNCTION("IMPORTRANGE(""https://docs.google.com/spreadsheets/d/11923uPwbBZFjjGgGUA6NLw09EwE0CqkOc4q9oUmW1yo/edit?usp=sharing"",""ตาก!J307"")"),0)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IFERROR(__xludf.DUMMYFUNCTION("IMPORTRANGE(""https://docs.google.com/spreadsheets/d/11923uPwbBZFjjGgGUA6NLw09EwE0CqkOc4q9oUmW1yo/edit?usp=sharing"",""ตาก!J308"")"),1)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IFERROR(__xludf.DUMMYFUNCTION("IMPORTRANGE(""https://docs.google.com/spreadsheets/d/11923uPwbBZFjjGgGUA6NLw09EwE0CqkOc4q9oUmW1yo/edit?usp=sharing"",""ตาก!J309"")"),1)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IFERROR(__xludf.DUMMYFUNCTION("IMPORTRANGE(""https://docs.google.com/spreadsheets/d/11923uPwbBZFjjGgGUA6NLw09EwE0CqkOc4q9oUmW1yo/edit?usp=sharing"",""ตาก!J310"")"),1)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IFERROR(__xludf.DUMMYFUNCTION("IMPORTRANGE(""https://docs.google.com/spreadsheets/d/11923uPwbBZFjjGgGUA6NLw09EwE0CqkOc4q9oUmW1yo/edit?usp=sharing"",""ตาก!I311"")"),75)</f>
        <v>75</v>
      </c>
      <c r="J416" s="202">
        <f ca="1">IFERROR(__xludf.DUMMYFUNCTION("IMPORTRANGE(""https://docs.google.com/spreadsheets/d/11923uPwbBZFjjGgGUA6NLw09EwE0CqkOc4q9oUmW1yo/edit?usp=sharing"",""ตาก!J311"")"),75)</f>
        <v>75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IFERROR(__xludf.DUMMYFUNCTION("IMPORTRANGE(""https://docs.google.com/spreadsheets/d/11923uPwbBZFjjGgGUA6NLw09EwE0CqkOc4q9oUmW1yo/edit?usp=sharing"",""ตาก!I312"")"),0)</f>
        <v>0</v>
      </c>
      <c r="J417" s="393">
        <f ca="1">IFERROR(__xludf.DUMMYFUNCTION("IMPORTRANGE(""https://docs.google.com/spreadsheets/d/11923uPwbBZFjjGgGUA6NLw09EwE0CqkOc4q9oUmW1yo/edit?usp=sharing"",""ตาก!J312"")"),0)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IFERROR(__xludf.DUMMYFUNCTION("IMPORTRANGE(""https://docs.google.com/spreadsheets/d/11923uPwbBZFjjGgGUA6NLw09EwE0CqkOc4q9oUmW1yo/edit?usp=sharing"",""ตาก!I313"")"),0)</f>
        <v>0</v>
      </c>
      <c r="J418" s="394">
        <f ca="1">IFERROR(__xludf.DUMMYFUNCTION("IMPORTRANGE(""https://docs.google.com/spreadsheets/d/11923uPwbBZFjjGgGUA6NLw09EwE0CqkOc4q9oUmW1yo/edit?usp=sharing"",""ตาก!J313"")"),0)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IFERROR(__xludf.DUMMYFUNCTION("IMPORTRANGE(""https://docs.google.com/spreadsheets/d/11923uPwbBZFjjGgGUA6NLw09EwE0CqkOc4q9oUmW1yo/edit?usp=sharing"",""ตาก!I314"")"),0)</f>
        <v>0</v>
      </c>
      <c r="J419" s="395">
        <f ca="1">IFERROR(__xludf.DUMMYFUNCTION("IMPORTRANGE(""https://docs.google.com/spreadsheets/d/11923uPwbBZFjjGgGUA6NLw09EwE0CqkOc4q9oUmW1yo/edit?usp=sharing"",""ตาก!J314"")"),0)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IFERROR(__xludf.DUMMYFUNCTION("IMPORTRANGE(""https://docs.google.com/spreadsheets/d/11923uPwbBZFjjGgGUA6NLw09EwE0CqkOc4q9oUmW1yo/edit?usp=sharing"",""ตาก!I315"")"),0)</f>
        <v>0</v>
      </c>
      <c r="J420" s="395">
        <f ca="1">IFERROR(__xludf.DUMMYFUNCTION("IMPORTRANGE(""https://docs.google.com/spreadsheets/d/11923uPwbBZFjjGgGUA6NLw09EwE0CqkOc4q9oUmW1yo/edit?usp=sharing"",""ตาก!J315"")"),0)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IFERROR(__xludf.DUMMYFUNCTION("IMPORTRANGE(""https://docs.google.com/spreadsheets/d/11923uPwbBZFjjGgGUA6NLw09EwE0CqkOc4q9oUmW1yo/edit?usp=sharing"",""ตาก!I316"")"),65)</f>
        <v>65</v>
      </c>
      <c r="J421" s="393">
        <f ca="1">IFERROR(__xludf.DUMMYFUNCTION("IMPORTRANGE(""https://docs.google.com/spreadsheets/d/11923uPwbBZFjjGgGUA6NLw09EwE0CqkOc4q9oUmW1yo/edit?usp=sharing"",""ตาก!J316"")"),65)</f>
        <v>65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IFERROR(__xludf.DUMMYFUNCTION("IMPORTRANGE(""https://docs.google.com/spreadsheets/d/11923uPwbBZFjjGgGUA6NLw09EwE0CqkOc4q9oUmW1yo/edit?usp=sharing"",""ตาก!I317"")"),195)</f>
        <v>195</v>
      </c>
      <c r="J422" s="394">
        <f ca="1">IFERROR(__xludf.DUMMYFUNCTION("IMPORTRANGE(""https://docs.google.com/spreadsheets/d/11923uPwbBZFjjGgGUA6NLw09EwE0CqkOc4q9oUmW1yo/edit?usp=sharing"",""ตาก!J317"")"),195)</f>
        <v>195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IFERROR(__xludf.DUMMYFUNCTION("IMPORTRANGE(""https://docs.google.com/spreadsheets/d/11923uPwbBZFjjGgGUA6NLw09EwE0CqkOc4q9oUmW1yo/edit?usp=sharing"",""ตาก!I318"")"),65)</f>
        <v>65</v>
      </c>
      <c r="J423" s="395">
        <f ca="1">IFERROR(__xludf.DUMMYFUNCTION("IMPORTRANGE(""https://docs.google.com/spreadsheets/d/11923uPwbBZFjjGgGUA6NLw09EwE0CqkOc4q9oUmW1yo/edit?usp=sharing"",""ตาก!J318"")"),65)</f>
        <v>65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IFERROR(__xludf.DUMMYFUNCTION("IMPORTRANGE(""https://docs.google.com/spreadsheets/d/11923uPwbBZFjjGgGUA6NLw09EwE0CqkOc4q9oUmW1yo/edit?usp=sharing"",""ตาก!I319"")"),65)</f>
        <v>65</v>
      </c>
      <c r="J424" s="395">
        <f ca="1">IFERROR(__xludf.DUMMYFUNCTION("IMPORTRANGE(""https://docs.google.com/spreadsheets/d/11923uPwbBZFjjGgGUA6NLw09EwE0CqkOc4q9oUmW1yo/edit?usp=sharing"",""ตาก!J319"")"),65)</f>
        <v>65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IFERROR(__xludf.DUMMYFUNCTION("IMPORTRANGE(""https://docs.google.com/spreadsheets/d/11923uPwbBZFjjGgGUA6NLw09EwE0CqkOc4q9oUmW1yo/edit?usp=sharing"",""ตาก!I320"")"),65)</f>
        <v>65</v>
      </c>
      <c r="J425" s="395">
        <f ca="1">IFERROR(__xludf.DUMMYFUNCTION("IMPORTRANGE(""https://docs.google.com/spreadsheets/d/11923uPwbBZFjjGgGUA6NLw09EwE0CqkOc4q9oUmW1yo/edit?usp=sharing"",""ตาก!J320"")"),65)</f>
        <v>65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IFERROR(__xludf.DUMMYFUNCTION("IMPORTRANGE(""https://docs.google.com/spreadsheets/d/11923uPwbBZFjjGgGUA6NLw09EwE0CqkOc4q9oUmW1yo/edit?usp=sharing"",""ตาก!I321"")"),10)</f>
        <v>10</v>
      </c>
      <c r="J426" s="393">
        <f ca="1">IFERROR(__xludf.DUMMYFUNCTION("IMPORTRANGE(""https://docs.google.com/spreadsheets/d/11923uPwbBZFjjGgGUA6NLw09EwE0CqkOc4q9oUmW1yo/edit?usp=sharing"",""ตาก!J321"")"),10)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IFERROR(__xludf.DUMMYFUNCTION("IMPORTRANGE(""https://docs.google.com/spreadsheets/d/11923uPwbBZFjjGgGUA6NLw09EwE0CqkOc4q9oUmW1yo/edit?usp=sharing"",""ตาก!I322"")"),30)</f>
        <v>30</v>
      </c>
      <c r="J427" s="394">
        <f ca="1">IFERROR(__xludf.DUMMYFUNCTION("IMPORTRANGE(""https://docs.google.com/spreadsheets/d/11923uPwbBZFjjGgGUA6NLw09EwE0CqkOc4q9oUmW1yo/edit?usp=sharing"",""ตาก!J322"")"),30)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IFERROR(__xludf.DUMMYFUNCTION("IMPORTRANGE(""https://docs.google.com/spreadsheets/d/11923uPwbBZFjjGgGUA6NLw09EwE0CqkOc4q9oUmW1yo/edit?usp=sharing"",""ตาก!I323"")"),10)</f>
        <v>10</v>
      </c>
      <c r="J428" s="395">
        <f ca="1">IFERROR(__xludf.DUMMYFUNCTION("IMPORTRANGE(""https://docs.google.com/spreadsheets/d/11923uPwbBZFjjGgGUA6NLw09EwE0CqkOc4q9oUmW1yo/edit?usp=sharing"",""ตาก!J323"")"),10)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IFERROR(__xludf.DUMMYFUNCTION("IMPORTRANGE(""https://docs.google.com/spreadsheets/d/11923uPwbBZFjjGgGUA6NLw09EwE0CqkOc4q9oUmW1yo/edit?usp=sharing"",""ตาก!I324"")"),10)</f>
        <v>10</v>
      </c>
      <c r="J429" s="395">
        <f ca="1">IFERROR(__xludf.DUMMYFUNCTION("IMPORTRANGE(""https://docs.google.com/spreadsheets/d/11923uPwbBZFjjGgGUA6NLw09EwE0CqkOc4q9oUmW1yo/edit?usp=sharing"",""ตาก!J324"")"),10)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IFERROR(__xludf.DUMMYFUNCTION("IMPORTRANGE(""https://docs.google.com/spreadsheets/d/11923uPwbBZFjjGgGUA6NLw09EwE0CqkOc4q9oUmW1yo/edit?usp=sharing"",""ตาก!I325"")"),65)</f>
        <v>65</v>
      </c>
      <c r="J430" s="393">
        <f ca="1">IFERROR(__xludf.DUMMYFUNCTION("IMPORTRANGE(""https://docs.google.com/spreadsheets/d/11923uPwbBZFjjGgGUA6NLw09EwE0CqkOc4q9oUmW1yo/edit?usp=sharing"",""ตาก!J325"")"),65)</f>
        <v>65</v>
      </c>
      <c r="K430" s="203">
        <f t="shared" ca="1" si="113"/>
        <v>100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IFERROR(__xludf.DUMMYFUNCTION("IMPORTRANGE(""https://docs.google.com/spreadsheets/d/11923uPwbBZFjjGgGUA6NLw09EwE0CqkOc4q9oUmW1yo/edit?usp=sharing"",""ตาก!I326"")"),0)</f>
        <v>0</v>
      </c>
      <c r="J431" s="395">
        <f ca="1">IFERROR(__xludf.DUMMYFUNCTION("IMPORTRANGE(""https://docs.google.com/spreadsheets/d/11923uPwbBZFjjGgGUA6NLw09EwE0CqkOc4q9oUmW1yo/edit?usp=sharing"",""ตาก!J326"")"),0)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IFERROR(__xludf.DUMMYFUNCTION("IMPORTRANGE(""https://docs.google.com/spreadsheets/d/11923uPwbBZFjjGgGUA6NLw09EwE0CqkOc4q9oUmW1yo/edit?usp=sharing"",""ตาก!I327"")"),65)</f>
        <v>65</v>
      </c>
      <c r="J432" s="395">
        <f ca="1">IFERROR(__xludf.DUMMYFUNCTION("IMPORTRANGE(""https://docs.google.com/spreadsheets/d/11923uPwbBZFjjGgGUA6NLw09EwE0CqkOc4q9oUmW1yo/edit?usp=sharing"",""ตาก!J327"")"),65)</f>
        <v>65</v>
      </c>
      <c r="K432" s="165">
        <f t="shared" ca="1" si="113"/>
        <v>100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IFERROR(__xludf.DUMMYFUNCTION("IMPORTRANGE(""https://docs.google.com/spreadsheets/d/11923uPwbBZFjjGgGUA6NLw09EwE0CqkOc4q9oUmW1yo/edit?usp=sharing"",""ตาก!J328"")"),0)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IFERROR(__xludf.DUMMYFUNCTION("IMPORTRANGE(""https://docs.google.com/spreadsheets/d/11923uPwbBZFjjGgGUA6NLw09EwE0CqkOc4q9oUmW1yo/edit?usp=sharing"",""ตาก!J329"")"),0)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IFERROR(__xludf.DUMMYFUNCTION("IMPORTRANGE(""https://docs.google.com/spreadsheets/d/11923uPwbBZFjjGgGUA6NLw09EwE0CqkOc4q9oUmW1yo/edit?usp=sharing"",""ตาก!I330"")"),20)</f>
        <v>20</v>
      </c>
      <c r="J435" s="411">
        <f ca="1">IFERROR(__xludf.DUMMYFUNCTION("IMPORTRANGE(""https://docs.google.com/spreadsheets/d/11923uPwbBZFjjGgGUA6NLw09EwE0CqkOc4q9oUmW1yo/edit?usp=sharing"",""ตาก!J330"")"),20)</f>
        <v>20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IFERROR(__xludf.DUMMYFUNCTION("IMPORTRANGE(""https://docs.google.com/spreadsheets/d/11923uPwbBZFjjGgGUA6NLw09EwE0CqkOc4q9oUmW1yo/edit?usp=sharing"",""ตาก!L330"")"),100000)</f>
        <v>100000</v>
      </c>
      <c r="M435" s="413"/>
      <c r="N435" s="413">
        <f ca="1">IFERROR(__xludf.DUMMYFUNCTION("IMPORTRANGE(""https://docs.google.com/spreadsheets/d/11923uPwbBZFjjGgGUA6NLw09EwE0CqkOc4q9oUmW1yo/edit?usp=sharing"",""ตาก!M330"")"),68258)</f>
        <v>68258</v>
      </c>
      <c r="O435" s="413">
        <f t="shared" ref="O435:O439" ca="1" si="114">+IF(L435&gt;0,N435*100/L435,0)</f>
        <v>68.257999999999996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IFERROR(__xludf.DUMMYFUNCTION("IMPORTRANGE(""https://docs.google.com/spreadsheets/d/11923uPwbBZFjjGgGUA6NLw09EwE0CqkOc4q9oUmW1yo/edit?usp=sharing"",""ตาก!L331"")"),0)</f>
        <v>0</v>
      </c>
      <c r="M436" s="166"/>
      <c r="N436" s="170">
        <f ca="1">IFERROR(__xludf.DUMMYFUNCTION("IMPORTRANGE(""https://docs.google.com/spreadsheets/d/11923uPwbBZFjjGgGUA6NLw09EwE0CqkOc4q9oUmW1yo/edit?usp=sharing"",""ตาก!M331"")"),0)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IFERROR(__xludf.DUMMYFUNCTION("IMPORTRANGE(""https://docs.google.com/spreadsheets/d/11923uPwbBZFjjGgGUA6NLw09EwE0CqkOc4q9oUmW1yo/edit?usp=sharing"",""ตาก!L332"")"),100000)</f>
        <v>100000</v>
      </c>
      <c r="M437" s="167"/>
      <c r="N437" s="170">
        <f ca="1">IFERROR(__xludf.DUMMYFUNCTION("IMPORTRANGE(""https://docs.google.com/spreadsheets/d/11923uPwbBZFjjGgGUA6NLw09EwE0CqkOc4q9oUmW1yo/edit?usp=sharing"",""ตาก!M332"")"),68258)</f>
        <v>68258</v>
      </c>
      <c r="O437" s="170">
        <f t="shared" ca="1" si="114"/>
        <v>68.257999999999996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IFERROR(__xludf.DUMMYFUNCTION("IMPORTRANGE(""https://docs.google.com/spreadsheets/d/11923uPwbBZFjjGgGUA6NLw09EwE0CqkOc4q9oUmW1yo/edit?usp=sharing"",""ตาก!L333"")"),0)</f>
        <v>0</v>
      </c>
      <c r="M438" s="170"/>
      <c r="N438" s="170">
        <f ca="1">IFERROR(__xludf.DUMMYFUNCTION("IMPORTRANGE(""https://docs.google.com/spreadsheets/d/11923uPwbBZFjjGgGUA6NLw09EwE0CqkOc4q9oUmW1yo/edit?usp=sharing"",""ตาก!M333"")"),0)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IFERROR(__xludf.DUMMYFUNCTION("IMPORTRANGE(""https://docs.google.com/spreadsheets/d/11923uPwbBZFjjGgGUA6NLw09EwE0CqkOc4q9oUmW1yo/edit?usp=sharing"",""ตาก!L334"")"),100000)</f>
        <v>100000</v>
      </c>
      <c r="M439" s="170"/>
      <c r="N439" s="170">
        <f ca="1">IFERROR(__xludf.DUMMYFUNCTION("IMPORTRANGE(""https://docs.google.com/spreadsheets/d/11923uPwbBZFjjGgGUA6NLw09EwE0CqkOc4q9oUmW1yo/edit?usp=sharing"",""ตาก!M334"")"),68258)</f>
        <v>68258</v>
      </c>
      <c r="O439" s="170">
        <f t="shared" ca="1" si="114"/>
        <v>68.257999999999996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IFERROR(__xludf.DUMMYFUNCTION("IMPORTRANGE(""https://docs.google.com/spreadsheets/d/11923uPwbBZFjjGgGUA6NLw09EwE0CqkOc4q9oUmW1yo/edit?usp=sharing"",""ตาก!M335"")"),49200)</f>
        <v>49200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IFERROR(__xludf.DUMMYFUNCTION("IMPORTRANGE(""https://docs.google.com/spreadsheets/d/11923uPwbBZFjjGgGUA6NLw09EwE0CqkOc4q9oUmW1yo/edit?usp=sharing"",""ตาก!M336"")"),0)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IFERROR(__xludf.DUMMYFUNCTION("IMPORTRANGE(""https://docs.google.com/spreadsheets/d/11923uPwbBZFjjGgGUA6NLw09EwE0CqkOc4q9oUmW1yo/edit?usp=sharing"",""ตาก!M337"")"),0)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IFERROR(__xludf.DUMMYFUNCTION("IMPORTRANGE(""https://docs.google.com/spreadsheets/d/11923uPwbBZFjjGgGUA6NLw09EwE0CqkOc4q9oUmW1yo/edit?usp=sharing"",""ตาก!M338"")"),19058)</f>
        <v>19058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IFERROR(__xludf.DUMMYFUNCTION("IMPORTRANGE(""https://docs.google.com/spreadsheets/d/11923uPwbBZFjjGgGUA6NLw09EwE0CqkOc4q9oUmW1yo/edit?usp=sharing"",""ตาก!J340"")"),0)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IFERROR(__xludf.DUMMYFUNCTION("IMPORTRANGE(""https://docs.google.com/spreadsheets/d/11923uPwbBZFjjGgGUA6NLw09EwE0CqkOc4q9oUmW1yo/edit?usp=sharing"",""ตาก!J341"")"),1)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IFERROR(__xludf.DUMMYFUNCTION("IMPORTRANGE(""https://docs.google.com/spreadsheets/d/11923uPwbBZFjjGgGUA6NLw09EwE0CqkOc4q9oUmW1yo/edit?usp=sharing"",""ตาก!J342"")"),1)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IFERROR(__xludf.DUMMYFUNCTION("IMPORTRANGE(""https://docs.google.com/spreadsheets/d/11923uPwbBZFjjGgGUA6NLw09EwE0CqkOc4q9oUmW1yo/edit?usp=sharing"",""ตาก!J343"")"),1)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IFERROR(__xludf.DUMMYFUNCTION("IMPORTRANGE(""https://docs.google.com/spreadsheets/d/11923uPwbBZFjjGgGUA6NLw09EwE0CqkOc4q9oUmW1yo/edit?usp=sharing"",""ตาก!I344"")"),20)</f>
        <v>20</v>
      </c>
      <c r="J449" s="202">
        <f ca="1">IFERROR(__xludf.DUMMYFUNCTION("IMPORTRANGE(""https://docs.google.com/spreadsheets/d/11923uPwbBZFjjGgGUA6NLw09EwE0CqkOc4q9oUmW1yo/edit?usp=sharing"",""ตาก!J344"")"),20)</f>
        <v>20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IFERROR(__xludf.DUMMYFUNCTION("IMPORTRANGE(""https://docs.google.com/spreadsheets/d/11923uPwbBZFjjGgGUA6NLw09EwE0CqkOc4q9oUmW1yo/edit?usp=sharing"",""ตาก!I345"")"),20)</f>
        <v>20</v>
      </c>
      <c r="J450" s="190">
        <f ca="1">IFERROR(__xludf.DUMMYFUNCTION("IMPORTRANGE(""https://docs.google.com/spreadsheets/d/11923uPwbBZFjjGgGUA6NLw09EwE0CqkOc4q9oUmW1yo/edit?usp=sharing"",""ตาก!J345"")"),20)</f>
        <v>20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IFERROR(__xludf.DUMMYFUNCTION("IMPORTRANGE(""https://docs.google.com/spreadsheets/d/11923uPwbBZFjjGgGUA6NLw09EwE0CqkOc4q9oUmW1yo/edit?usp=sharing"",""ตาก!I346"")"),0)</f>
        <v>0</v>
      </c>
      <c r="J451" s="189">
        <f ca="1">IFERROR(__xludf.DUMMYFUNCTION("IMPORTRANGE(""https://docs.google.com/spreadsheets/d/11923uPwbBZFjjGgGUA6NLw09EwE0CqkOc4q9oUmW1yo/edit?usp=sharing"",""ตาก!J346"")"),0)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hidden="1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IFERROR(__xludf.DUMMYFUNCTION("IMPORTRANGE(""https://docs.google.com/spreadsheets/d/11923uPwbBZFjjGgGUA6NLw09EwE0CqkOc4q9oUmW1yo/edit?usp=sharing"",""ตาก!I347"")"),0)</f>
        <v>0</v>
      </c>
      <c r="J452" s="189">
        <f ca="1">IFERROR(__xludf.DUMMYFUNCTION("IMPORTRANGE(""https://docs.google.com/spreadsheets/d/11923uPwbBZFjjGgGUA6NLw09EwE0CqkOc4q9oUmW1yo/edit?usp=sharing"",""ตาก!J347"")"),0)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IFERROR(__xludf.DUMMYFUNCTION("IMPORTRANGE(""https://docs.google.com/spreadsheets/d/11923uPwbBZFjjGgGUA6NLw09EwE0CqkOc4q9oUmW1yo/edit?usp=sharing"",""ตาก!J348"")"),0)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IFERROR(__xludf.DUMMYFUNCTION("IMPORTRANGE(""https://docs.google.com/spreadsheets/d/11923uPwbBZFjjGgGUA6NLw09EwE0CqkOc4q9oUmW1yo/edit?usp=sharing"",""ตาก!J349"")"),0)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IFERROR(__xludf.DUMMYFUNCTION("IMPORTRANGE(""https://docs.google.com/spreadsheets/d/11923uPwbBZFjjGgGUA6NLw09EwE0CqkOc4q9oUmW1yo/edit?usp=sharing"",""ตาก!I350"")"),55356)</f>
        <v>55356</v>
      </c>
      <c r="J455" s="372">
        <f ca="1">IFERROR(__xludf.DUMMYFUNCTION("IMPORTRANGE(""https://docs.google.com/spreadsheets/d/11923uPwbBZFjjGgGUA6NLw09EwE0CqkOc4q9oUmW1yo/edit?usp=sharing"",""ตาก!J350"")"),0)</f>
        <v>0</v>
      </c>
      <c r="K455" s="373">
        <f ca="1">IF(I455&gt;0,J455*100/I455,0)</f>
        <v>0</v>
      </c>
      <c r="L455" s="374">
        <f ca="1">IFERROR(__xludf.DUMMYFUNCTION("IMPORTRANGE(""https://docs.google.com/spreadsheets/d/11923uPwbBZFjjGgGUA6NLw09EwE0CqkOc4q9oUmW1yo/edit?usp=sharing"",""ตาก!L350"")"),462178)</f>
        <v>462178</v>
      </c>
      <c r="M455" s="374"/>
      <c r="N455" s="374">
        <f ca="1">IFERROR(__xludf.DUMMYFUNCTION("IMPORTRANGE(""https://docs.google.com/spreadsheets/d/11923uPwbBZFjjGgGUA6NLw09EwE0CqkOc4q9oUmW1yo/edit?usp=sharing"",""ตาก!M350"")"),159014)</f>
        <v>159014</v>
      </c>
      <c r="O455" s="374">
        <f t="shared" ref="O455:O459" ca="1" si="116">+IF(L455&gt;0,N455*100/L455,0)</f>
        <v>34.405358974248017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IFERROR(__xludf.DUMMYFUNCTION("IMPORTRANGE(""https://docs.google.com/spreadsheets/d/11923uPwbBZFjjGgGUA6NLw09EwE0CqkOc4q9oUmW1yo/edit?usp=sharing"",""ตาก!L351"")"),0)</f>
        <v>0</v>
      </c>
      <c r="M456" s="166"/>
      <c r="N456" s="170">
        <f ca="1">IFERROR(__xludf.DUMMYFUNCTION("IMPORTRANGE(""https://docs.google.com/spreadsheets/d/11923uPwbBZFjjGgGUA6NLw09EwE0CqkOc4q9oUmW1yo/edit?usp=sharing"",""ตาก!M351"")"),0)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IFERROR(__xludf.DUMMYFUNCTION("IMPORTRANGE(""https://docs.google.com/spreadsheets/d/11923uPwbBZFjjGgGUA6NLw09EwE0CqkOc4q9oUmW1yo/edit?usp=sharing"",""ตาก!L352"")"),462178)</f>
        <v>462178</v>
      </c>
      <c r="M457" s="167"/>
      <c r="N457" s="170">
        <f ca="1">IFERROR(__xludf.DUMMYFUNCTION("IMPORTRANGE(""https://docs.google.com/spreadsheets/d/11923uPwbBZFjjGgGUA6NLw09EwE0CqkOc4q9oUmW1yo/edit?usp=sharing"",""ตาก!M352"")"),159014)</f>
        <v>159014</v>
      </c>
      <c r="O457" s="170">
        <f t="shared" ca="1" si="116"/>
        <v>34.405358974248017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IFERROR(__xludf.DUMMYFUNCTION("IMPORTRANGE(""https://docs.google.com/spreadsheets/d/11923uPwbBZFjjGgGUA6NLw09EwE0CqkOc4q9oUmW1yo/edit?usp=sharing"",""ตาก!L353"")"),0)</f>
        <v>0</v>
      </c>
      <c r="M458" s="170"/>
      <c r="N458" s="170">
        <f ca="1">IFERROR(__xludf.DUMMYFUNCTION("IMPORTRANGE(""https://docs.google.com/spreadsheets/d/11923uPwbBZFjjGgGUA6NLw09EwE0CqkOc4q9oUmW1yo/edit?usp=sharing"",""ตาก!M353"")"),0)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IFERROR(__xludf.DUMMYFUNCTION("IMPORTRANGE(""https://docs.google.com/spreadsheets/d/11923uPwbBZFjjGgGUA6NLw09EwE0CqkOc4q9oUmW1yo/edit?usp=sharing"",""ตาก!L354"")"),462178)</f>
        <v>462178</v>
      </c>
      <c r="M459" s="170"/>
      <c r="N459" s="170">
        <f ca="1">IFERROR(__xludf.DUMMYFUNCTION("IMPORTRANGE(""https://docs.google.com/spreadsheets/d/11923uPwbBZFjjGgGUA6NLw09EwE0CqkOc4q9oUmW1yo/edit?usp=sharing"",""ตาก!M354"")"),159014)</f>
        <v>159014</v>
      </c>
      <c r="O459" s="170">
        <f t="shared" ca="1" si="116"/>
        <v>34.405358974248017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IFERROR(__xludf.DUMMYFUNCTION("IMPORTRANGE(""https://docs.google.com/spreadsheets/d/11923uPwbBZFjjGgGUA6NLw09EwE0CqkOc4q9oUmW1yo/edit?usp=sharing"",""ตาก!M355"")"),0)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IFERROR(__xludf.DUMMYFUNCTION("IMPORTRANGE(""https://docs.google.com/spreadsheets/d/11923uPwbBZFjjGgGUA6NLw09EwE0CqkOc4q9oUmW1yo/edit?usp=sharing"",""ตาก!M356"")"),0)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IFERROR(__xludf.DUMMYFUNCTION("IMPORTRANGE(""https://docs.google.com/spreadsheets/d/11923uPwbBZFjjGgGUA6NLw09EwE0CqkOc4q9oUmW1yo/edit?usp=sharing"",""ตาก!M357"")"),54266)</f>
        <v>54266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IFERROR(__xludf.DUMMYFUNCTION("IMPORTRANGE(""https://docs.google.com/spreadsheets/d/11923uPwbBZFjjGgGUA6NLw09EwE0CqkOc4q9oUmW1yo/edit?usp=sharing"",""ตาก!M358"")"),104748)</f>
        <v>104748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IFERROR(__xludf.DUMMYFUNCTION("IMPORTRANGE(""https://docs.google.com/spreadsheets/d/11923uPwbBZFjjGgGUA6NLw09EwE0CqkOc4q9oUmW1yo/edit?usp=sharing"",""ตาก!I359"")"),55356)</f>
        <v>55356</v>
      </c>
      <c r="J464" s="268">
        <f ca="1">IFERROR(__xludf.DUMMYFUNCTION("IMPORTRANGE(""https://docs.google.com/spreadsheets/d/11923uPwbBZFjjGgGUA6NLw09EwE0CqkOc4q9oUmW1yo/edit?usp=sharing"",""ตาก!J359"")"),0)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IFERROR(__xludf.DUMMYFUNCTION("IMPORTRANGE(""https://docs.google.com/spreadsheets/d/11923uPwbBZFjjGgGUA6NLw09EwE0CqkOc4q9oUmW1yo/edit?usp=sharing"",""ตาก!I360"")"),55356)</f>
        <v>55356</v>
      </c>
      <c r="J465" s="422">
        <f ca="1">IFERROR(__xludf.DUMMYFUNCTION("IMPORTRANGE(""https://docs.google.com/spreadsheets/d/11923uPwbBZFjjGgGUA6NLw09EwE0CqkOc4q9oUmW1yo/edit?usp=sharing"",""ตาก!J360"")"),55356)</f>
        <v>55356</v>
      </c>
      <c r="K465" s="203">
        <f t="shared" ca="1" si="117"/>
        <v>100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IFERROR(__xludf.DUMMYFUNCTION("IMPORTRANGE(""https://docs.google.com/spreadsheets/d/11923uPwbBZFjjGgGUA6NLw09EwE0CqkOc4q9oUmW1yo/edit?usp=sharing"",""ตาก!I361"")"),4506)</f>
        <v>4506</v>
      </c>
      <c r="J466" s="422">
        <f ca="1">IFERROR(__xludf.DUMMYFUNCTION("IMPORTRANGE(""https://docs.google.com/spreadsheets/d/11923uPwbBZFjjGgGUA6NLw09EwE0CqkOc4q9oUmW1yo/edit?usp=sharing"",""ตาก!J361"")"),4506)</f>
        <v>4506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IFERROR(__xludf.DUMMYFUNCTION("IMPORTRANGE(""https://docs.google.com/spreadsheets/d/11923uPwbBZFjjGgGUA6NLw09EwE0CqkOc4q9oUmW1yo/edit?usp=sharing"",""ตาก!I362"")"),0)</f>
        <v>0</v>
      </c>
      <c r="J467" s="190">
        <f ca="1">IFERROR(__xludf.DUMMYFUNCTION("IMPORTRANGE(""https://docs.google.com/spreadsheets/d/11923uPwbBZFjjGgGUA6NLw09EwE0CqkOc4q9oUmW1yo/edit?usp=sharing"",""ตาก!J362"")"),48667)</f>
        <v>48667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IFERROR(__xludf.DUMMYFUNCTION("IMPORTRANGE(""https://docs.google.com/spreadsheets/d/11923uPwbBZFjjGgGUA6NLw09EwE0CqkOc4q9oUmW1yo/edit?usp=sharing"",""ตาก!I363"")"),0)</f>
        <v>0</v>
      </c>
      <c r="J468" s="190">
        <f ca="1">IFERROR(__xludf.DUMMYFUNCTION("IMPORTRANGE(""https://docs.google.com/spreadsheets/d/11923uPwbBZFjjGgGUA6NLw09EwE0CqkOc4q9oUmW1yo/edit?usp=sharing"",""ตาก!J363"")"),4096)</f>
        <v>4096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IFERROR(__xludf.DUMMYFUNCTION("IMPORTRANGE(""https://docs.google.com/spreadsheets/d/11923uPwbBZFjjGgGUA6NLw09EwE0CqkOc4q9oUmW1yo/edit?usp=sharing"",""ตาก!I364"")"),0)</f>
        <v>0</v>
      </c>
      <c r="J469" s="190">
        <f ca="1">IFERROR(__xludf.DUMMYFUNCTION("IMPORTRANGE(""https://docs.google.com/spreadsheets/d/11923uPwbBZFjjGgGUA6NLw09EwE0CqkOc4q9oUmW1yo/edit?usp=sharing"",""ตาก!J364"")"),4889)</f>
        <v>4889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IFERROR(__xludf.DUMMYFUNCTION("IMPORTRANGE(""https://docs.google.com/spreadsheets/d/11923uPwbBZFjjGgGUA6NLw09EwE0CqkOc4q9oUmW1yo/edit?usp=sharing"",""ตาก!I365"")"),0)</f>
        <v>0</v>
      </c>
      <c r="J470" s="190">
        <f ca="1">IFERROR(__xludf.DUMMYFUNCTION("IMPORTRANGE(""https://docs.google.com/spreadsheets/d/11923uPwbBZFjjGgGUA6NLw09EwE0CqkOc4q9oUmW1yo/edit?usp=sharing"",""ตาก!J365"")"),302)</f>
        <v>302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IFERROR(__xludf.DUMMYFUNCTION("IMPORTRANGE(""https://docs.google.com/spreadsheets/d/11923uPwbBZFjjGgGUA6NLw09EwE0CqkOc4q9oUmW1yo/edit?usp=sharing"",""ตาก!I366"")"),0)</f>
        <v>0</v>
      </c>
      <c r="J471" s="190">
        <f ca="1">IFERROR(__xludf.DUMMYFUNCTION("IMPORTRANGE(""https://docs.google.com/spreadsheets/d/11923uPwbBZFjjGgGUA6NLw09EwE0CqkOc4q9oUmW1yo/edit?usp=sharing"",""ตาก!J366"")"),1800)</f>
        <v>1800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IFERROR(__xludf.DUMMYFUNCTION("IMPORTRANGE(""https://docs.google.com/spreadsheets/d/11923uPwbBZFjjGgGUA6NLw09EwE0CqkOc4q9oUmW1yo/edit?usp=sharing"",""ตาก!I367"")"),0)</f>
        <v>0</v>
      </c>
      <c r="J472" s="190">
        <f ca="1">IFERROR(__xludf.DUMMYFUNCTION("IMPORTRANGE(""https://docs.google.com/spreadsheets/d/11923uPwbBZFjjGgGUA6NLw09EwE0CqkOc4q9oUmW1yo/edit?usp=sharing"",""ตาก!J367"")"),108)</f>
        <v>108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IFERROR(__xludf.DUMMYFUNCTION("IMPORTRANGE(""https://docs.google.com/spreadsheets/d/11923uPwbBZFjjGgGUA6NLw09EwE0CqkOc4q9oUmW1yo/edit?usp=sharing"",""ตาก!I368"")"),55356)</f>
        <v>55356</v>
      </c>
      <c r="J473" s="422">
        <f ca="1">IFERROR(__xludf.DUMMYFUNCTION("IMPORTRANGE(""https://docs.google.com/spreadsheets/d/11923uPwbBZFjjGgGUA6NLw09EwE0CqkOc4q9oUmW1yo/edit?usp=sharing"",""ตาก!J368"")"),55355.88)</f>
        <v>55355.88</v>
      </c>
      <c r="K473" s="203">
        <f t="shared" ca="1" si="117"/>
        <v>99.999783221331015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IFERROR(__xludf.DUMMYFUNCTION("IMPORTRANGE(""https://docs.google.com/spreadsheets/d/11923uPwbBZFjjGgGUA6NLw09EwE0CqkOc4q9oUmW1yo/edit?usp=sharing"",""ตาก!I369"")"),4506)</f>
        <v>4506</v>
      </c>
      <c r="J474" s="422">
        <f ca="1">IFERROR(__xludf.DUMMYFUNCTION("IMPORTRANGE(""https://docs.google.com/spreadsheets/d/11923uPwbBZFjjGgGUA6NLw09EwE0CqkOc4q9oUmW1yo/edit?usp=sharing"",""ตาก!J369"")"),4506)</f>
        <v>4506</v>
      </c>
      <c r="K474" s="203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IFERROR(__xludf.DUMMYFUNCTION("IMPORTRANGE(""https://docs.google.com/spreadsheets/d/11923uPwbBZFjjGgGUA6NLw09EwE0CqkOc4q9oUmW1yo/edit?usp=sharing"",""ตาก!I370"")"),0)</f>
        <v>0</v>
      </c>
      <c r="J475" s="190">
        <f ca="1">IFERROR(__xludf.DUMMYFUNCTION("IMPORTRANGE(""https://docs.google.com/spreadsheets/d/11923uPwbBZFjjGgGUA6NLw09EwE0CqkOc4q9oUmW1yo/edit?usp=sharing"",""ตาก!J370"")"),49469.19)</f>
        <v>49469.19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IFERROR(__xludf.DUMMYFUNCTION("IMPORTRANGE(""https://docs.google.com/spreadsheets/d/11923uPwbBZFjjGgGUA6NLw09EwE0CqkOc4q9oUmW1yo/edit?usp=sharing"",""ตาก!I371"")"),0)</f>
        <v>0</v>
      </c>
      <c r="J476" s="190">
        <f ca="1">IFERROR(__xludf.DUMMYFUNCTION("IMPORTRANGE(""https://docs.google.com/spreadsheets/d/11923uPwbBZFjjGgGUA6NLw09EwE0CqkOc4q9oUmW1yo/edit?usp=sharing"",""ตาก!J371"")"),4147)</f>
        <v>4147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IFERROR(__xludf.DUMMYFUNCTION("IMPORTRANGE(""https://docs.google.com/spreadsheets/d/11923uPwbBZFjjGgGUA6NLw09EwE0CqkOc4q9oUmW1yo/edit?usp=sharing"",""ตาก!I372"")"),0)</f>
        <v>0</v>
      </c>
      <c r="J477" s="190">
        <f ca="1">IFERROR(__xludf.DUMMYFUNCTION("IMPORTRANGE(""https://docs.google.com/spreadsheets/d/11923uPwbBZFjjGgGUA6NLw09EwE0CqkOc4q9oUmW1yo/edit?usp=sharing"",""ตาก!J372"")"),4946.69)</f>
        <v>4946.6899999999996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IFERROR(__xludf.DUMMYFUNCTION("IMPORTRANGE(""https://docs.google.com/spreadsheets/d/11923uPwbBZFjjGgGUA6NLw09EwE0CqkOc4q9oUmW1yo/edit?usp=sharing"",""ตาก!I373"")"),0)</f>
        <v>0</v>
      </c>
      <c r="J478" s="190">
        <f ca="1">IFERROR(__xludf.DUMMYFUNCTION("IMPORTRANGE(""https://docs.google.com/spreadsheets/d/11923uPwbBZFjjGgGUA6NLw09EwE0CqkOc4q9oUmW1yo/edit?usp=sharing"",""ตาก!J373"")"),292)</f>
        <v>292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IFERROR(__xludf.DUMMYFUNCTION("IMPORTRANGE(""https://docs.google.com/spreadsheets/d/11923uPwbBZFjjGgGUA6NLw09EwE0CqkOc4q9oUmW1yo/edit?usp=sharing"",""ตาก!I374"")"),0)</f>
        <v>0</v>
      </c>
      <c r="J479" s="190">
        <f ca="1">IFERROR(__xludf.DUMMYFUNCTION("IMPORTRANGE(""https://docs.google.com/spreadsheets/d/11923uPwbBZFjjGgGUA6NLw09EwE0CqkOc4q9oUmW1yo/edit?usp=sharing"",""ตาก!J374"")"),940)</f>
        <v>940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IFERROR(__xludf.DUMMYFUNCTION("IMPORTRANGE(""https://docs.google.com/spreadsheets/d/11923uPwbBZFjjGgGUA6NLw09EwE0CqkOc4q9oUmW1yo/edit?usp=sharing"",""ตาก!I375"")"),0)</f>
        <v>0</v>
      </c>
      <c r="J480" s="190">
        <f ca="1">IFERROR(__xludf.DUMMYFUNCTION("IMPORTRANGE(""https://docs.google.com/spreadsheets/d/11923uPwbBZFjjGgGUA6NLw09EwE0CqkOc4q9oUmW1yo/edit?usp=sharing"",""ตาก!J375"")"),67)</f>
        <v>67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IFERROR(__xludf.DUMMYFUNCTION("IMPORTRANGE(""https://docs.google.com/spreadsheets/d/11923uPwbBZFjjGgGUA6NLw09EwE0CqkOc4q9oUmW1yo/edit?usp=sharing"",""ตาก!I376"")"),55356)</f>
        <v>55356</v>
      </c>
      <c r="J481" s="422">
        <f ca="1">IFERROR(__xludf.DUMMYFUNCTION("IMPORTRANGE(""https://docs.google.com/spreadsheets/d/11923uPwbBZFjjGgGUA6NLw09EwE0CqkOc4q9oUmW1yo/edit?usp=sharing"",""ตาก!J376"")"),0)</f>
        <v>0</v>
      </c>
      <c r="K481" s="203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IFERROR(__xludf.DUMMYFUNCTION("IMPORTRANGE(""https://docs.google.com/spreadsheets/d/11923uPwbBZFjjGgGUA6NLw09EwE0CqkOc4q9oUmW1yo/edit?usp=sharing"",""ตาก!I377"")"),4506)</f>
        <v>4506</v>
      </c>
      <c r="J482" s="422">
        <f ca="1">IFERROR(__xludf.DUMMYFUNCTION("IMPORTRANGE(""https://docs.google.com/spreadsheets/d/11923uPwbBZFjjGgGUA6NLw09EwE0CqkOc4q9oUmW1yo/edit?usp=sharing"",""ตาก!J377"")"),0)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IFERROR(__xludf.DUMMYFUNCTION("IMPORTRANGE(""https://docs.google.com/spreadsheets/d/11923uPwbBZFjjGgGUA6NLw09EwE0CqkOc4q9oUmW1yo/edit?usp=sharing"",""ตาก!I378"")"),0)</f>
        <v>0</v>
      </c>
      <c r="J483" s="190">
        <f ca="1">IFERROR(__xludf.DUMMYFUNCTION("IMPORTRANGE(""https://docs.google.com/spreadsheets/d/11923uPwbBZFjjGgGUA6NLw09EwE0CqkOc4q9oUmW1yo/edit?usp=sharing"",""ตาก!J378"")"),0)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IFERROR(__xludf.DUMMYFUNCTION("IMPORTRANGE(""https://docs.google.com/spreadsheets/d/11923uPwbBZFjjGgGUA6NLw09EwE0CqkOc4q9oUmW1yo/edit?usp=sharing"",""ตาก!I379"")"),0)</f>
        <v>0</v>
      </c>
      <c r="J484" s="190">
        <f ca="1">IFERROR(__xludf.DUMMYFUNCTION("IMPORTRANGE(""https://docs.google.com/spreadsheets/d/11923uPwbBZFjjGgGUA6NLw09EwE0CqkOc4q9oUmW1yo/edit?usp=sharing"",""ตาก!J379"")"),0)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IFERROR(__xludf.DUMMYFUNCTION("IMPORTRANGE(""https://docs.google.com/spreadsheets/d/11923uPwbBZFjjGgGUA6NLw09EwE0CqkOc4q9oUmW1yo/edit?usp=sharing"",""ตาก!I380"")"),0)</f>
        <v>0</v>
      </c>
      <c r="J485" s="190">
        <f ca="1">IFERROR(__xludf.DUMMYFUNCTION("IMPORTRANGE(""https://docs.google.com/spreadsheets/d/11923uPwbBZFjjGgGUA6NLw09EwE0CqkOc4q9oUmW1yo/edit?usp=sharing"",""ตาก!J380"")"),0)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IFERROR(__xludf.DUMMYFUNCTION("IMPORTRANGE(""https://docs.google.com/spreadsheets/d/11923uPwbBZFjjGgGUA6NLw09EwE0CqkOc4q9oUmW1yo/edit?usp=sharing"",""ตาก!I381"")"),0)</f>
        <v>0</v>
      </c>
      <c r="J486" s="190">
        <f ca="1">IFERROR(__xludf.DUMMYFUNCTION("IMPORTRANGE(""https://docs.google.com/spreadsheets/d/11923uPwbBZFjjGgGUA6NLw09EwE0CqkOc4q9oUmW1yo/edit?usp=sharing"",""ตาก!J381"")"),0)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IFERROR(__xludf.DUMMYFUNCTION("IMPORTRANGE(""https://docs.google.com/spreadsheets/d/11923uPwbBZFjjGgGUA6NLw09EwE0CqkOc4q9oUmW1yo/edit?usp=sharing"",""ตาก!I382"")"),0)</f>
        <v>0</v>
      </c>
      <c r="J487" s="422">
        <f ca="1">IFERROR(__xludf.DUMMYFUNCTION("IMPORTRANGE(""https://docs.google.com/spreadsheets/d/11923uPwbBZFjjGgGUA6NLw09EwE0CqkOc4q9oUmW1yo/edit?usp=sharing"",""ตาก!J382"")"),0)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IFERROR(__xludf.DUMMYFUNCTION("IMPORTRANGE(""https://docs.google.com/spreadsheets/d/11923uPwbBZFjjGgGUA6NLw09EwE0CqkOc4q9oUmW1yo/edit?usp=sharing"",""ตาก!I383"")"),0)</f>
        <v>0</v>
      </c>
      <c r="J488" s="422">
        <f ca="1">IFERROR(__xludf.DUMMYFUNCTION("IMPORTRANGE(""https://docs.google.com/spreadsheets/d/11923uPwbBZFjjGgGUA6NLw09EwE0CqkOc4q9oUmW1yo/edit?usp=sharing"",""ตาก!J383"")"),0)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IFERROR(__xludf.DUMMYFUNCTION("IMPORTRANGE(""https://docs.google.com/spreadsheets/d/11923uPwbBZFjjGgGUA6NLw09EwE0CqkOc4q9oUmW1yo/edit?usp=sharing"",""ตาก!I384"")"),0)</f>
        <v>0</v>
      </c>
      <c r="J489" s="190">
        <f ca="1">IFERROR(__xludf.DUMMYFUNCTION("IMPORTRANGE(""https://docs.google.com/spreadsheets/d/11923uPwbBZFjjGgGUA6NLw09EwE0CqkOc4q9oUmW1yo/edit?usp=sharing"",""ตาก!J384"")"),0)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IFERROR(__xludf.DUMMYFUNCTION("IMPORTRANGE(""https://docs.google.com/spreadsheets/d/11923uPwbBZFjjGgGUA6NLw09EwE0CqkOc4q9oUmW1yo/edit?usp=sharing"",""ตาก!I385"")"),0)</f>
        <v>0</v>
      </c>
      <c r="J490" s="190">
        <f ca="1">IFERROR(__xludf.DUMMYFUNCTION("IMPORTRANGE(""https://docs.google.com/spreadsheets/d/11923uPwbBZFjjGgGUA6NLw09EwE0CqkOc4q9oUmW1yo/edit?usp=sharing"",""ตาก!J385"")"),0)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IFERROR(__xludf.DUMMYFUNCTION("IMPORTRANGE(""https://docs.google.com/spreadsheets/d/11923uPwbBZFjjGgGUA6NLw09EwE0CqkOc4q9oUmW1yo/edit?usp=sharing"",""ตาก!I386"")"),0)</f>
        <v>0</v>
      </c>
      <c r="J491" s="190">
        <f ca="1">IFERROR(__xludf.DUMMYFUNCTION("IMPORTRANGE(""https://docs.google.com/spreadsheets/d/11923uPwbBZFjjGgGUA6NLw09EwE0CqkOc4q9oUmW1yo/edit?usp=sharing"",""ตาก!J386"")"),0)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IFERROR(__xludf.DUMMYFUNCTION("IMPORTRANGE(""https://docs.google.com/spreadsheets/d/11923uPwbBZFjjGgGUA6NLw09EwE0CqkOc4q9oUmW1yo/edit?usp=sharing"",""ตาก!I387"")"),0)</f>
        <v>0</v>
      </c>
      <c r="J492" s="190">
        <f ca="1">IFERROR(__xludf.DUMMYFUNCTION("IMPORTRANGE(""https://docs.google.com/spreadsheets/d/11923uPwbBZFjjGgGUA6NLw09EwE0CqkOc4q9oUmW1yo/edit?usp=sharing"",""ตาก!J387"")"),0)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IFERROR(__xludf.DUMMYFUNCTION("IMPORTRANGE(""https://docs.google.com/spreadsheets/d/11923uPwbBZFjjGgGUA6NLw09EwE0CqkOc4q9oUmW1yo/edit?usp=sharing"",""ตาก!I388"")"),0)</f>
        <v>0</v>
      </c>
      <c r="J493" s="190">
        <f ca="1">IFERROR(__xludf.DUMMYFUNCTION("IMPORTRANGE(""https://docs.google.com/spreadsheets/d/11923uPwbBZFjjGgGUA6NLw09EwE0CqkOc4q9oUmW1yo/edit?usp=sharing"",""ตาก!J388"")"),0)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IFERROR(__xludf.DUMMYFUNCTION("IMPORTRANGE(""https://docs.google.com/spreadsheets/d/11923uPwbBZFjjGgGUA6NLw09EwE0CqkOc4q9oUmW1yo/edit?usp=sharing"",""ตาก!I389"")"),0)</f>
        <v>0</v>
      </c>
      <c r="J494" s="438">
        <f ca="1">IFERROR(__xludf.DUMMYFUNCTION("IMPORTRANGE(""https://docs.google.com/spreadsheets/d/11923uPwbBZFjjGgGUA6NLw09EwE0CqkOc4q9oUmW1yo/edit?usp=sharing"",""ตาก!J389"")"),0)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IFERROR(__xludf.DUMMYFUNCTION("IMPORTRANGE(""https://docs.google.com/spreadsheets/d/11923uPwbBZFjjGgGUA6NLw09EwE0CqkOc4q9oUmW1yo/edit?usp=sharing"",""ตาก!I390"")"),0)</f>
        <v>0</v>
      </c>
      <c r="J495" s="438">
        <f ca="1">IFERROR(__xludf.DUMMYFUNCTION("IMPORTRANGE(""https://docs.google.com/spreadsheets/d/11923uPwbBZFjjGgGUA6NLw09EwE0CqkOc4q9oUmW1yo/edit?usp=sharing"",""ตาก!J390"")"),0)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IFERROR(__xludf.DUMMYFUNCTION("IMPORTRANGE(""https://docs.google.com/spreadsheets/d/11923uPwbBZFjjGgGUA6NLw09EwE0CqkOc4q9oUmW1yo/edit?usp=sharing"",""ตาก!I391"")"),0)</f>
        <v>0</v>
      </c>
      <c r="J496" s="438">
        <f ca="1">IFERROR(__xludf.DUMMYFUNCTION("IMPORTRANGE(""https://docs.google.com/spreadsheets/d/11923uPwbBZFjjGgGUA6NLw09EwE0CqkOc4q9oUmW1yo/edit?usp=sharing"",""ตาก!J391"")"),0)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IFERROR(__xludf.DUMMYFUNCTION("IMPORTRANGE(""https://docs.google.com/spreadsheets/d/11923uPwbBZFjjGgGUA6NLw09EwE0CqkOc4q9oUmW1yo/edit?usp=sharing"",""ตาก!I392"")"),156)</f>
        <v>156</v>
      </c>
      <c r="J497" s="445">
        <f ca="1">IFERROR(__xludf.DUMMYFUNCTION("IMPORTRANGE(""https://docs.google.com/spreadsheets/d/11923uPwbBZFjjGgGUA6NLw09EwE0CqkOc4q9oUmW1yo/edit?usp=sharing"",""ตาก!J392"")"),0)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IFERROR(__xludf.DUMMYFUNCTION("IMPORTRANGE(""https://docs.google.com/spreadsheets/d/11923uPwbBZFjjGgGUA6NLw09EwE0CqkOc4q9oUmW1yo/edit?usp=sharing"",""ตาก!I393"")"),156)</f>
        <v>156</v>
      </c>
      <c r="J498" s="422">
        <f ca="1">IFERROR(__xludf.DUMMYFUNCTION("IMPORTRANGE(""https://docs.google.com/spreadsheets/d/11923uPwbBZFjjGgGUA6NLw09EwE0CqkOc4q9oUmW1yo/edit?usp=sharing"",""ตาก!J393"")"),0)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IFERROR(__xludf.DUMMYFUNCTION("IMPORTRANGE(""https://docs.google.com/spreadsheets/d/11923uPwbBZFjjGgGUA6NLw09EwE0CqkOc4q9oUmW1yo/edit?usp=sharing"",""ตาก!I394"")"),28)</f>
        <v>28</v>
      </c>
      <c r="J499" s="422">
        <f ca="1">IFERROR(__xludf.DUMMYFUNCTION("IMPORTRANGE(""https://docs.google.com/spreadsheets/d/11923uPwbBZFjjGgGUA6NLw09EwE0CqkOc4q9oUmW1yo/edit?usp=sharing"",""ตาก!J394"")"),0)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IFERROR(__xludf.DUMMYFUNCTION("IMPORTRANGE(""https://docs.google.com/spreadsheets/d/11923uPwbBZFjjGgGUA6NLw09EwE0CqkOc4q9oUmW1yo/edit?usp=sharing"",""ตาก!I395"")"),0)</f>
        <v>0</v>
      </c>
      <c r="J500" s="164">
        <f ca="1">IFERROR(__xludf.DUMMYFUNCTION("IMPORTRANGE(""https://docs.google.com/spreadsheets/d/11923uPwbBZFjjGgGUA6NLw09EwE0CqkOc4q9oUmW1yo/edit?usp=sharing"",""ตาก!J395"")"),0)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IFERROR(__xludf.DUMMYFUNCTION("IMPORTRANGE(""https://docs.google.com/spreadsheets/d/11923uPwbBZFjjGgGUA6NLw09EwE0CqkOc4q9oUmW1yo/edit?usp=sharing"",""ตาก!I396"")"),0)</f>
        <v>0</v>
      </c>
      <c r="J501" s="164">
        <f ca="1">IFERROR(__xludf.DUMMYFUNCTION("IMPORTRANGE(""https://docs.google.com/spreadsheets/d/11923uPwbBZFjjGgGUA6NLw09EwE0CqkOc4q9oUmW1yo/edit?usp=sharing"",""ตาก!J396"")"),0)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IFERROR(__xludf.DUMMYFUNCTION("IMPORTRANGE(""https://docs.google.com/spreadsheets/d/11923uPwbBZFjjGgGUA6NLw09EwE0CqkOc4q9oUmW1yo/edit?usp=sharing"",""ตาก!I397"")"),0)</f>
        <v>0</v>
      </c>
      <c r="J502" s="190">
        <f ca="1">IFERROR(__xludf.DUMMYFUNCTION("IMPORTRANGE(""https://docs.google.com/spreadsheets/d/11923uPwbBZFjjGgGUA6NLw09EwE0CqkOc4q9oUmW1yo/edit?usp=sharing"",""ตาก!J397"")"),0)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IFERROR(__xludf.DUMMYFUNCTION("IMPORTRANGE(""https://docs.google.com/spreadsheets/d/11923uPwbBZFjjGgGUA6NLw09EwE0CqkOc4q9oUmW1yo/edit?usp=sharing"",""ตาก!I398"")"),0)</f>
        <v>0</v>
      </c>
      <c r="J503" s="199">
        <f ca="1">IFERROR(__xludf.DUMMYFUNCTION("IMPORTRANGE(""https://docs.google.com/spreadsheets/d/11923uPwbBZFjjGgGUA6NLw09EwE0CqkOc4q9oUmW1yo/edit?usp=sharing"",""ตาก!J398"")"),0)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IFERROR(__xludf.DUMMYFUNCTION("IMPORTRANGE(""https://docs.google.com/spreadsheets/d/11923uPwbBZFjjGgGUA6NLw09EwE0CqkOc4q9oUmW1yo/edit?usp=sharing"",""ตาก!I399"")"),0)</f>
        <v>0</v>
      </c>
      <c r="J504" s="190">
        <f ca="1">IFERROR(__xludf.DUMMYFUNCTION("IMPORTRANGE(""https://docs.google.com/spreadsheets/d/11923uPwbBZFjjGgGUA6NLw09EwE0CqkOc4q9oUmW1yo/edit?usp=sharing"",""ตาก!J399"")"),0)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IFERROR(__xludf.DUMMYFUNCTION("IMPORTRANGE(""https://docs.google.com/spreadsheets/d/11923uPwbBZFjjGgGUA6NLw09EwE0CqkOc4q9oUmW1yo/edit?usp=sharing"",""ตาก!I400"")"),0)</f>
        <v>0</v>
      </c>
      <c r="J505" s="199">
        <f ca="1">IFERROR(__xludf.DUMMYFUNCTION("IMPORTRANGE(""https://docs.google.com/spreadsheets/d/11923uPwbBZFjjGgGUA6NLw09EwE0CqkOc4q9oUmW1yo/edit?usp=sharing"",""ตาก!J400"")"),0)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IFERROR(__xludf.DUMMYFUNCTION("IMPORTRANGE(""https://docs.google.com/spreadsheets/d/11923uPwbBZFjjGgGUA6NLw09EwE0CqkOc4q9oUmW1yo/edit?usp=sharing"",""ตาก!I401"")"),0)</f>
        <v>0</v>
      </c>
      <c r="J506" s="190">
        <f ca="1">IFERROR(__xludf.DUMMYFUNCTION("IMPORTRANGE(""https://docs.google.com/spreadsheets/d/11923uPwbBZFjjGgGUA6NLw09EwE0CqkOc4q9oUmW1yo/edit?usp=sharing"",""ตาก!J401"")"),0)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IFERROR(__xludf.DUMMYFUNCTION("IMPORTRANGE(""https://docs.google.com/spreadsheets/d/11923uPwbBZFjjGgGUA6NLw09EwE0CqkOc4q9oUmW1yo/edit?usp=sharing"",""ตาก!I402"")"),0)</f>
        <v>0</v>
      </c>
      <c r="J507" s="199">
        <f ca="1">IFERROR(__xludf.DUMMYFUNCTION("IMPORTRANGE(""https://docs.google.com/spreadsheets/d/11923uPwbBZFjjGgGUA6NLw09EwE0CqkOc4q9oUmW1yo/edit?usp=sharing"",""ตาก!J402"")"),0)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IFERROR(__xludf.DUMMYFUNCTION("IMPORTRANGE(""https://docs.google.com/spreadsheets/d/11923uPwbBZFjjGgGUA6NLw09EwE0CqkOc4q9oUmW1yo/edit?usp=sharing"",""ตาก!I403"")"),0)</f>
        <v>0</v>
      </c>
      <c r="J508" s="164">
        <f ca="1">IFERROR(__xludf.DUMMYFUNCTION("IMPORTRANGE(""https://docs.google.com/spreadsheets/d/11923uPwbBZFjjGgGUA6NLw09EwE0CqkOc4q9oUmW1yo/edit?usp=sharing"",""ตาก!J403"")"),0)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IFERROR(__xludf.DUMMYFUNCTION("IMPORTRANGE(""https://docs.google.com/spreadsheets/d/11923uPwbBZFjjGgGUA6NLw09EwE0CqkOc4q9oUmW1yo/edit?usp=sharing"",""ตาก!I404"")"),0)</f>
        <v>0</v>
      </c>
      <c r="J509" s="164">
        <f ca="1">IFERROR(__xludf.DUMMYFUNCTION("IMPORTRANGE(""https://docs.google.com/spreadsheets/d/11923uPwbBZFjjGgGUA6NLw09EwE0CqkOc4q9oUmW1yo/edit?usp=sharing"",""ตาก!J404"")"),0)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IFERROR(__xludf.DUMMYFUNCTION("IMPORTRANGE(""https://docs.google.com/spreadsheets/d/11923uPwbBZFjjGgGUA6NLw09EwE0CqkOc4q9oUmW1yo/edit?usp=sharing"",""ตาก!I405"")"),0)</f>
        <v>0</v>
      </c>
      <c r="J510" s="199">
        <f ca="1">IFERROR(__xludf.DUMMYFUNCTION("IMPORTRANGE(""https://docs.google.com/spreadsheets/d/11923uPwbBZFjjGgGUA6NLw09EwE0CqkOc4q9oUmW1yo/edit?usp=sharing"",""ตาก!J405"")"),0)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IFERROR(__xludf.DUMMYFUNCTION("IMPORTRANGE(""https://docs.google.com/spreadsheets/d/11923uPwbBZFjjGgGUA6NLw09EwE0CqkOc4q9oUmW1yo/edit?usp=sharing"",""ตาก!I406"")"),0)</f>
        <v>0</v>
      </c>
      <c r="J511" s="199">
        <f ca="1">IFERROR(__xludf.DUMMYFUNCTION("IMPORTRANGE(""https://docs.google.com/spreadsheets/d/11923uPwbBZFjjGgGUA6NLw09EwE0CqkOc4q9oUmW1yo/edit?usp=sharing"",""ตาก!J406"")"),0)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IFERROR(__xludf.DUMMYFUNCTION("IMPORTRANGE(""https://docs.google.com/spreadsheets/d/11923uPwbBZFjjGgGUA6NLw09EwE0CqkOc4q9oUmW1yo/edit?usp=sharing"",""ตาก!I407"")"),0)</f>
        <v>0</v>
      </c>
      <c r="J512" s="199">
        <f ca="1">IFERROR(__xludf.DUMMYFUNCTION("IMPORTRANGE(""https://docs.google.com/spreadsheets/d/11923uPwbBZFjjGgGUA6NLw09EwE0CqkOc4q9oUmW1yo/edit?usp=sharing"",""ตาก!J407"")"),0)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IFERROR(__xludf.DUMMYFUNCTION("IMPORTRANGE(""https://docs.google.com/spreadsheets/d/11923uPwbBZFjjGgGUA6NLw09EwE0CqkOc4q9oUmW1yo/edit?usp=sharing"",""ตาก!I408"")"),0)</f>
        <v>0</v>
      </c>
      <c r="J513" s="199">
        <f ca="1">IFERROR(__xludf.DUMMYFUNCTION("IMPORTRANGE(""https://docs.google.com/spreadsheets/d/11923uPwbBZFjjGgGUA6NLw09EwE0CqkOc4q9oUmW1yo/edit?usp=sharing"",""ตาก!J408"")"),0)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IFERROR(__xludf.DUMMYFUNCTION("IMPORTRANGE(""https://docs.google.com/spreadsheets/d/11923uPwbBZFjjGgGUA6NLw09EwE0CqkOc4q9oUmW1yo/edit?usp=sharing"",""ตาก!I409"")"),0)</f>
        <v>0</v>
      </c>
      <c r="J514" s="199">
        <f ca="1">IFERROR(__xludf.DUMMYFUNCTION("IMPORTRANGE(""https://docs.google.com/spreadsheets/d/11923uPwbBZFjjGgGUA6NLw09EwE0CqkOc4q9oUmW1yo/edit?usp=sharing"",""ตาก!J409"")"),0)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IFERROR(__xludf.DUMMYFUNCTION("IMPORTRANGE(""https://docs.google.com/spreadsheets/d/11923uPwbBZFjjGgGUA6NLw09EwE0CqkOc4q9oUmW1yo/edit?usp=sharing"",""ตาก!I410"")"),0)</f>
        <v>0</v>
      </c>
      <c r="J515" s="199">
        <f ca="1">IFERROR(__xludf.DUMMYFUNCTION("IMPORTRANGE(""https://docs.google.com/spreadsheets/d/11923uPwbBZFjjGgGUA6NLw09EwE0CqkOc4q9oUmW1yo/edit?usp=sharing"",""ตาก!J410"")"),0)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IFERROR(__xludf.DUMMYFUNCTION("IMPORTRANGE(""https://docs.google.com/spreadsheets/d/11923uPwbBZFjjGgGUA6NLw09EwE0CqkOc4q9oUmW1yo/edit?usp=sharing"",""ตาก!I411"")"),0)</f>
        <v>0</v>
      </c>
      <c r="J516" s="268">
        <f ca="1">IFERROR(__xludf.DUMMYFUNCTION("IMPORTRANGE(""https://docs.google.com/spreadsheets/d/11923uPwbBZFjjGgGUA6NLw09EwE0CqkOc4q9oUmW1yo/edit?usp=sharing"",""ตาก!J411"")"),0)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IFERROR(__xludf.DUMMYFUNCTION("IMPORTRANGE(""https://docs.google.com/spreadsheets/d/11923uPwbBZFjjGgGUA6NLw09EwE0CqkOc4q9oUmW1yo/edit?usp=sharing"",""ตาก!I412"")"),0)</f>
        <v>0</v>
      </c>
      <c r="J517" s="285">
        <f ca="1">IFERROR(__xludf.DUMMYFUNCTION("IMPORTRANGE(""https://docs.google.com/spreadsheets/d/11923uPwbBZFjjGgGUA6NLw09EwE0CqkOc4q9oUmW1yo/edit?usp=sharing"",""ตาก!J412"")"),0)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IFERROR(__xludf.DUMMYFUNCTION("IMPORTRANGE(""https://docs.google.com/spreadsheets/d/11923uPwbBZFjjGgGUA6NLw09EwE0CqkOc4q9oUmW1yo/edit?usp=sharing"",""ตาก!I413"")"),0)</f>
        <v>0</v>
      </c>
      <c r="J518" s="285">
        <f ca="1">IFERROR(__xludf.DUMMYFUNCTION("IMPORTRANGE(""https://docs.google.com/spreadsheets/d/11923uPwbBZFjjGgGUA6NLw09EwE0CqkOc4q9oUmW1yo/edit?usp=sharing"",""ตาก!J413"")"),0)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IFERROR(__xludf.DUMMYFUNCTION("IMPORTRANGE(""https://docs.google.com/spreadsheets/d/11923uPwbBZFjjGgGUA6NLw09EwE0CqkOc4q9oUmW1yo/edit?usp=sharing"",""ตาก!I414"")"),0)</f>
        <v>0</v>
      </c>
      <c r="J519" s="189">
        <f ca="1">IFERROR(__xludf.DUMMYFUNCTION("IMPORTRANGE(""https://docs.google.com/spreadsheets/d/11923uPwbBZFjjGgGUA6NLw09EwE0CqkOc4q9oUmW1yo/edit?usp=sharing"",""ตาก!J414"")"),0)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IFERROR(__xludf.DUMMYFUNCTION("IMPORTRANGE(""https://docs.google.com/spreadsheets/d/11923uPwbBZFjjGgGUA6NLw09EwE0CqkOc4q9oUmW1yo/edit?usp=sharing"",""ตาก!I415"")"),0)</f>
        <v>0</v>
      </c>
      <c r="J520" s="189">
        <f ca="1">IFERROR(__xludf.DUMMYFUNCTION("IMPORTRANGE(""https://docs.google.com/spreadsheets/d/11923uPwbBZFjjGgGUA6NLw09EwE0CqkOc4q9oUmW1yo/edit?usp=sharing"",""ตาก!J415"")"),0)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IFERROR(__xludf.DUMMYFUNCTION("IMPORTRANGE(""https://docs.google.com/spreadsheets/d/11923uPwbBZFjjGgGUA6NLw09EwE0CqkOc4q9oUmW1yo/edit?usp=sharing"",""ตาก!I416"")"),0)</f>
        <v>0</v>
      </c>
      <c r="J521" s="189">
        <f ca="1">IFERROR(__xludf.DUMMYFUNCTION("IMPORTRANGE(""https://docs.google.com/spreadsheets/d/11923uPwbBZFjjGgGUA6NLw09EwE0CqkOc4q9oUmW1yo/edit?usp=sharing"",""ตาก!J416"")"),0)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IFERROR(__xludf.DUMMYFUNCTION("IMPORTRANGE(""https://docs.google.com/spreadsheets/d/11923uPwbBZFjjGgGUA6NLw09EwE0CqkOc4q9oUmW1yo/edit?usp=sharing"",""ตาก!I417"")"),0)</f>
        <v>0</v>
      </c>
      <c r="J522" s="189">
        <f ca="1">IFERROR(__xludf.DUMMYFUNCTION("IMPORTRANGE(""https://docs.google.com/spreadsheets/d/11923uPwbBZFjjGgGUA6NLw09EwE0CqkOc4q9oUmW1yo/edit?usp=sharing"",""ตาก!J417"")"),0)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IFERROR(__xludf.DUMMYFUNCTION("IMPORTRANGE(""https://docs.google.com/spreadsheets/d/11923uPwbBZFjjGgGUA6NLw09EwE0CqkOc4q9oUmW1yo/edit?usp=sharing"",""ตาก!I418"")"),0)</f>
        <v>0</v>
      </c>
      <c r="J523" s="189">
        <f ca="1">IFERROR(__xludf.DUMMYFUNCTION("IMPORTRANGE(""https://docs.google.com/spreadsheets/d/11923uPwbBZFjjGgGUA6NLw09EwE0CqkOc4q9oUmW1yo/edit?usp=sharing"",""ตาก!J418"")"),112)</f>
        <v>112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IFERROR(__xludf.DUMMYFUNCTION("IMPORTRANGE(""https://docs.google.com/spreadsheets/d/11923uPwbBZFjjGgGUA6NLw09EwE0CqkOc4q9oUmW1yo/edit?usp=sharing"",""ตาก!I419"")"),0)</f>
        <v>0</v>
      </c>
      <c r="J524" s="189">
        <f ca="1">IFERROR(__xludf.DUMMYFUNCTION("IMPORTRANGE(""https://docs.google.com/spreadsheets/d/11923uPwbBZFjjGgGUA6NLw09EwE0CqkOc4q9oUmW1yo/edit?usp=sharing"",""ตาก!J419"")"),3)</f>
        <v>3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IFERROR(__xludf.DUMMYFUNCTION("IMPORTRANGE(""https://docs.google.com/spreadsheets/d/11923uPwbBZFjjGgGUA6NLw09EwE0CqkOc4q9oUmW1yo/edit?usp=sharing"",""ตาก!I420"")"),112)</f>
        <v>112</v>
      </c>
      <c r="J525" s="285">
        <f ca="1">IFERROR(__xludf.DUMMYFUNCTION("IMPORTRANGE(""https://docs.google.com/spreadsheets/d/11923uPwbBZFjjGgGUA6NLw09EwE0CqkOc4q9oUmW1yo/edit?usp=sharing"",""ตาก!J420"")"),0)</f>
        <v>0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IFERROR(__xludf.DUMMYFUNCTION("IMPORTRANGE(""https://docs.google.com/spreadsheets/d/11923uPwbBZFjjGgGUA6NLw09EwE0CqkOc4q9oUmW1yo/edit?usp=sharing"",""ตาก!I421"")"),3)</f>
        <v>3</v>
      </c>
      <c r="J526" s="285">
        <f ca="1">IFERROR(__xludf.DUMMYFUNCTION("IMPORTRANGE(""https://docs.google.com/spreadsheets/d/11923uPwbBZFjjGgGUA6NLw09EwE0CqkOc4q9oUmW1yo/edit?usp=sharing"",""ตาก!J421"")"),0)</f>
        <v>0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IFERROR(__xludf.DUMMYFUNCTION("IMPORTRANGE(""https://docs.google.com/spreadsheets/d/11923uPwbBZFjjGgGUA6NLw09EwE0CqkOc4q9oUmW1yo/edit?usp=sharing"",""ตาก!I422"")"),0)</f>
        <v>0</v>
      </c>
      <c r="J527" s="199">
        <f ca="1">IFERROR(__xludf.DUMMYFUNCTION("IMPORTRANGE(""https://docs.google.com/spreadsheets/d/11923uPwbBZFjjGgGUA6NLw09EwE0CqkOc4q9oUmW1yo/edit?usp=sharing"",""ตาก!J422"")"),0)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IFERROR(__xludf.DUMMYFUNCTION("IMPORTRANGE(""https://docs.google.com/spreadsheets/d/11923uPwbBZFjjGgGUA6NLw09EwE0CqkOc4q9oUmW1yo/edit?usp=sharing"",""ตาก!I423"")"),0)</f>
        <v>0</v>
      </c>
      <c r="J528" s="199">
        <f ca="1">IFERROR(__xludf.DUMMYFUNCTION("IMPORTRANGE(""https://docs.google.com/spreadsheets/d/11923uPwbBZFjjGgGUA6NLw09EwE0CqkOc4q9oUmW1yo/edit?usp=sharing"",""ตาก!J423"")"),0)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IFERROR(__xludf.DUMMYFUNCTION("IMPORTRANGE(""https://docs.google.com/spreadsheets/d/11923uPwbBZFjjGgGUA6NLw09EwE0CqkOc4q9oUmW1yo/edit?usp=sharing"",""ตาก!I424"")"),0)</f>
        <v>0</v>
      </c>
      <c r="J529" s="199">
        <f ca="1">IFERROR(__xludf.DUMMYFUNCTION("IMPORTRANGE(""https://docs.google.com/spreadsheets/d/11923uPwbBZFjjGgGUA6NLw09EwE0CqkOc4q9oUmW1yo/edit?usp=sharing"",""ตาก!J424"")"),0)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IFERROR(__xludf.DUMMYFUNCTION("IMPORTRANGE(""https://docs.google.com/spreadsheets/d/11923uPwbBZFjjGgGUA6NLw09EwE0CqkOc4q9oUmW1yo/edit?usp=sharing"",""ตาก!I425"")"),0)</f>
        <v>0</v>
      </c>
      <c r="J530" s="199">
        <f ca="1">IFERROR(__xludf.DUMMYFUNCTION("IMPORTRANGE(""https://docs.google.com/spreadsheets/d/11923uPwbBZFjjGgGUA6NLw09EwE0CqkOc4q9oUmW1yo/edit?usp=sharing"",""ตาก!J425"")"),0)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IFERROR(__xludf.DUMMYFUNCTION("IMPORTRANGE(""https://docs.google.com/spreadsheets/d/11923uPwbBZFjjGgGUA6NLw09EwE0CqkOc4q9oUmW1yo/edit?usp=sharing"",""ตาก!I426"")"),0)</f>
        <v>0</v>
      </c>
      <c r="J531" s="199">
        <f ca="1">IFERROR(__xludf.DUMMYFUNCTION("IMPORTRANGE(""https://docs.google.com/spreadsheets/d/11923uPwbBZFjjGgGUA6NLw09EwE0CqkOc4q9oUmW1yo/edit?usp=sharing"",""ตาก!J426"")"),0)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IFERROR(__xludf.DUMMYFUNCTION("IMPORTRANGE(""https://docs.google.com/spreadsheets/d/11923uPwbBZFjjGgGUA6NLw09EwE0CqkOc4q9oUmW1yo/edit?usp=sharing"",""ตาก!I427"")"),0)</f>
        <v>0</v>
      </c>
      <c r="J532" s="468">
        <f ca="1">IFERROR(__xludf.DUMMYFUNCTION("IMPORTRANGE(""https://docs.google.com/spreadsheets/d/11923uPwbBZFjjGgGUA6NLw09EwE0CqkOc4q9oUmW1yo/edit?usp=sharing"",""ตาก!J427"")"),0)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IFERROR(__xludf.DUMMYFUNCTION("IMPORTRANGE(""https://docs.google.com/spreadsheets/d/11923uPwbBZFjjGgGUA6NLw09EwE0CqkOc4q9oUmW1yo/edit?usp=sharing"",""ตาก!I428"")"),22)</f>
        <v>22</v>
      </c>
      <c r="J533" s="411">
        <f ca="1">IFERROR(__xludf.DUMMYFUNCTION("IMPORTRANGE(""https://docs.google.com/spreadsheets/d/11923uPwbBZFjjGgGUA6NLw09EwE0CqkOc4q9oUmW1yo/edit?usp=sharing"",""ตาก!J428"")"),22)</f>
        <v>22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IFERROR(__xludf.DUMMYFUNCTION("IMPORTRANGE(""https://docs.google.com/spreadsheets/d/11923uPwbBZFjjGgGUA6NLw09EwE0CqkOc4q9oUmW1yo/edit?usp=sharing"",""ตาก!L428"")"),34340)</f>
        <v>34340</v>
      </c>
      <c r="M533" s="413"/>
      <c r="N533" s="413">
        <f ca="1">IFERROR(__xludf.DUMMYFUNCTION("IMPORTRANGE(""https://docs.google.com/spreadsheets/d/11923uPwbBZFjjGgGUA6NLw09EwE0CqkOc4q9oUmW1yo/edit?usp=sharing"",""ตาก!M428"")"),18740)</f>
        <v>18740</v>
      </c>
      <c r="O533" s="413">
        <f t="shared" ref="O533:O537" ca="1" si="118">+IF(L533&gt;0,N533*100/L533,0)</f>
        <v>54.571927781013393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IFERROR(__xludf.DUMMYFUNCTION("IMPORTRANGE(""https://docs.google.com/spreadsheets/d/11923uPwbBZFjjGgGUA6NLw09EwE0CqkOc4q9oUmW1yo/edit?usp=sharing"",""ตาก!L429"")"),0)</f>
        <v>0</v>
      </c>
      <c r="M534" s="166"/>
      <c r="N534" s="170">
        <f ca="1">IFERROR(__xludf.DUMMYFUNCTION("IMPORTRANGE(""https://docs.google.com/spreadsheets/d/11923uPwbBZFjjGgGUA6NLw09EwE0CqkOc4q9oUmW1yo/edit?usp=sharing"",""ตาก!M429"")"),0)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IFERROR(__xludf.DUMMYFUNCTION("IMPORTRANGE(""https://docs.google.com/spreadsheets/d/11923uPwbBZFjjGgGUA6NLw09EwE0CqkOc4q9oUmW1yo/edit?usp=sharing"",""ตาก!L430"")"),34340)</f>
        <v>34340</v>
      </c>
      <c r="M535" s="167"/>
      <c r="N535" s="170">
        <f ca="1">IFERROR(__xludf.DUMMYFUNCTION("IMPORTRANGE(""https://docs.google.com/spreadsheets/d/11923uPwbBZFjjGgGUA6NLw09EwE0CqkOc4q9oUmW1yo/edit?usp=sharing"",""ตาก!M430"")"),18740)</f>
        <v>18740</v>
      </c>
      <c r="O535" s="170">
        <f t="shared" ca="1" si="118"/>
        <v>54.571927781013393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IFERROR(__xludf.DUMMYFUNCTION("IMPORTRANGE(""https://docs.google.com/spreadsheets/d/11923uPwbBZFjjGgGUA6NLw09EwE0CqkOc4q9oUmW1yo/edit?usp=sharing"",""ตาก!L431"")"),0)</f>
        <v>0</v>
      </c>
      <c r="M536" s="170"/>
      <c r="N536" s="170">
        <f ca="1">IFERROR(__xludf.DUMMYFUNCTION("IMPORTRANGE(""https://docs.google.com/spreadsheets/d/11923uPwbBZFjjGgGUA6NLw09EwE0CqkOc4q9oUmW1yo/edit?usp=sharing"",""ตาก!M431"")"),0)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IFERROR(__xludf.DUMMYFUNCTION("IMPORTRANGE(""https://docs.google.com/spreadsheets/d/11923uPwbBZFjjGgGUA6NLw09EwE0CqkOc4q9oUmW1yo/edit?usp=sharing"",""ตาก!L432"")"),34340)</f>
        <v>34340</v>
      </c>
      <c r="M537" s="170"/>
      <c r="N537" s="170">
        <f ca="1">IFERROR(__xludf.DUMMYFUNCTION("IMPORTRANGE(""https://docs.google.com/spreadsheets/d/11923uPwbBZFjjGgGUA6NLw09EwE0CqkOc4q9oUmW1yo/edit?usp=sharing"",""ตาก!M432"")"),18740)</f>
        <v>18740</v>
      </c>
      <c r="O537" s="170">
        <f t="shared" ca="1" si="118"/>
        <v>54.571927781013393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IFERROR(__xludf.DUMMYFUNCTION("IMPORTRANGE(""https://docs.google.com/spreadsheets/d/11923uPwbBZFjjGgGUA6NLw09EwE0CqkOc4q9oUmW1yo/edit?usp=sharing"",""ตาก!M433"")"),18740)</f>
        <v>18740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IFERROR(__xludf.DUMMYFUNCTION("IMPORTRANGE(""https://docs.google.com/spreadsheets/d/11923uPwbBZFjjGgGUA6NLw09EwE0CqkOc4q9oUmW1yo/edit?usp=sharing"",""ตาก!M434"")"),0)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IFERROR(__xludf.DUMMYFUNCTION("IMPORTRANGE(""https://docs.google.com/spreadsheets/d/11923uPwbBZFjjGgGUA6NLw09EwE0CqkOc4q9oUmW1yo/edit?usp=sharing"",""ตาก!M435"")"),0)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IFERROR(__xludf.DUMMYFUNCTION("IMPORTRANGE(""https://docs.google.com/spreadsheets/d/11923uPwbBZFjjGgGUA6NLw09EwE0CqkOc4q9oUmW1yo/edit?usp=sharing"",""ตาก!M436"")"),0)</f>
        <v>0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IFERROR(__xludf.DUMMYFUNCTION("IMPORTRANGE(""https://docs.google.com/spreadsheets/d/11923uPwbBZFjjGgGUA6NLw09EwE0CqkOc4q9oUmW1yo/edit?usp=sharing"",""ตาก!J438"")"),0)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IFERROR(__xludf.DUMMYFUNCTION("IMPORTRANGE(""https://docs.google.com/spreadsheets/d/11923uPwbBZFjjGgGUA6NLw09EwE0CqkOc4q9oUmW1yo/edit?usp=sharing"",""ตาก!J439"")"),1)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IFERROR(__xludf.DUMMYFUNCTION("IMPORTRANGE(""https://docs.google.com/spreadsheets/d/11923uPwbBZFjjGgGUA6NLw09EwE0CqkOc4q9oUmW1yo/edit?usp=sharing"",""ตาก!J440"")"),1)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IFERROR(__xludf.DUMMYFUNCTION("IMPORTRANGE(""https://docs.google.com/spreadsheets/d/11923uPwbBZFjjGgGUA6NLw09EwE0CqkOc4q9oUmW1yo/edit?usp=sharing"",""ตาก!J441"")"),1)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IFERROR(__xludf.DUMMYFUNCTION("IMPORTRANGE(""https://docs.google.com/spreadsheets/d/11923uPwbBZFjjGgGUA6NLw09EwE0CqkOc4q9oUmW1yo/edit?usp=sharing"",""ตาก!I442"")"),22)</f>
        <v>22</v>
      </c>
      <c r="J547" s="190">
        <f ca="1">IFERROR(__xludf.DUMMYFUNCTION("IMPORTRANGE(""https://docs.google.com/spreadsheets/d/11923uPwbBZFjjGgGUA6NLw09EwE0CqkOc4q9oUmW1yo/edit?usp=sharing"",""ตาก!J442"")"),22)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IFERROR(__xludf.DUMMYFUNCTION("IMPORTRANGE(""https://docs.google.com/spreadsheets/d/11923uPwbBZFjjGgGUA6NLw09EwE0CqkOc4q9oUmW1yo/edit?usp=sharing"",""ตาก!J166"")"),0)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IFERROR(__xludf.DUMMYFUNCTION("IMPORTRANGE(""https://docs.google.com/spreadsheets/d/11923uPwbBZFjjGgGUA6NLw09EwE0CqkOc4q9oUmW1yo/edit?usp=sharing"",""ตาก!J444"")"),0)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IFERROR(__xludf.DUMMYFUNCTION("IMPORTRANGE(""https://docs.google.com/spreadsheets/d/11923uPwbBZFjjGgGUA6NLw09EwE0CqkOc4q9oUmW1yo/edit?usp=sharing"",""ตาก!J445"")"),0)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IFERROR(__xludf.DUMMYFUNCTION("IMPORTRANGE(""https://docs.google.com/spreadsheets/d/11923uPwbBZFjjGgGUA6NLw09EwE0CqkOc4q9oUmW1yo/edit?usp=sharing"",""ตาก!I446"")"),0)</f>
        <v>0</v>
      </c>
      <c r="J551" s="411">
        <f ca="1">IFERROR(__xludf.DUMMYFUNCTION("IMPORTRANGE(""https://docs.google.com/spreadsheets/d/11923uPwbBZFjjGgGUA6NLw09EwE0CqkOc4q9oUmW1yo/edit?usp=sharing"",""ตาก!J446"")"),0)</f>
        <v>0</v>
      </c>
      <c r="K551" s="412">
        <f ca="1">IF(I551&gt;0,J551*100/I551,0)</f>
        <v>0</v>
      </c>
      <c r="L551" s="413">
        <f ca="1">IFERROR(__xludf.DUMMYFUNCTION("IMPORTRANGE(""https://docs.google.com/spreadsheets/d/11923uPwbBZFjjGgGUA6NLw09EwE0CqkOc4q9oUmW1yo/edit?usp=sharing"",""ตาก!L446"")"),0)</f>
        <v>0</v>
      </c>
      <c r="M551" s="413"/>
      <c r="N551" s="413">
        <f ca="1">IFERROR(__xludf.DUMMYFUNCTION("IMPORTRANGE(""https://docs.google.com/spreadsheets/d/11923uPwbBZFjjGgGUA6NLw09EwE0CqkOc4q9oUmW1yo/edit?usp=sharing"",""ตาก!M446"")"),0)</f>
        <v>0</v>
      </c>
      <c r="O551" s="413">
        <f t="shared" ref="O551:O555" ca="1" si="120">+IF(L551&gt;0,N551*100/L551,0)</f>
        <v>0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IFERROR(__xludf.DUMMYFUNCTION("IMPORTRANGE(""https://docs.google.com/spreadsheets/d/11923uPwbBZFjjGgGUA6NLw09EwE0CqkOc4q9oUmW1yo/edit?usp=sharing"",""ตาก!L447"")"),0)</f>
        <v>0</v>
      </c>
      <c r="M552" s="166"/>
      <c r="N552" s="170">
        <f ca="1">IFERROR(__xludf.DUMMYFUNCTION("IMPORTRANGE(""https://docs.google.com/spreadsheets/d/11923uPwbBZFjjGgGUA6NLw09EwE0CqkOc4q9oUmW1yo/edit?usp=sharing"",""ตาก!M447"")"),0)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IFERROR(__xludf.DUMMYFUNCTION("IMPORTRANGE(""https://docs.google.com/spreadsheets/d/11923uPwbBZFjjGgGUA6NLw09EwE0CqkOc4q9oUmW1yo/edit?usp=sharing"",""ตาก!L448"")"),0)</f>
        <v>0</v>
      </c>
      <c r="M553" s="167"/>
      <c r="N553" s="170">
        <f ca="1">IFERROR(__xludf.DUMMYFUNCTION("IMPORTRANGE(""https://docs.google.com/spreadsheets/d/11923uPwbBZFjjGgGUA6NLw09EwE0CqkOc4q9oUmW1yo/edit?usp=sharing"",""ตาก!M448"")"),0)</f>
        <v>0</v>
      </c>
      <c r="O553" s="170">
        <f t="shared" ca="1" si="120"/>
        <v>0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IFERROR(__xludf.DUMMYFUNCTION("IMPORTRANGE(""https://docs.google.com/spreadsheets/d/11923uPwbBZFjjGgGUA6NLw09EwE0CqkOc4q9oUmW1yo/edit?usp=sharing"",""ตาก!L449"")"),0)</f>
        <v>0</v>
      </c>
      <c r="M554" s="170"/>
      <c r="N554" s="170">
        <f ca="1">IFERROR(__xludf.DUMMYFUNCTION("IMPORTRANGE(""https://docs.google.com/spreadsheets/d/11923uPwbBZFjjGgGUA6NLw09EwE0CqkOc4q9oUmW1yo/edit?usp=sharing"",""ตาก!M449"")"),0)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IFERROR(__xludf.DUMMYFUNCTION("IMPORTRANGE(""https://docs.google.com/spreadsheets/d/11923uPwbBZFjjGgGUA6NLw09EwE0CqkOc4q9oUmW1yo/edit?usp=sharing"",""ตาก!L450"")"),0)</f>
        <v>0</v>
      </c>
      <c r="M555" s="170"/>
      <c r="N555" s="170">
        <f ca="1">IFERROR(__xludf.DUMMYFUNCTION("IMPORTRANGE(""https://docs.google.com/spreadsheets/d/11923uPwbBZFjjGgGUA6NLw09EwE0CqkOc4q9oUmW1yo/edit?usp=sharing"",""ตาก!M450"")"),0)</f>
        <v>0</v>
      </c>
      <c r="O555" s="170">
        <f t="shared" ca="1" si="120"/>
        <v>0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IFERROR(__xludf.DUMMYFUNCTION("IMPORTRANGE(""https://docs.google.com/spreadsheets/d/11923uPwbBZFjjGgGUA6NLw09EwE0CqkOc4q9oUmW1yo/edit?usp=sharing"",""ตาก!M451"")"),0)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IFERROR(__xludf.DUMMYFUNCTION("IMPORTRANGE(""https://docs.google.com/spreadsheets/d/11923uPwbBZFjjGgGUA6NLw09EwE0CqkOc4q9oUmW1yo/edit?usp=sharing"",""ตาก!M452"")"),0)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IFERROR(__xludf.DUMMYFUNCTION("IMPORTRANGE(""https://docs.google.com/spreadsheets/d/11923uPwbBZFjjGgGUA6NLw09EwE0CqkOc4q9oUmW1yo/edit?usp=sharing"",""ตาก!M453"")"),0)</f>
        <v>0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IFERROR(__xludf.DUMMYFUNCTION("IMPORTRANGE(""https://docs.google.com/spreadsheets/d/11923uPwbBZFjjGgGUA6NLw09EwE0CqkOc4q9oUmW1yo/edit?usp=sharing"",""ตาก!M454"")"),0)</f>
        <v>0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IFERROR(__xludf.DUMMYFUNCTION("IMPORTRANGE(""https://docs.google.com/spreadsheets/d/11923uPwbBZFjjGgGUA6NLw09EwE0CqkOc4q9oUmW1yo/edit?usp=sharing"",""ตาก!I455"")"),0)</f>
        <v>0</v>
      </c>
      <c r="J560" s="164">
        <f ca="1">IFERROR(__xludf.DUMMYFUNCTION("IMPORTRANGE(""https://docs.google.com/spreadsheets/d/11923uPwbBZFjjGgGUA6NLw09EwE0CqkOc4q9oUmW1yo/edit?usp=sharing"",""ตาก!J455"")"),0)</f>
        <v>0</v>
      </c>
      <c r="K560" s="225">
        <f t="shared" ref="K560:K561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IFERROR(__xludf.DUMMYFUNCTION("IMPORTRANGE(""https://docs.google.com/spreadsheets/d/11923uPwbBZFjjGgGUA6NLw09EwE0CqkOc4q9oUmW1yo/edit?usp=sharing"",""ตาก!I456"")"),0)</f>
        <v>0</v>
      </c>
      <c r="J561" s="205">
        <f ca="1">IFERROR(__xludf.DUMMYFUNCTION("IMPORTRANGE(""https://docs.google.com/spreadsheets/d/11923uPwbBZFjjGgGUA6NLw09EwE0CqkOc4q9oUmW1yo/edit?usp=sharing"",""ตาก!J456"")"),0)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IFERROR(__xludf.DUMMYFUNCTION("IMPORTRANGE(""https://docs.google.com/spreadsheets/d/11923uPwbBZFjjGgGUA6NLw09EwE0CqkOc4q9oUmW1yo/edit?usp=sharing"",""ตาก!I459"")"),1300)</f>
        <v>1300</v>
      </c>
      <c r="J564" s="372">
        <f ca="1">IFERROR(__xludf.DUMMYFUNCTION("IMPORTRANGE(""https://docs.google.com/spreadsheets/d/11923uPwbBZFjjGgGUA6NLw09EwE0CqkOc4q9oUmW1yo/edit?usp=sharing"",""ตาก!J459"")"),1030)</f>
        <v>1030</v>
      </c>
      <c r="K564" s="373">
        <f ca="1">IF(I564&gt;0,J564*100/I564,0)</f>
        <v>79.230769230769226</v>
      </c>
      <c r="L564" s="374">
        <f ca="1">IFERROR(__xludf.DUMMYFUNCTION("IMPORTRANGE(""https://docs.google.com/spreadsheets/d/11923uPwbBZFjjGgGUA6NLw09EwE0CqkOc4q9oUmW1yo/edit?usp=sharing"",""ตาก!L459"")"),128080)</f>
        <v>128080</v>
      </c>
      <c r="M564" s="374"/>
      <c r="N564" s="374">
        <f ca="1">IFERROR(__xludf.DUMMYFUNCTION("IMPORTRANGE(""https://docs.google.com/spreadsheets/d/11923uPwbBZFjjGgGUA6NLw09EwE0CqkOc4q9oUmW1yo/edit?usp=sharing"",""ตาก!M459"")"),60595)</f>
        <v>60595</v>
      </c>
      <c r="O564" s="374">
        <f t="shared" ref="O564:O568" ca="1" si="122">+IF(L564&gt;0,N564*100/L564,0)</f>
        <v>47.310274828232352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IFERROR(__xludf.DUMMYFUNCTION("IMPORTRANGE(""https://docs.google.com/spreadsheets/d/11923uPwbBZFjjGgGUA6NLw09EwE0CqkOc4q9oUmW1yo/edit?usp=sharing"",""ตาก!L460"")"),0)</f>
        <v>0</v>
      </c>
      <c r="M565" s="166"/>
      <c r="N565" s="170">
        <f ca="1">IFERROR(__xludf.DUMMYFUNCTION("IMPORTRANGE(""https://docs.google.com/spreadsheets/d/11923uPwbBZFjjGgGUA6NLw09EwE0CqkOc4q9oUmW1yo/edit?usp=sharing"",""ตาก!M460"")"),0)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IFERROR(__xludf.DUMMYFUNCTION("IMPORTRANGE(""https://docs.google.com/spreadsheets/d/11923uPwbBZFjjGgGUA6NLw09EwE0CqkOc4q9oUmW1yo/edit?usp=sharing"",""ตาก!L461"")"),128080)</f>
        <v>128080</v>
      </c>
      <c r="M566" s="167"/>
      <c r="N566" s="170">
        <f ca="1">IFERROR(__xludf.DUMMYFUNCTION("IMPORTRANGE(""https://docs.google.com/spreadsheets/d/11923uPwbBZFjjGgGUA6NLw09EwE0CqkOc4q9oUmW1yo/edit?usp=sharing"",""ตาก!M461"")"),60595)</f>
        <v>60595</v>
      </c>
      <c r="O566" s="170">
        <f t="shared" ca="1" si="122"/>
        <v>47.310274828232352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IFERROR(__xludf.DUMMYFUNCTION("IMPORTRANGE(""https://docs.google.com/spreadsheets/d/11923uPwbBZFjjGgGUA6NLw09EwE0CqkOc4q9oUmW1yo/edit?usp=sharing"",""ตาก!L462"")"),0)</f>
        <v>0</v>
      </c>
      <c r="M567" s="170"/>
      <c r="N567" s="170">
        <f ca="1">IFERROR(__xludf.DUMMYFUNCTION("IMPORTRANGE(""https://docs.google.com/spreadsheets/d/11923uPwbBZFjjGgGUA6NLw09EwE0CqkOc4q9oUmW1yo/edit?usp=sharing"",""ตาก!M462"")"),0)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IFERROR(__xludf.DUMMYFUNCTION("IMPORTRANGE(""https://docs.google.com/spreadsheets/d/11923uPwbBZFjjGgGUA6NLw09EwE0CqkOc4q9oUmW1yo/edit?usp=sharing"",""ตาก!L463"")"),128080)</f>
        <v>128080</v>
      </c>
      <c r="M568" s="170"/>
      <c r="N568" s="170">
        <f ca="1">IFERROR(__xludf.DUMMYFUNCTION("IMPORTRANGE(""https://docs.google.com/spreadsheets/d/11923uPwbBZFjjGgGUA6NLw09EwE0CqkOc4q9oUmW1yo/edit?usp=sharing"",""ตาก!M463"")"),60595)</f>
        <v>60595</v>
      </c>
      <c r="O568" s="170">
        <f t="shared" ca="1" si="122"/>
        <v>47.310274828232352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IFERROR(__xludf.DUMMYFUNCTION("IMPORTRANGE(""https://docs.google.com/spreadsheets/d/11923uPwbBZFjjGgGUA6NLw09EwE0CqkOc4q9oUmW1yo/edit?usp=sharing"",""ตาก!M464"")"),0)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IFERROR(__xludf.DUMMYFUNCTION("IMPORTRANGE(""https://docs.google.com/spreadsheets/d/11923uPwbBZFjjGgGUA6NLw09EwE0CqkOc4q9oUmW1yo/edit?usp=sharing"",""ตาก!M465"")"),0)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IFERROR(__xludf.DUMMYFUNCTION("IMPORTRANGE(""https://docs.google.com/spreadsheets/d/11923uPwbBZFjjGgGUA6NLw09EwE0CqkOc4q9oUmW1yo/edit?usp=sharing"",""ตาก!M466"")"),31935)</f>
        <v>31935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IFERROR(__xludf.DUMMYFUNCTION("IMPORTRANGE(""https://docs.google.com/spreadsheets/d/11923uPwbBZFjjGgGUA6NLw09EwE0CqkOc4q9oUmW1yo/edit?usp=sharing"",""ตาก!M467"")"),28660)</f>
        <v>28660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IFERROR(__xludf.DUMMYFUNCTION("IMPORTRANGE(""https://docs.google.com/spreadsheets/d/11923uPwbBZFjjGgGUA6NLw09EwE0CqkOc4q9oUmW1yo/edit?usp=sharing"",""ตาก!I468"")"),1300)</f>
        <v>1300</v>
      </c>
      <c r="J573" s="422">
        <f ca="1">IFERROR(__xludf.DUMMYFUNCTION("IMPORTRANGE(""https://docs.google.com/spreadsheets/d/11923uPwbBZFjjGgGUA6NLw09EwE0CqkOc4q9oUmW1yo/edit?usp=sharing"",""ตาก!J468"")"),1030)</f>
        <v>1030</v>
      </c>
      <c r="K573" s="203">
        <f ca="1">IF(I573&gt;0,J573*100/I573,0)</f>
        <v>79.230769230769226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IFERROR(__xludf.DUMMYFUNCTION("IMPORTRANGE(""https://docs.google.com/spreadsheets/d/11923uPwbBZFjjGgGUA6NLw09EwE0CqkOc4q9oUmW1yo/edit?usp=sharing"",""ตาก!I470"")"),0)</f>
        <v>0</v>
      </c>
      <c r="J575" s="199">
        <f ca="1">IFERROR(__xludf.DUMMYFUNCTION("IMPORTRANGE(""https://docs.google.com/spreadsheets/d/11923uPwbBZFjjGgGUA6NLw09EwE0CqkOc4q9oUmW1yo/edit?usp=sharing"",""ตาก!J470"")"),4)</f>
        <v>4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IFERROR(__xludf.DUMMYFUNCTION("IMPORTRANGE(""https://docs.google.com/spreadsheets/d/11923uPwbBZFjjGgGUA6NLw09EwE0CqkOc4q9oUmW1yo/edit?usp=sharing"",""ตาก!I471"")"),0)</f>
        <v>0</v>
      </c>
      <c r="J576" s="199">
        <f ca="1">IFERROR(__xludf.DUMMYFUNCTION("IMPORTRANGE(""https://docs.google.com/spreadsheets/d/11923uPwbBZFjjGgGUA6NLw09EwE0CqkOc4q9oUmW1yo/edit?usp=sharing"",""ตาก!J471"")"),386)</f>
        <v>386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IFERROR(__xludf.DUMMYFUNCTION("IMPORTRANGE(""https://docs.google.com/spreadsheets/d/11923uPwbBZFjjGgGUA6NLw09EwE0CqkOc4q9oUmW1yo/edit?usp=sharing"",""ตาก!I472"")"),0)</f>
        <v>0</v>
      </c>
      <c r="J577" s="190">
        <f ca="1">IFERROR(__xludf.DUMMYFUNCTION("IMPORTRANGE(""https://docs.google.com/spreadsheets/d/11923uPwbBZFjjGgGUA6NLw09EwE0CqkOc4q9oUmW1yo/edit?usp=sharing"",""ตาก!J472"")"),644)</f>
        <v>644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IFERROR(__xludf.DUMMYFUNCTION("IMPORTRANGE(""https://docs.google.com/spreadsheets/d/11923uPwbBZFjjGgGUA6NLw09EwE0CqkOc4q9oUmW1yo/edit?usp=sharing"",""ตาก!I473"")"),0)</f>
        <v>0</v>
      </c>
      <c r="J578" s="199">
        <f ca="1">IFERROR(__xludf.DUMMYFUNCTION("IMPORTRANGE(""https://docs.google.com/spreadsheets/d/11923uPwbBZFjjGgGUA6NLw09EwE0CqkOc4q9oUmW1yo/edit?usp=sharing"",""ตาก!J473"")"),0)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IFERROR(__xludf.DUMMYFUNCTION("IMPORTRANGE(""https://docs.google.com/spreadsheets/d/11923uPwbBZFjjGgGUA6NLw09EwE0CqkOc4q9oUmW1yo/edit?usp=sharing"",""ตาก!I474"")"),0)</f>
        <v>0</v>
      </c>
      <c r="J579" s="199">
        <f ca="1">IFERROR(__xludf.DUMMYFUNCTION("IMPORTRANGE(""https://docs.google.com/spreadsheets/d/11923uPwbBZFjjGgGUA6NLw09EwE0CqkOc4q9oUmW1yo/edit?usp=sharing"",""ตาก!J474"")"),0)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IFERROR(__xludf.DUMMYFUNCTION("IMPORTRANGE(""https://docs.google.com/spreadsheets/d/11923uPwbBZFjjGgGUA6NLw09EwE0CqkOc4q9oUmW1yo/edit?usp=sharing"",""ตาก!I475"")"),220)</f>
        <v>220</v>
      </c>
      <c r="J580" s="372">
        <f ca="1">IFERROR(__xludf.DUMMYFUNCTION("IMPORTRANGE(""https://docs.google.com/spreadsheets/d/11923uPwbBZFjjGgGUA6NLw09EwE0CqkOc4q9oUmW1yo/edit?usp=sharing"",""ตาก!J475"")"),0)</f>
        <v>0</v>
      </c>
      <c r="K580" s="373">
        <f ca="1">IF(I580&gt;0,J580*100/I580,0)</f>
        <v>0</v>
      </c>
      <c r="L580" s="374">
        <f ca="1">IFERROR(__xludf.DUMMYFUNCTION("IMPORTRANGE(""https://docs.google.com/spreadsheets/d/11923uPwbBZFjjGgGUA6NLw09EwE0CqkOc4q9oUmW1yo/edit?usp=sharing"",""ตาก!L475"")"),370020)</f>
        <v>370020</v>
      </c>
      <c r="M580" s="374"/>
      <c r="N580" s="374">
        <f ca="1">IFERROR(__xludf.DUMMYFUNCTION("IMPORTRANGE(""https://docs.google.com/spreadsheets/d/11923uPwbBZFjjGgGUA6NLw09EwE0CqkOc4q9oUmW1yo/edit?usp=sharing"",""ตาก!M475"")"),114070.25)</f>
        <v>114070.25</v>
      </c>
      <c r="O580" s="374">
        <f t="shared" ref="O580:O584" ca="1" si="124">+IF(L580&gt;0,N580*100/L580,0)</f>
        <v>30.828130911842603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IFERROR(__xludf.DUMMYFUNCTION("IMPORTRANGE(""https://docs.google.com/spreadsheets/d/11923uPwbBZFjjGgGUA6NLw09EwE0CqkOc4q9oUmW1yo/edit?usp=sharing"",""ตาก!L476"")"),0)</f>
        <v>0</v>
      </c>
      <c r="M581" s="166"/>
      <c r="N581" s="170">
        <f ca="1">IFERROR(__xludf.DUMMYFUNCTION("IMPORTRANGE(""https://docs.google.com/spreadsheets/d/11923uPwbBZFjjGgGUA6NLw09EwE0CqkOc4q9oUmW1yo/edit?usp=sharing"",""ตาก!M476"")"),0)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IFERROR(__xludf.DUMMYFUNCTION("IMPORTRANGE(""https://docs.google.com/spreadsheets/d/11923uPwbBZFjjGgGUA6NLw09EwE0CqkOc4q9oUmW1yo/edit?usp=sharing"",""ตาก!L477"")"),370020)</f>
        <v>370020</v>
      </c>
      <c r="M582" s="167"/>
      <c r="N582" s="170">
        <f ca="1">IFERROR(__xludf.DUMMYFUNCTION("IMPORTRANGE(""https://docs.google.com/spreadsheets/d/11923uPwbBZFjjGgGUA6NLw09EwE0CqkOc4q9oUmW1yo/edit?usp=sharing"",""ตาก!M477"")"),114070.25)</f>
        <v>114070.25</v>
      </c>
      <c r="O582" s="170">
        <f t="shared" ca="1" si="124"/>
        <v>30.828130911842603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IFERROR(__xludf.DUMMYFUNCTION("IMPORTRANGE(""https://docs.google.com/spreadsheets/d/11923uPwbBZFjjGgGUA6NLw09EwE0CqkOc4q9oUmW1yo/edit?usp=sharing"",""ตาก!L478"")"),0)</f>
        <v>0</v>
      </c>
      <c r="M583" s="170"/>
      <c r="N583" s="170">
        <f ca="1">IFERROR(__xludf.DUMMYFUNCTION("IMPORTRANGE(""https://docs.google.com/spreadsheets/d/11923uPwbBZFjjGgGUA6NLw09EwE0CqkOc4q9oUmW1yo/edit?usp=sharing"",""ตาก!M478"")"),0)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IFERROR(__xludf.DUMMYFUNCTION("IMPORTRANGE(""https://docs.google.com/spreadsheets/d/11923uPwbBZFjjGgGUA6NLw09EwE0CqkOc4q9oUmW1yo/edit?usp=sharing"",""ตาก!L479"")"),370020)</f>
        <v>370020</v>
      </c>
      <c r="M584" s="170"/>
      <c r="N584" s="170">
        <f ca="1">IFERROR(__xludf.DUMMYFUNCTION("IMPORTRANGE(""https://docs.google.com/spreadsheets/d/11923uPwbBZFjjGgGUA6NLw09EwE0CqkOc4q9oUmW1yo/edit?usp=sharing"",""ตาก!M479"")"),114070.25)</f>
        <v>114070.25</v>
      </c>
      <c r="O584" s="170">
        <f t="shared" ca="1" si="124"/>
        <v>30.828130911842603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IFERROR(__xludf.DUMMYFUNCTION("IMPORTRANGE(""https://docs.google.com/spreadsheets/d/11923uPwbBZFjjGgGUA6NLw09EwE0CqkOc4q9oUmW1yo/edit?usp=sharing"",""ตาก!M480"")"),0)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IFERROR(__xludf.DUMMYFUNCTION("IMPORTRANGE(""https://docs.google.com/spreadsheets/d/11923uPwbBZFjjGgGUA6NLw09EwE0CqkOc4q9oUmW1yo/edit?usp=sharing"",""ตาก!M481"")"),0)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IFERROR(__xludf.DUMMYFUNCTION("IMPORTRANGE(""https://docs.google.com/spreadsheets/d/11923uPwbBZFjjGgGUA6NLw09EwE0CqkOc4q9oUmW1yo/edit?usp=sharing"",""ตาก!M482"")"),54266)</f>
        <v>54266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IFERROR(__xludf.DUMMYFUNCTION("IMPORTRANGE(""https://docs.google.com/spreadsheets/d/11923uPwbBZFjjGgGUA6NLw09EwE0CqkOc4q9oUmW1yo/edit?usp=sharing"",""ตาก!M483"")"),59804.25)</f>
        <v>59804.25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IFERROR(__xludf.DUMMYFUNCTION("IMPORTRANGE(""https://docs.google.com/spreadsheets/d/11923uPwbBZFjjGgGUA6NLw09EwE0CqkOc4q9oUmW1yo/edit?usp=sharing"",""ตาก!I484"")"),220)</f>
        <v>220</v>
      </c>
      <c r="J589" s="189">
        <f ca="1">IFERROR(__xludf.DUMMYFUNCTION("IMPORTRANGE(""https://docs.google.com/spreadsheets/d/11923uPwbBZFjjGgGUA6NLw09EwE0CqkOc4q9oUmW1yo/edit?usp=sharing"",""ตาก!J484"")"),0)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IFERROR(__xludf.DUMMYFUNCTION("IMPORTRANGE(""https://docs.google.com/spreadsheets/d/11923uPwbBZFjjGgGUA6NLw09EwE0CqkOc4q9oUmW1yo/edit?usp=sharing"",""ตาก!I485"")"),0)</f>
        <v>0</v>
      </c>
      <c r="J590" s="189">
        <f ca="1">IFERROR(__xludf.DUMMYFUNCTION("IMPORTRANGE(""https://docs.google.com/spreadsheets/d/11923uPwbBZFjjGgGUA6NLw09EwE0CqkOc4q9oUmW1yo/edit?usp=sharing"",""ตาก!J485"")"),0)</f>
        <v>0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IFERROR(__xludf.DUMMYFUNCTION("IMPORTRANGE(""https://docs.google.com/spreadsheets/d/11923uPwbBZFjjGgGUA6NLw09EwE0CqkOc4q9oUmW1yo/edit?usp=sharing"",""ตาก!I486"")"),220)</f>
        <v>220</v>
      </c>
      <c r="J591" s="189">
        <f ca="1">IFERROR(__xludf.DUMMYFUNCTION("IMPORTRANGE(""https://docs.google.com/spreadsheets/d/11923uPwbBZFjjGgGUA6NLw09EwE0CqkOc4q9oUmW1yo/edit?usp=sharing"",""ตาก!J486"")"),0)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IFERROR(__xludf.DUMMYFUNCTION("IMPORTRANGE(""https://docs.google.com/spreadsheets/d/11923uPwbBZFjjGgGUA6NLw09EwE0CqkOc4q9oUmW1yo/edit?usp=sharing"",""ตาก!I487"")"),0)</f>
        <v>0</v>
      </c>
      <c r="J592" s="189">
        <f ca="1">IFERROR(__xludf.DUMMYFUNCTION("IMPORTRANGE(""https://docs.google.com/spreadsheets/d/11923uPwbBZFjjGgGUA6NLw09EwE0CqkOc4q9oUmW1yo/edit?usp=sharing"",""ตาก!J487"")"),0)</f>
        <v>0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IFERROR(__xludf.DUMMYFUNCTION("IMPORTRANGE(""https://docs.google.com/spreadsheets/d/11923uPwbBZFjjGgGUA6NLw09EwE0CqkOc4q9oUmW1yo/edit?usp=sharing"",""ตาก!I488"")"),220)</f>
        <v>220</v>
      </c>
      <c r="J593" s="189">
        <f ca="1">IFERROR(__xludf.DUMMYFUNCTION("IMPORTRANGE(""https://docs.google.com/spreadsheets/d/11923uPwbBZFjjGgGUA6NLw09EwE0CqkOc4q9oUmW1yo/edit?usp=sharing"",""ตาก!J488"")"),0)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IFERROR(__xludf.DUMMYFUNCTION("IMPORTRANGE(""https://docs.google.com/spreadsheets/d/11923uPwbBZFjjGgGUA6NLw09EwE0CqkOc4q9oUmW1yo/edit?usp=sharing"",""ตาก!I489"")"),0)</f>
        <v>0</v>
      </c>
      <c r="J594" s="189">
        <f ca="1">IFERROR(__xludf.DUMMYFUNCTION("IMPORTRANGE(""https://docs.google.com/spreadsheets/d/11923uPwbBZFjjGgGUA6NLw09EwE0CqkOc4q9oUmW1yo/edit?usp=sharing"",""ตาก!J489"")"),0)</f>
        <v>0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IFERROR(__xludf.DUMMYFUNCTION("IMPORTRANGE(""https://docs.google.com/spreadsheets/d/11923uPwbBZFjjGgGUA6NLw09EwE0CqkOc4q9oUmW1yo/edit?usp=sharing"",""ตาก!I490"")"),220)</f>
        <v>220</v>
      </c>
      <c r="J595" s="189">
        <f ca="1">IFERROR(__xludf.DUMMYFUNCTION("IMPORTRANGE(""https://docs.google.com/spreadsheets/d/11923uPwbBZFjjGgGUA6NLw09EwE0CqkOc4q9oUmW1yo/edit?usp=sharing"",""ตาก!J490"")"),0)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IFERROR(__xludf.DUMMYFUNCTION("IMPORTRANGE(""https://docs.google.com/spreadsheets/d/11923uPwbBZFjjGgGUA6NLw09EwE0CqkOc4q9oUmW1yo/edit?usp=sharing"",""ตาก!I491"")"),0)</f>
        <v>0</v>
      </c>
      <c r="J596" s="242">
        <f ca="1">IFERROR(__xludf.DUMMYFUNCTION("IMPORTRANGE(""https://docs.google.com/spreadsheets/d/11923uPwbBZFjjGgGUA6NLw09EwE0CqkOc4q9oUmW1yo/edit?usp=sharing"",""ตาก!J491"")"),0)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IFERROR(__xludf.DUMMYFUNCTION("IMPORTRANGE(""https://docs.google.com/spreadsheets/d/11923uPwbBZFjjGgGUA6NLw09EwE0CqkOc4q9oUmW1yo/edit?usp=sharing"",""ตาก!I492"")"),100)</f>
        <v>100</v>
      </c>
      <c r="J597" s="489">
        <f ca="1">IFERROR(__xludf.DUMMYFUNCTION("IMPORTRANGE(""https://docs.google.com/spreadsheets/d/11923uPwbBZFjjGgGUA6NLw09EwE0CqkOc4q9oUmW1yo/edit?usp=sharing"",""ตาก!J492"")"),0)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IFERROR(__xludf.DUMMYFUNCTION("IMPORTRANGE(""https://docs.google.com/spreadsheets/d/11923uPwbBZFjjGgGUA6NLw09EwE0CqkOc4q9oUmW1yo/edit?usp=sharing"",""ตาก!L492"")"),8100)</f>
        <v>8100</v>
      </c>
      <c r="M597" s="413"/>
      <c r="N597" s="413">
        <f ca="1">IFERROR(__xludf.DUMMYFUNCTION("IMPORTRANGE(""https://docs.google.com/spreadsheets/d/11923uPwbBZFjjGgGUA6NLw09EwE0CqkOc4q9oUmW1yo/edit?usp=sharing"",""ตาก!M492"")"),800)</f>
        <v>800</v>
      </c>
      <c r="O597" s="413">
        <f t="shared" ref="O597:O601" ca="1" si="126">+IF(L597&gt;0,N597*100/L597,0)</f>
        <v>9.8765432098765427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IFERROR(__xludf.DUMMYFUNCTION("IMPORTRANGE(""https://docs.google.com/spreadsheets/d/11923uPwbBZFjjGgGUA6NLw09EwE0CqkOc4q9oUmW1yo/edit?usp=sharing"",""ตาก!L493"")"),0)</f>
        <v>0</v>
      </c>
      <c r="M598" s="166"/>
      <c r="N598" s="170">
        <f ca="1">IFERROR(__xludf.DUMMYFUNCTION("IMPORTRANGE(""https://docs.google.com/spreadsheets/d/11923uPwbBZFjjGgGUA6NLw09EwE0CqkOc4q9oUmW1yo/edit?usp=sharing"",""ตาก!M493"")"),0)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IFERROR(__xludf.DUMMYFUNCTION("IMPORTRANGE(""https://docs.google.com/spreadsheets/d/11923uPwbBZFjjGgGUA6NLw09EwE0CqkOc4q9oUmW1yo/edit?usp=sharing"",""ตาก!L494"")"),8100)</f>
        <v>8100</v>
      </c>
      <c r="M599" s="167"/>
      <c r="N599" s="170">
        <f ca="1">IFERROR(__xludf.DUMMYFUNCTION("IMPORTRANGE(""https://docs.google.com/spreadsheets/d/11923uPwbBZFjjGgGUA6NLw09EwE0CqkOc4q9oUmW1yo/edit?usp=sharing"",""ตาก!M494"")"),800)</f>
        <v>800</v>
      </c>
      <c r="O599" s="170">
        <f t="shared" ca="1" si="126"/>
        <v>9.8765432098765427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IFERROR(__xludf.DUMMYFUNCTION("IMPORTRANGE(""https://docs.google.com/spreadsheets/d/11923uPwbBZFjjGgGUA6NLw09EwE0CqkOc4q9oUmW1yo/edit?usp=sharing"",""ตาก!L495"")"),0)</f>
        <v>0</v>
      </c>
      <c r="M600" s="170"/>
      <c r="N600" s="170">
        <f ca="1">IFERROR(__xludf.DUMMYFUNCTION("IMPORTRANGE(""https://docs.google.com/spreadsheets/d/11923uPwbBZFjjGgGUA6NLw09EwE0CqkOc4q9oUmW1yo/edit?usp=sharing"",""ตาก!M495"")"),0)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IFERROR(__xludf.DUMMYFUNCTION("IMPORTRANGE(""https://docs.google.com/spreadsheets/d/11923uPwbBZFjjGgGUA6NLw09EwE0CqkOc4q9oUmW1yo/edit?usp=sharing"",""ตาก!L496"")"),8100)</f>
        <v>8100</v>
      </c>
      <c r="M601" s="170"/>
      <c r="N601" s="170">
        <f ca="1">IFERROR(__xludf.DUMMYFUNCTION("IMPORTRANGE(""https://docs.google.com/spreadsheets/d/11923uPwbBZFjjGgGUA6NLw09EwE0CqkOc4q9oUmW1yo/edit?usp=sharing"",""ตาก!M496"")"),800)</f>
        <v>800</v>
      </c>
      <c r="O601" s="170">
        <f t="shared" ca="1" si="126"/>
        <v>9.8765432098765427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IFERROR(__xludf.DUMMYFUNCTION("IMPORTRANGE(""https://docs.google.com/spreadsheets/d/11923uPwbBZFjjGgGUA6NLw09EwE0CqkOc4q9oUmW1yo/edit?usp=sharing"",""ตาก!M497"")"),0)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IFERROR(__xludf.DUMMYFUNCTION("IMPORTRANGE(""https://docs.google.com/spreadsheets/d/11923uPwbBZFjjGgGUA6NLw09EwE0CqkOc4q9oUmW1yo/edit?usp=sharing"",""ตาก!M498"")"),0)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IFERROR(__xludf.DUMMYFUNCTION("IMPORTRANGE(""https://docs.google.com/spreadsheets/d/11923uPwbBZFjjGgGUA6NLw09EwE0CqkOc4q9oUmW1yo/edit?usp=sharing"",""ตาก!M499"")"),0)</f>
        <v>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IFERROR(__xludf.DUMMYFUNCTION("IMPORTRANGE(""https://docs.google.com/spreadsheets/d/11923uPwbBZFjjGgGUA6NLw09EwE0CqkOc4q9oUmW1yo/edit?usp=sharing"",""ตาก!M500"")"),800)</f>
        <v>800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IFERROR(__xludf.DUMMYFUNCTION("IMPORTRANGE(""https://docs.google.com/spreadsheets/d/11923uPwbBZFjjGgGUA6NLw09EwE0CqkOc4q9oUmW1yo/edit?usp=sharing"",""ตาก!J502"")"),0)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IFERROR(__xludf.DUMMYFUNCTION("IMPORTRANGE(""https://docs.google.com/spreadsheets/d/11923uPwbBZFjjGgGUA6NLw09EwE0CqkOc4q9oUmW1yo/edit?usp=sharing"",""ตาก!J503"")"),1)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IFERROR(__xludf.DUMMYFUNCTION("IMPORTRANGE(""https://docs.google.com/spreadsheets/d/11923uPwbBZFjjGgGUA6NLw09EwE0CqkOc4q9oUmW1yo/edit?usp=sharing"",""ตาก!J166"")"),0)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IFERROR(__xludf.DUMMYFUNCTION("IMPORTRANGE(""https://docs.google.com/spreadsheets/d/11923uPwbBZFjjGgGUA6NLw09EwE0CqkOc4q9oUmW1yo/edit?usp=sharing"",""ตาก!J166"")"),0)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IFERROR(__xludf.DUMMYFUNCTION("IMPORTRANGE(""https://docs.google.com/spreadsheets/d/11923uPwbBZFjjGgGUA6NLw09EwE0CqkOc4q9oUmW1yo/edit?usp=sharing"",""ตาก!I506"")"),100)</f>
        <v>100</v>
      </c>
      <c r="J611" s="164">
        <f ca="1">IFERROR(__xludf.DUMMYFUNCTION("IMPORTRANGE(""https://docs.google.com/spreadsheets/d/11923uPwbBZFjjGgGUA6NLw09EwE0CqkOc4q9oUmW1yo/edit?usp=sharing"",""ตาก!J506"")"),0)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IFERROR(__xludf.DUMMYFUNCTION("IMPORTRANGE(""https://docs.google.com/spreadsheets/d/11923uPwbBZFjjGgGUA6NLw09EwE0CqkOc4q9oUmW1yo/edit?usp=sharing"",""ตาก!I507"")"),0)</f>
        <v>0</v>
      </c>
      <c r="J612" s="199">
        <f ca="1">IFERROR(__xludf.DUMMYFUNCTION("IMPORTRANGE(""https://docs.google.com/spreadsheets/d/11923uPwbBZFjjGgGUA6NLw09EwE0CqkOc4q9oUmW1yo/edit?usp=sharing"",""ตาก!J507"")"),0)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IFERROR(__xludf.DUMMYFUNCTION("IMPORTRANGE(""https://docs.google.com/spreadsheets/d/11923uPwbBZFjjGgGUA6NLw09EwE0CqkOc4q9oUmW1yo/edit?usp=sharing"",""ตาก!I508"")"),0)</f>
        <v>0</v>
      </c>
      <c r="J613" s="199">
        <f ca="1">IFERROR(__xludf.DUMMYFUNCTION("IMPORTRANGE(""https://docs.google.com/spreadsheets/d/11923uPwbBZFjjGgGUA6NLw09EwE0CqkOc4q9oUmW1yo/edit?usp=sharing"",""ตาก!J508"")"),0)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IFERROR(__xludf.DUMMYFUNCTION("IMPORTRANGE(""https://docs.google.com/spreadsheets/d/11923uPwbBZFjjGgGUA6NLw09EwE0CqkOc4q9oUmW1yo/edit?usp=sharing"",""ตาก!I509"")"),0)</f>
        <v>0</v>
      </c>
      <c r="J614" s="199">
        <f ca="1">IFERROR(__xludf.DUMMYFUNCTION("IMPORTRANGE(""https://docs.google.com/spreadsheets/d/11923uPwbBZFjjGgGUA6NLw09EwE0CqkOc4q9oUmW1yo/edit?usp=sharing"",""ตาก!J509"")"),0)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IFERROR(__xludf.DUMMYFUNCTION("IMPORTRANGE(""https://docs.google.com/spreadsheets/d/11923uPwbBZFjjGgGUA6NLw09EwE0CqkOc4q9oUmW1yo/edit?usp=sharing"",""ตาก!I510"")"),0)</f>
        <v>0</v>
      </c>
      <c r="J615" s="199">
        <f ca="1">IFERROR(__xludf.DUMMYFUNCTION("IMPORTRANGE(""https://docs.google.com/spreadsheets/d/11923uPwbBZFjjGgGUA6NLw09EwE0CqkOc4q9oUmW1yo/edit?usp=sharing"",""ตาก!J510"")"),0)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IFERROR(__xludf.DUMMYFUNCTION("IMPORTRANGE(""https://docs.google.com/spreadsheets/d/11923uPwbBZFjjGgGUA6NLw09EwE0CqkOc4q9oUmW1yo/edit?usp=sharing"",""ตาก!I511"")"),0)</f>
        <v>0</v>
      </c>
      <c r="J616" s="199">
        <f ca="1">IFERROR(__xludf.DUMMYFUNCTION("IMPORTRANGE(""https://docs.google.com/spreadsheets/d/11923uPwbBZFjjGgGUA6NLw09EwE0CqkOc4q9oUmW1yo/edit?usp=sharing"",""ตาก!J511"")"),0)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IFERROR(__xludf.DUMMYFUNCTION("IMPORTRANGE(""https://docs.google.com/spreadsheets/d/11923uPwbBZFjjGgGUA6NLw09EwE0CqkOc4q9oUmW1yo/edit?usp=sharing"",""ตาก!I512"")"),0)</f>
        <v>0</v>
      </c>
      <c r="J617" s="189">
        <f ca="1">IFERROR(__xludf.DUMMYFUNCTION("IMPORTRANGE(""https://docs.google.com/spreadsheets/d/11923uPwbBZFjjGgGUA6NLw09EwE0CqkOc4q9oUmW1yo/edit?usp=sharing"",""ตาก!J512"")"),0)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IFERROR(__xludf.DUMMYFUNCTION("IMPORTRANGE(""https://docs.google.com/spreadsheets/d/11923uPwbBZFjjGgGUA6NLw09EwE0CqkOc4q9oUmW1yo/edit?usp=sharing"",""ตาก!I513"")"),0)</f>
        <v>0</v>
      </c>
      <c r="J618" s="190">
        <f ca="1">IFERROR(__xludf.DUMMYFUNCTION("IMPORTRANGE(""https://docs.google.com/spreadsheets/d/11923uPwbBZFjjGgGUA6NLw09EwE0CqkOc4q9oUmW1yo/edit?usp=sharing"",""ตาก!J513"")"),0)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IFERROR(__xludf.DUMMYFUNCTION("IMPORTRANGE(""https://docs.google.com/spreadsheets/d/11923uPwbBZFjjGgGUA6NLw09EwE0CqkOc4q9oUmW1yo/edit?usp=sharing"",""ตาก!I514"")"),0)</f>
        <v>0</v>
      </c>
      <c r="J619" s="190">
        <f ca="1">IFERROR(__xludf.DUMMYFUNCTION("IMPORTRANGE(""https://docs.google.com/spreadsheets/d/11923uPwbBZFjjGgGUA6NLw09EwE0CqkOc4q9oUmW1yo/edit?usp=sharing"",""ตาก!J514"")"),0)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IFERROR(__xludf.DUMMYFUNCTION("IMPORTRANGE(""https://docs.google.com/spreadsheets/d/11923uPwbBZFjjGgGUA6NLw09EwE0CqkOc4q9oUmW1yo/edit?usp=sharing"",""ตาก!I515"")"),0)</f>
        <v>0</v>
      </c>
      <c r="J620" s="204">
        <f ca="1">IFERROR(__xludf.DUMMYFUNCTION("IMPORTRANGE(""https://docs.google.com/spreadsheets/d/11923uPwbBZFjjGgGUA6NLw09EwE0CqkOc4q9oUmW1yo/edit?usp=sharing"",""ตาก!J515"")"),0)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IFERROR(__xludf.DUMMYFUNCTION("IMPORTRANGE(""https://docs.google.com/spreadsheets/d/11923uPwbBZFjjGgGUA6NLw09EwE0CqkOc4q9oUmW1yo/edit?usp=sharing"",""ตาก!I516"")"),0)</f>
        <v>0</v>
      </c>
      <c r="J621" s="204">
        <f ca="1">IFERROR(__xludf.DUMMYFUNCTION("IMPORTRANGE(""https://docs.google.com/spreadsheets/d/11923uPwbBZFjjGgGUA6NLw09EwE0CqkOc4q9oUmW1yo/edit?usp=sharing"",""ตาก!J516"")"),0)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IFERROR(__xludf.DUMMYFUNCTION("IMPORTRANGE(""https://docs.google.com/spreadsheets/d/11923uPwbBZFjjGgGUA6NLw09EwE0CqkOc4q9oUmW1yo/edit?usp=sharing"",""ตาก!I517"")"),0)</f>
        <v>0</v>
      </c>
      <c r="J622" s="190">
        <f ca="1">IFERROR(__xludf.DUMMYFUNCTION("IMPORTRANGE(""https://docs.google.com/spreadsheets/d/11923uPwbBZFjjGgGUA6NLw09EwE0CqkOc4q9oUmW1yo/edit?usp=sharing"",""ตาก!J517"")"),0)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IFERROR(__xludf.DUMMYFUNCTION("IMPORTRANGE(""https://docs.google.com/spreadsheets/d/11923uPwbBZFjjGgGUA6NLw09EwE0CqkOc4q9oUmW1yo/edit?usp=sharing"",""ตาก!I518"")"),0)</f>
        <v>0</v>
      </c>
      <c r="J623" s="190">
        <f ca="1">IFERROR(__xludf.DUMMYFUNCTION("IMPORTRANGE(""https://docs.google.com/spreadsheets/d/11923uPwbBZFjjGgGUA6NLw09EwE0CqkOc4q9oUmW1yo/edit?usp=sharing"",""ตาก!J518"")"),0)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IFERROR(__xludf.DUMMYFUNCTION("IMPORTRANGE(""https://docs.google.com/spreadsheets/d/11923uPwbBZFjjGgGUA6NLw09EwE0CqkOc4q9oUmW1yo/edit?usp=sharing"",""ตาก!I519"")"),0)</f>
        <v>0</v>
      </c>
      <c r="J624" s="189">
        <f ca="1">IFERROR(__xludf.DUMMYFUNCTION("IMPORTRANGE(""https://docs.google.com/spreadsheets/d/11923uPwbBZFjjGgGUA6NLw09EwE0CqkOc4q9oUmW1yo/edit?usp=sharing"",""ตาก!J519"")"),0)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IFERROR(__xludf.DUMMYFUNCTION("IMPORTRANGE(""https://docs.google.com/spreadsheets/d/11923uPwbBZFjjGgGUA6NLw09EwE0CqkOc4q9oUmW1yo/edit?usp=sharing"",""ตาก!I520"")"),0)</f>
        <v>0</v>
      </c>
      <c r="J625" s="190">
        <f ca="1">IFERROR(__xludf.DUMMYFUNCTION("IMPORTRANGE(""https://docs.google.com/spreadsheets/d/11923uPwbBZFjjGgGUA6NLw09EwE0CqkOc4q9oUmW1yo/edit?usp=sharing"",""ตาก!J520"")"),0)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IFERROR(__xludf.DUMMYFUNCTION("IMPORTRANGE(""https://docs.google.com/spreadsheets/d/11923uPwbBZFjjGgGUA6NLw09EwE0CqkOc4q9oUmW1yo/edit?usp=sharing"",""ตาก!I521"")"),0)</f>
        <v>0</v>
      </c>
      <c r="J626" s="190">
        <f ca="1">IFERROR(__xludf.DUMMYFUNCTION("IMPORTRANGE(""https://docs.google.com/spreadsheets/d/11923uPwbBZFjjGgGUA6NLw09EwE0CqkOc4q9oUmW1yo/edit?usp=sharing"",""ตาก!J521"")"),0)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IFERROR(__xludf.DUMMYFUNCTION("IMPORTRANGE(""https://docs.google.com/spreadsheets/d/11923uPwbBZFjjGgGUA6NLw09EwE0CqkOc4q9oUmW1yo/edit?usp=sharing"",""ตาก!I523"")"),2024605.17)</f>
        <v>2024605.17</v>
      </c>
      <c r="J628" s="342">
        <f ca="1">IFERROR(__xludf.DUMMYFUNCTION("IMPORTRANGE(""https://docs.google.com/spreadsheets/d/11923uPwbBZFjjGgGUA6NLw09EwE0CqkOc4q9oUmW1yo/edit?usp=sharing"",""ตาก!J523"")"),1178249.35)</f>
        <v>1178249.3500000001</v>
      </c>
      <c r="K628" s="343">
        <f t="shared" ref="K628:K635" ca="1" si="129">IF(I628&gt;0,J628*100/I628,0)</f>
        <v>58.19650011068579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IFERROR(__xludf.DUMMYFUNCTION("IMPORTRANGE(""https://docs.google.com/spreadsheets/d/11923uPwbBZFjjGgGUA6NLw09EwE0CqkOc4q9oUmW1yo/edit?usp=sharing"",""ตาก!I524"")"),177)</f>
        <v>177</v>
      </c>
      <c r="J629" s="342">
        <f ca="1">IFERROR(__xludf.DUMMYFUNCTION("IMPORTRANGE(""https://docs.google.com/spreadsheets/d/11923uPwbBZFjjGgGUA6NLw09EwE0CqkOc4q9oUmW1yo/edit?usp=sharing"",""ตาก!J524"")"),115)</f>
        <v>115</v>
      </c>
      <c r="K629" s="343">
        <f t="shared" ca="1" si="129"/>
        <v>64.971751412429384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IFERROR(__xludf.DUMMYFUNCTION("IMPORTRANGE(""https://docs.google.com/spreadsheets/d/11923uPwbBZFjjGgGUA6NLw09EwE0CqkOc4q9oUmW1yo/edit?usp=sharing"",""ตาก!I525"")"),7699315.18)</f>
        <v>7699315.1799999997</v>
      </c>
      <c r="J630" s="342">
        <f ca="1">IFERROR(__xludf.DUMMYFUNCTION("IMPORTRANGE(""https://docs.google.com/spreadsheets/d/11923uPwbBZFjjGgGUA6NLw09EwE0CqkOc4q9oUmW1yo/edit?usp=sharing"",""ตาก!J525"")"),440191.97)</f>
        <v>440191.97</v>
      </c>
      <c r="K630" s="343">
        <f t="shared" ca="1" si="129"/>
        <v>5.7172873133373923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IFERROR(__xludf.DUMMYFUNCTION("IMPORTRANGE(""https://docs.google.com/spreadsheets/d/11923uPwbBZFjjGgGUA6NLw09EwE0CqkOc4q9oUmW1yo/edit?usp=sharing"",""ตาก!I526"")"),292)</f>
        <v>292</v>
      </c>
      <c r="J631" s="342">
        <f ca="1">IFERROR(__xludf.DUMMYFUNCTION("IMPORTRANGE(""https://docs.google.com/spreadsheets/d/11923uPwbBZFjjGgGUA6NLw09EwE0CqkOc4q9oUmW1yo/edit?usp=sharing"",""ตาก!J526"")"),153)</f>
        <v>153</v>
      </c>
      <c r="K631" s="343">
        <f t="shared" ca="1" si="129"/>
        <v>52.397260273972606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IFERROR(__xludf.DUMMYFUNCTION("IMPORTRANGE(""https://docs.google.com/spreadsheets/d/11923uPwbBZFjjGgGUA6NLw09EwE0CqkOc4q9oUmW1yo/edit?usp=sharing"",""ตาก!I527"")"),0)</f>
        <v>0</v>
      </c>
      <c r="J632" s="342">
        <f ca="1">IFERROR(__xludf.DUMMYFUNCTION("IMPORTRANGE(""https://docs.google.com/spreadsheets/d/11923uPwbBZFjjGgGUA6NLw09EwE0CqkOc4q9oUmW1yo/edit?usp=sharing"",""ตาก!J527"")"),0)</f>
        <v>0</v>
      </c>
      <c r="K632" s="343">
        <f t="shared" ca="1" si="129"/>
        <v>0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IFERROR(__xludf.DUMMYFUNCTION("IMPORTRANGE(""https://docs.google.com/spreadsheets/d/11923uPwbBZFjjGgGUA6NLw09EwE0CqkOc4q9oUmW1yo/edit?usp=sharing"",""ตาก!I528"")"),0)</f>
        <v>0</v>
      </c>
      <c r="J633" s="342">
        <f ca="1">IFERROR(__xludf.DUMMYFUNCTION("IMPORTRANGE(""https://docs.google.com/spreadsheets/d/11923uPwbBZFjjGgGUA6NLw09EwE0CqkOc4q9oUmW1yo/edit?usp=sharing"",""ตาก!J528"")"),0)</f>
        <v>0</v>
      </c>
      <c r="K633" s="343">
        <f t="shared" ca="1" si="129"/>
        <v>0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IFERROR(__xludf.DUMMYFUNCTION("IMPORTRANGE(""https://docs.google.com/spreadsheets/d/11923uPwbBZFjjGgGUA6NLw09EwE0CqkOc4q9oUmW1yo/edit?usp=sharing"",""ตาก!I529"")"),3000000)</f>
        <v>3000000</v>
      </c>
      <c r="J634" s="342">
        <f ca="1">IFERROR(__xludf.DUMMYFUNCTION("IMPORTRANGE(""https://docs.google.com/spreadsheets/d/11923uPwbBZFjjGgGUA6NLw09EwE0CqkOc4q9oUmW1yo/edit?usp=sharing"",""ตาก!J529"")"),1285000)</f>
        <v>1285000</v>
      </c>
      <c r="K634" s="343">
        <f t="shared" ca="1" si="129"/>
        <v>42.833333333333336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IFERROR(__xludf.DUMMYFUNCTION("IMPORTRANGE(""https://docs.google.com/spreadsheets/d/11923uPwbBZFjjGgGUA6NLw09EwE0CqkOc4q9oUmW1yo/edit?usp=sharing"",""ตาก!I530"")"),100)</f>
        <v>100</v>
      </c>
      <c r="J635" s="506">
        <f ca="1">IFERROR(__xludf.DUMMYFUNCTION("IMPORTRANGE(""https://docs.google.com/spreadsheets/d/11923uPwbBZFjjGgGUA6NLw09EwE0CqkOc4q9oUmW1yo/edit?usp=sharing"",""ตาก!J530"")"),43)</f>
        <v>43</v>
      </c>
      <c r="K635" s="488">
        <f t="shared" ca="1" si="129"/>
        <v>43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IFERROR(__xludf.DUMMYFUNCTION("IMPORTRANGE(""https://docs.google.com/spreadsheets/d/11923uPwbBZFjjGgGUA6NLw09EwE0CqkOc4q9oUmW1yo/edit?usp=sharing"",""ตาก!J541"")"),0)</f>
        <v>0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IFERROR(__xludf.DUMMYFUNCTION("IMPORTRANGE(""https://docs.google.com/spreadsheets/d/11923uPwbBZFjjGgGUA6NLw09EwE0CqkOc4q9oUmW1yo/edit?usp=sharing"",""ตาก!J542"")"),0)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IFERROR(__xludf.DUMMYFUNCTION("IMPORTRANGE(""https://docs.google.com/spreadsheets/d/11923uPwbBZFjjGgGUA6NLw09EwE0CqkOc4q9oUmW1yo/edit?usp=sharing"",""ตาก!I543"")"),0)</f>
        <v>0</v>
      </c>
      <c r="J648" s="537">
        <f ca="1">IFERROR(__xludf.DUMMYFUNCTION("IMPORTRANGE(""https://docs.google.com/spreadsheets/d/11923uPwbBZFjjGgGUA6NLw09EwE0CqkOc4q9oUmW1yo/edit?usp=sharing"",""ตาก!J543"")"),0)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IFERROR(__xludf.DUMMYFUNCTION("IMPORTRANGE(""https://docs.google.com/spreadsheets/d/11923uPwbBZFjjGgGUA6NLw09EwE0CqkOc4q9oUmW1yo/edit?usp=sharing"",""ตาก!L543"")"),0)</f>
        <v>0</v>
      </c>
      <c r="M648" s="522"/>
      <c r="N648" s="539">
        <f ca="1">IFERROR(__xludf.DUMMYFUNCTION("IMPORTRANGE(""https://docs.google.com/spreadsheets/d/11923uPwbBZFjjGgGUA6NLw09EwE0CqkOc4q9oUmW1yo/edit?usp=sharing"",""ตาก!M543"")"),0)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IFERROR(__xludf.DUMMYFUNCTION("IMPORTRANGE(""https://docs.google.com/spreadsheets/d/11923uPwbBZFjjGgGUA6NLw09EwE0CqkOc4q9oUmW1yo/edit?usp=sharing"",""ตาก!I544"")"),0)</f>
        <v>0</v>
      </c>
      <c r="J649" s="537">
        <f ca="1">IFERROR(__xludf.DUMMYFUNCTION("IMPORTRANGE(""https://docs.google.com/spreadsheets/d/11923uPwbBZFjjGgGUA6NLw09EwE0CqkOc4q9oUmW1yo/edit?usp=sharing"",""ตาก!J544"")"),0)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IFERROR(__xludf.DUMMYFUNCTION("IMPORTRANGE(""https://docs.google.com/spreadsheets/d/11923uPwbBZFjjGgGUA6NLw09EwE0CqkOc4q9oUmW1yo/edit?usp=sharing"",""ตาก!L544"")"),0)</f>
        <v>0</v>
      </c>
      <c r="M649" s="522"/>
      <c r="N649" s="539">
        <f ca="1">IFERROR(__xludf.DUMMYFUNCTION("IMPORTRANGE(""https://docs.google.com/spreadsheets/d/11923uPwbBZFjjGgGUA6NLw09EwE0CqkOc4q9oUmW1yo/edit?usp=sharing"",""ตาก!M544"")"),0)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IFERROR(__xludf.DUMMYFUNCTION("IMPORTRANGE(""https://docs.google.com/spreadsheets/d/11923uPwbBZFjjGgGUA6NLw09EwE0CqkOc4q9oUmW1yo/edit?usp=sharing"",""ตาก!I545"")"),0)</f>
        <v>0</v>
      </c>
      <c r="J650" s="537">
        <f ca="1">IFERROR(__xludf.DUMMYFUNCTION("IMPORTRANGE(""https://docs.google.com/spreadsheets/d/11923uPwbBZFjjGgGUA6NLw09EwE0CqkOc4q9oUmW1yo/edit?usp=sharing"",""ตาก!J545"")"),0)</f>
        <v>0</v>
      </c>
      <c r="K650" s="538">
        <f t="shared" ca="1" si="131"/>
        <v>0</v>
      </c>
      <c r="L650" s="523">
        <f ca="1">IFERROR(__xludf.DUMMYFUNCTION("IMPORTRANGE(""https://docs.google.com/spreadsheets/d/11923uPwbBZFjjGgGUA6NLw09EwE0CqkOc4q9oUmW1yo/edit?usp=sharing"",""ตาก!L545"")"),0)</f>
        <v>0</v>
      </c>
      <c r="M650" s="522"/>
      <c r="N650" s="539">
        <f ca="1">IFERROR(__xludf.DUMMYFUNCTION("IMPORTRANGE(""https://docs.google.com/spreadsheets/d/11923uPwbBZFjjGgGUA6NLw09EwE0CqkOc4q9oUmW1yo/edit?usp=sharing"",""ตาก!M545"")"),0)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IFERROR(__xludf.DUMMYFUNCTION("IMPORTRANGE(""https://docs.google.com/spreadsheets/d/11923uPwbBZFjjGgGUA6NLw09EwE0CqkOc4q9oUmW1yo/edit?usp=sharing"",""ตาก!I546"")"),0)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IFERROR(__xludf.DUMMYFUNCTION("IMPORTRANGE(""https://docs.google.com/spreadsheets/d/11923uPwbBZFjjGgGUA6NLw09EwE0CqkOc4q9oUmW1yo/edit?usp=sharing"",""ตาก!L546"")"),0)</f>
        <v>0</v>
      </c>
      <c r="M651" s="522"/>
      <c r="N651" s="539">
        <f ca="1">IFERROR(__xludf.DUMMYFUNCTION("IMPORTRANGE(""https://docs.google.com/spreadsheets/d/11923uPwbBZFjjGgGUA6NLw09EwE0CqkOc4q9oUmW1yo/edit?usp=sharing"",""ตาก!M546"")"),0)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IFERROR(__xludf.DUMMYFUNCTION("IMPORTRANGE(""https://docs.google.com/spreadsheets/d/11923uPwbBZFjjGgGUA6NLw09EwE0CqkOc4q9oUmW1yo/edit?usp=sharing"",""ตาก!J547"")"),0)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IFERROR(__xludf.DUMMYFUNCTION("IMPORTRANGE(""https://docs.google.com/spreadsheets/d/11923uPwbBZFjjGgGUA6NLw09EwE0CqkOc4q9oUmW1yo/edit?usp=sharing"",""ตาก!J548"")"),0)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IFERROR(__xludf.DUMMYFUNCTION("IMPORTRANGE(""https://docs.google.com/spreadsheets/d/11923uPwbBZFjjGgGUA6NLw09EwE0CqkOc4q9oUmW1yo/edit?usp=sharing"",""ตาก!J550"")"),0)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IFERROR(__xludf.DUMMYFUNCTION("IMPORTRANGE(""https://docs.google.com/spreadsheets/d/11923uPwbBZFjjGgGUA6NLw09EwE0CqkOc4q9oUmW1yo/edit?usp=sharing"",""ตาก!J551"")"),0)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IFERROR(__xludf.DUMMYFUNCTION("IMPORTRANGE(""https://docs.google.com/spreadsheets/d/11923uPwbBZFjjGgGUA6NLw09EwE0CqkOc4q9oUmW1yo/edit?usp=sharing"",""ตาก!J552"")"),0)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IFERROR(__xludf.DUMMYFUNCTION("IMPORTRANGE(""https://docs.google.com/spreadsheets/d/11923uPwbBZFjjGgGUA6NLw09EwE0CqkOc4q9oUmW1yo/edit?usp=sharing"",""ตาก!J553"")"),0)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IFERROR(__xludf.DUMMYFUNCTION("IMPORTRANGE(""https://docs.google.com/spreadsheets/d/11923uPwbBZFjjGgGUA6NLw09EwE0CqkOc4q9oUmW1yo/edit?usp=sharing"",""ตาก!J554"")"),0)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IFERROR(__xludf.DUMMYFUNCTION("IMPORTRANGE(""https://docs.google.com/spreadsheets/d/11923uPwbBZFjjGgGUA6NLw09EwE0CqkOc4q9oUmW1yo/edit?usp=sharing"",""ตาก!J555"")"),0)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IFERROR(__xludf.DUMMYFUNCTION("IMPORTRANGE(""https://docs.google.com/spreadsheets/d/11923uPwbBZFjjGgGUA6NLw09EwE0CqkOc4q9oUmW1yo/edit?usp=sharing"",""ตาก!J556"")"),0)</f>
        <v>0</v>
      </c>
      <c r="K661" s="538"/>
      <c r="L661" s="523">
        <f ca="1">IFERROR(__xludf.DUMMYFUNCTION("IMPORTRANGE(""https://docs.google.com/spreadsheets/d/11923uPwbBZFjjGgGUA6NLw09EwE0CqkOc4q9oUmW1yo/edit?usp=sharing"",""ตาก!L556"")"),0)</f>
        <v>0</v>
      </c>
      <c r="M661" s="522"/>
      <c r="N661" s="539">
        <f ca="1">IFERROR(__xludf.DUMMYFUNCTION("IMPORTRANGE(""https://docs.google.com/spreadsheets/d/11923uPwbBZFjjGgGUA6NLw09EwE0CqkOc4q9oUmW1yo/edit?usp=sharing"",""ตาก!M556"")"),0)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IFERROR(__xludf.DUMMYFUNCTION("IMPORTRANGE(""https://docs.google.com/spreadsheets/d/11923uPwbBZFjjGgGUA6NLw09EwE0CqkOc4q9oUmW1yo/edit?usp=sharing"",""ตาก!J557"")"),0)</f>
        <v>0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IFERROR(__xludf.DUMMYFUNCTION("IMPORTRANGE(""https://docs.google.com/spreadsheets/d/11923uPwbBZFjjGgGUA6NLw09EwE0CqkOc4q9oUmW1yo/edit?usp=sharing"",""ตาก!I558"")"),0)</f>
        <v>0</v>
      </c>
      <c r="J663" s="537">
        <f ca="1">IFERROR(__xludf.DUMMYFUNCTION("IMPORTRANGE(""https://docs.google.com/spreadsheets/d/11923uPwbBZFjjGgGUA6NLw09EwE0CqkOc4q9oUmW1yo/edit?usp=sharing"",""ตาก!J558"")"),0)</f>
        <v>0</v>
      </c>
      <c r="K663" s="538">
        <f ca="1">IF(I663&gt;0,J663*100/I663,0)</f>
        <v>0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IFERROR(__xludf.DUMMYFUNCTION("IMPORTRANGE(""https://docs.google.com/spreadsheets/d/11923uPwbBZFjjGgGUA6NLw09EwE0CqkOc4q9oUmW1yo/edit?usp=sharing"",""ตาก!I560"")"),0)</f>
        <v>0</v>
      </c>
      <c r="J665" s="537">
        <f ca="1">IFERROR(__xludf.DUMMYFUNCTION("IMPORTRANGE(""https://docs.google.com/spreadsheets/d/11923uPwbBZFjjGgGUA6NLw09EwE0CqkOc4q9oUmW1yo/edit?usp=sharing"",""ตาก!J560"")"),0)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IFERROR(__xludf.DUMMYFUNCTION("IMPORTRANGE(""https://docs.google.com/spreadsheets/d/11923uPwbBZFjjGgGUA6NLw09EwE0CqkOc4q9oUmW1yo/edit?usp=sharing"",""ตาก!L560"")"),0)</f>
        <v>0</v>
      </c>
      <c r="M665" s="522"/>
      <c r="N665" s="539">
        <f ca="1">IFERROR(__xludf.DUMMYFUNCTION("IMPORTRANGE(""https://docs.google.com/spreadsheets/d/11923uPwbBZFjjGgGUA6NLw09EwE0CqkOc4q9oUmW1yo/edit?usp=sharing"",""ตาก!M560"")"),0)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IFERROR(__xludf.DUMMYFUNCTION("IMPORTRANGE(""https://docs.google.com/spreadsheets/d/11923uPwbBZFjjGgGUA6NLw09EwE0CqkOc4q9oUmW1yo/edit?usp=sharing"",""ตาก!J561"")"),0)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IFERROR(__xludf.DUMMYFUNCTION("IMPORTRANGE(""https://docs.google.com/spreadsheets/d/11923uPwbBZFjjGgGUA6NLw09EwE0CqkOc4q9oUmW1yo/edit?usp=sharing"",""ตาก!J562"")"),0)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IFERROR(__xludf.DUMMYFUNCTION("IMPORTRANGE(""https://docs.google.com/spreadsheets/d/11923uPwbBZFjjGgGUA6NLw09EwE0CqkOc4q9oUmW1yo/edit?usp=sharing"",""ตาก!I563"")"),0)</f>
        <v>0</v>
      </c>
      <c r="J668" s="537">
        <f ca="1">IFERROR(__xludf.DUMMYFUNCTION("IMPORTRANGE(""https://docs.google.com/spreadsheets/d/11923uPwbBZFjjGgGUA6NLw09EwE0CqkOc4q9oUmW1yo/edit?usp=sharing"",""ตาก!J563"")"),0)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IFERROR(__xludf.DUMMYFUNCTION("IMPORTRANGE(""https://docs.google.com/spreadsheets/d/11923uPwbBZFjjGgGUA6NLw09EwE0CqkOc4q9oUmW1yo/edit?usp=sharing"",""ตาก!L563"")"),0)</f>
        <v>0</v>
      </c>
      <c r="M668" s="522"/>
      <c r="N668" s="539">
        <f ca="1">IFERROR(__xludf.DUMMYFUNCTION("IMPORTRANGE(""https://docs.google.com/spreadsheets/d/11923uPwbBZFjjGgGUA6NLw09EwE0CqkOc4q9oUmW1yo/edit?usp=sharing"",""ตาก!M563"")"),0)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IFERROR(__xludf.DUMMYFUNCTION("IMPORTRANGE(""https://docs.google.com/spreadsheets/d/11923uPwbBZFjjGgGUA6NLw09EwE0CqkOc4q9oUmW1yo/edit?usp=sharing"",""ตาก!J564"")"),0)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IFERROR(__xludf.DUMMYFUNCTION("IMPORTRANGE(""https://docs.google.com/spreadsheets/d/11923uPwbBZFjjGgGUA6NLw09EwE0CqkOc4q9oUmW1yo/edit?usp=sharing"",""ตาก!J565"")"),0)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IFERROR(__xludf.DUMMYFUNCTION("IMPORTRANGE(""https://docs.google.com/spreadsheets/d/11923uPwbBZFjjGgGUA6NLw09EwE0CqkOc4q9oUmW1yo/edit?usp=sharing"",""ตาก!I566"")"),0)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IFERROR(__xludf.DUMMYFUNCTION("IMPORTRANGE(""https://docs.google.com/spreadsheets/d/11923uPwbBZFjjGgGUA6NLw09EwE0CqkOc4q9oUmW1yo/edit?usp=sharing"",""ตาก!L566"")"),0)</f>
        <v>0</v>
      </c>
      <c r="M671" s="522"/>
      <c r="N671" s="539">
        <f ca="1">IFERROR(__xludf.DUMMYFUNCTION("IMPORTRANGE(""https://docs.google.com/spreadsheets/d/11923uPwbBZFjjGgGUA6NLw09EwE0CqkOc4q9oUmW1yo/edit?usp=sharing"",""ตาก!M566"")"),0)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IFERROR(__xludf.DUMMYFUNCTION("IMPORTRANGE(""https://docs.google.com/spreadsheets/d/11923uPwbBZFjjGgGUA6NLw09EwE0CqkOc4q9oUmW1yo/edit?usp=sharing"",""ตาก!J567"")"),0)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IFERROR(__xludf.DUMMYFUNCTION("IMPORTRANGE(""https://docs.google.com/spreadsheets/d/11923uPwbBZFjjGgGUA6NLw09EwE0CqkOc4q9oUmW1yo/edit?usp=sharing"",""ตาก!J568"")"),0)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IFERROR(__xludf.DUMMYFUNCTION("IMPORTRANGE(""https://docs.google.com/spreadsheets/d/11923uPwbBZFjjGgGUA6NLw09EwE0CqkOc4q9oUmW1yo/edit?usp=sharing"",""ตาก!J569"")"),0)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IFERROR(__xludf.DUMMYFUNCTION("IMPORTRANGE(""https://docs.google.com/spreadsheets/d/11923uPwbBZFjjGgGUA6NLw09EwE0CqkOc4q9oUmW1yo/edit?usp=sharing"",""ตาก!J570"")"),0)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IFERROR(__xludf.DUMMYFUNCTION("IMPORTRANGE(""https://docs.google.com/spreadsheets/d/11923uPwbBZFjjGgGUA6NLw09EwE0CqkOc4q9oUmW1yo/edit?usp=sharing"",""ตาก!J571"")"),0)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IFERROR(__xludf.DUMMYFUNCTION("IMPORTRANGE(""https://docs.google.com/spreadsheets/d/11923uPwbBZFjjGgGUA6NLw09EwE0CqkOc4q9oUmW1yo/edit?usp=sharing"",""ตาก!J572"")"),0)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268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6428928</v>
      </c>
      <c r="M8" s="25">
        <f t="shared" ca="1" si="0"/>
        <v>3276496.2</v>
      </c>
      <c r="N8" s="25">
        <f t="shared" ca="1" si="0"/>
        <v>3222998.5300000003</v>
      </c>
      <c r="O8" s="24">
        <f t="shared" ref="O8:O16" ca="1" si="1">IF(L8&gt;0,N8*100/L8,0)</f>
        <v>50.132751992245055</v>
      </c>
      <c r="P8" s="24">
        <f t="shared" ref="P8:P16" ca="1" si="2">IF(M8&gt;0,N8*100/M8,0)</f>
        <v>98.367229298175289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6428928</v>
      </c>
      <c r="M10" s="32">
        <f t="shared" ca="1" si="4"/>
        <v>3276496.2</v>
      </c>
      <c r="N10" s="32">
        <f t="shared" ca="1" si="4"/>
        <v>3222998.5300000003</v>
      </c>
      <c r="O10" s="31">
        <f t="shared" ca="1" si="1"/>
        <v>50.132751992245055</v>
      </c>
      <c r="P10" s="31">
        <f t="shared" ca="1" si="2"/>
        <v>98.367229298175289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6231528</v>
      </c>
      <c r="M12" s="41">
        <f t="shared" ca="1" si="6"/>
        <v>3079096.2</v>
      </c>
      <c r="N12" s="41">
        <f t="shared" ca="1" si="6"/>
        <v>3025598.5300000003</v>
      </c>
      <c r="O12" s="41">
        <f t="shared" ca="1" si="1"/>
        <v>48.553076067378662</v>
      </c>
      <c r="P12" s="41">
        <f t="shared" ca="1" si="2"/>
        <v>98.262552823130363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2242900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3988628</v>
      </c>
      <c r="M14" s="41">
        <f t="shared" si="8"/>
        <v>0</v>
      </c>
      <c r="N14" s="41">
        <f t="shared" ca="1" si="8"/>
        <v>676052</v>
      </c>
      <c r="O14" s="41">
        <f t="shared" ca="1" si="1"/>
        <v>16.949487392657325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197400</v>
      </c>
      <c r="M16" s="41">
        <f t="shared" ca="1" si="10"/>
        <v>197400</v>
      </c>
      <c r="N16" s="41">
        <f t="shared" ca="1" si="10"/>
        <v>197400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4126815</v>
      </c>
      <c r="M18" s="25">
        <f t="shared" ca="1" si="11"/>
        <v>3276496.2</v>
      </c>
      <c r="N18" s="25">
        <f t="shared" ca="1" si="11"/>
        <v>2546946.5300000003</v>
      </c>
      <c r="O18" s="24">
        <f t="shared" ref="O18:O20" ca="1" si="12">IF(L18&gt;0,N18*100/L18,0)</f>
        <v>61.717002821788725</v>
      </c>
      <c r="P18" s="24">
        <f t="shared" ref="P18:P26" ca="1" si="13">IF(M18&gt;0,N18*100/M18,0)</f>
        <v>77.733846601134474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4126815</v>
      </c>
      <c r="M20" s="32">
        <f t="shared" ca="1" si="15"/>
        <v>3276496.2</v>
      </c>
      <c r="N20" s="32">
        <f t="shared" ca="1" si="15"/>
        <v>2546946.5300000003</v>
      </c>
      <c r="O20" s="31">
        <f t="shared" ca="1" si="12"/>
        <v>61.717002821788725</v>
      </c>
      <c r="P20" s="31">
        <f t="shared" ca="1" si="13"/>
        <v>77.733846601134474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3929415</v>
      </c>
      <c r="M22" s="44">
        <f t="shared" ca="1" si="18"/>
        <v>3079096.2</v>
      </c>
      <c r="N22" s="41">
        <f t="shared" ca="1" si="18"/>
        <v>2349546.5300000003</v>
      </c>
      <c r="O22" s="41">
        <f t="shared" ca="1" si="17"/>
        <v>59.793799585943461</v>
      </c>
      <c r="P22" s="41">
        <f t="shared" ca="1" si="13"/>
        <v>76.306369706799032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2242900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1686515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197400</v>
      </c>
      <c r="M26" s="52">
        <f t="shared" ca="1" si="22"/>
        <v>197400</v>
      </c>
      <c r="N26" s="52">
        <f t="shared" ca="1" si="22"/>
        <v>197400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2302113</v>
      </c>
      <c r="M28" s="25">
        <f t="shared" si="23"/>
        <v>0</v>
      </c>
      <c r="N28" s="25">
        <f t="shared" ca="1" si="23"/>
        <v>676052</v>
      </c>
      <c r="O28" s="24">
        <f t="shared" ref="O28:O30" ca="1" si="24">IF(L28&gt;0,N28*100/L28,0)</f>
        <v>29.366586262272964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2302113</v>
      </c>
      <c r="M30" s="32">
        <f t="shared" si="27"/>
        <v>0</v>
      </c>
      <c r="N30" s="32">
        <f t="shared" ca="1" si="27"/>
        <v>676052</v>
      </c>
      <c r="O30" s="31">
        <f t="shared" ca="1" si="24"/>
        <v>29.366586262272964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2302113</v>
      </c>
      <c r="M32" s="41">
        <f t="shared" si="30"/>
        <v>0</v>
      </c>
      <c r="N32" s="41">
        <f t="shared" ca="1" si="30"/>
        <v>676052</v>
      </c>
      <c r="O32" s="41">
        <f t="shared" ca="1" si="29"/>
        <v>29.366586262272964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2302113</v>
      </c>
      <c r="M34" s="41">
        <f t="shared" si="32"/>
        <v>0</v>
      </c>
      <c r="N34" s="41">
        <f t="shared" ca="1" si="32"/>
        <v>676052</v>
      </c>
      <c r="O34" s="41">
        <f t="shared" ca="1" si="29"/>
        <v>29.366586262272964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4126815</v>
      </c>
      <c r="M37" s="57">
        <f t="shared" ca="1" si="33"/>
        <v>3276496.2</v>
      </c>
      <c r="N37" s="57">
        <f t="shared" ca="1" si="33"/>
        <v>2546946.5300000003</v>
      </c>
      <c r="O37" s="58">
        <f t="shared" ca="1" si="29"/>
        <v>61.717002821788725</v>
      </c>
      <c r="P37" s="58">
        <f t="shared" ca="1" si="25"/>
        <v>77.733846601134474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952200</v>
      </c>
      <c r="M41" s="81">
        <f t="shared" ca="1" si="34"/>
        <v>770280</v>
      </c>
      <c r="N41" s="81">
        <f t="shared" ca="1" si="34"/>
        <v>598911.30000000005</v>
      </c>
      <c r="O41" s="80">
        <f t="shared" ref="O41:O43" ca="1" si="35">IF(L41&gt;0,N41*100/L41,0)</f>
        <v>62.897637051039702</v>
      </c>
      <c r="P41" s="80">
        <f t="shared" ref="P41:P43" ca="1" si="36">IF(M41&gt;0,N41*100/M41,0)</f>
        <v>77.752414706340559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952200</v>
      </c>
      <c r="M43" s="81">
        <f t="shared" ca="1" si="38"/>
        <v>770280</v>
      </c>
      <c r="N43" s="81">
        <f t="shared" ca="1" si="38"/>
        <v>598911.30000000005</v>
      </c>
      <c r="O43" s="80">
        <f t="shared" ca="1" si="35"/>
        <v>62.897637051039702</v>
      </c>
      <c r="P43" s="80">
        <f t="shared" ca="1" si="36"/>
        <v>77.752414706340559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952200</v>
      </c>
      <c r="M45" s="52">
        <f ca="1">IFERROR(__xludf.DUMMYFUNCTION("IMPORTRANGE(""https://docs.google.com/spreadsheets/d/1Yj_ptqi66GCucihVvJfMjLAmec39IyEx_6qawtMGysU/edit?usp=sharing"",""สบก!Q24"")"),770280)</f>
        <v>770280</v>
      </c>
      <c r="N45" s="52">
        <f ca="1">IFERROR(__xludf.DUMMYFUNCTION("IMPORTRANGE(""https://docs.google.com/spreadsheets/d/1Yj_ptqi66GCucihVvJfMjLAmec39IyEx_6qawtMGysU/edit?usp=sharing"",""สบก!R24"")"),598911.3)</f>
        <v>598911.30000000005</v>
      </c>
      <c r="O45" s="41">
        <f ca="1">IF(L45&gt;0,N45*100/L45,0)</f>
        <v>62.897637051039702</v>
      </c>
      <c r="P45" s="41">
        <f ca="1">IF(M45&gt;0,N45*100/M45,0)</f>
        <v>77.752414706340559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IFERROR(__xludf.DUMMYFUNCTION("IMPORTRANGE(""https://docs.google.com/spreadsheets/d/1Yj_ptqi66GCucihVvJfMjLAmec39IyEx_6qawtMGysU/edit?usp=sharing"",""สบก!M24"")"),952200)</f>
        <v>952200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IFERROR(__xludf.DUMMYFUNCTION("IMPORTRANGE(""https://docs.google.com/spreadsheets/d/1Yj_ptqi66GCucihVvJfMjLAmec39IyEx_6qawtMGysU/edit?usp=sharing"",""สบก!N24"")"),0)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IFERROR(__xludf.DUMMYFUNCTION("IMPORTRANGE(""https://docs.google.com/spreadsheets/d/1Yj_ptqi66GCucihVvJfMjLAmec39IyEx_6qawtMGysU/edit?usp=sharing"",""สบก!O24"")"),0)</f>
        <v>0</v>
      </c>
      <c r="M49" s="52"/>
      <c r="N49" s="52">
        <f ca="1">IFERROR(__xludf.DUMMYFUNCTION("IMPORTRANGE(""https://docs.google.com/spreadsheets/d/1Yj_ptqi66GCucihVvJfMjLAmec39IyEx_6qawtMGysU/edit?usp=sharing"",""สบก!S24"")"),0)</f>
        <v>0</v>
      </c>
      <c r="O49" s="52">
        <f ca="1">IF(L49&gt;0,N49*100/L49,0)</f>
        <v>0</v>
      </c>
      <c r="P49" s="52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450000</v>
      </c>
      <c r="M53" s="123">
        <f t="shared" ca="1" si="39"/>
        <v>365671.2</v>
      </c>
      <c r="N53" s="123">
        <f t="shared" ca="1" si="39"/>
        <v>354290</v>
      </c>
      <c r="O53" s="122">
        <f t="shared" ref="O53:O55" ca="1" si="40">IF(L53&gt;0,N53*100/L53,0)</f>
        <v>78.731111111111105</v>
      </c>
      <c r="P53" s="122">
        <f t="shared" ref="P53:P55" ca="1" si="41">IF(M53&gt;0,N53*100/M53,0)</f>
        <v>96.887586443777906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450000</v>
      </c>
      <c r="M55" s="123">
        <f t="shared" ca="1" si="43"/>
        <v>365671.2</v>
      </c>
      <c r="N55" s="123">
        <f t="shared" ca="1" si="43"/>
        <v>354290</v>
      </c>
      <c r="O55" s="122">
        <f t="shared" ca="1" si="40"/>
        <v>78.731111111111105</v>
      </c>
      <c r="P55" s="122">
        <f t="shared" ca="1" si="41"/>
        <v>96.887586443777906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450000</v>
      </c>
      <c r="M57" s="52">
        <f ca="1">IFERROR(__xludf.DUMMYFUNCTION("IMPORTRANGE(""https://docs.google.com/spreadsheets/d/1Yj_ptqi66GCucihVvJfMjLAmec39IyEx_6qawtMGysU/edit?usp=sharing"",""สบก!Z24"")"),365671.2)</f>
        <v>365671.2</v>
      </c>
      <c r="N57" s="52">
        <f ca="1">IFERROR(__xludf.DUMMYFUNCTION("IMPORTRANGE(""https://docs.google.com/spreadsheets/d/1Yj_ptqi66GCucihVvJfMjLAmec39IyEx_6qawtMGysU/edit?usp=sharing"",""สบก!AA24"")"),354290)</f>
        <v>354290</v>
      </c>
      <c r="O57" s="41">
        <f ca="1">IF(L57&gt;0,N57*100/L57,0)</f>
        <v>78.731111111111105</v>
      </c>
      <c r="P57" s="41">
        <f ca="1">IF(M57&gt;0,N57*100/M57,0)</f>
        <v>96.887586443777906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IFERROR(__xludf.DUMMYFUNCTION("IMPORTRANGE(""https://docs.google.com/spreadsheets/d/1Yj_ptqi66GCucihVvJfMjLAmec39IyEx_6qawtMGysU/edit?usp=sharing"",""สบก!V24"")"),450000)</f>
        <v>450000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IFERROR(__xludf.DUMMYFUNCTION("IMPORTRANGE(""https://docs.google.com/spreadsheets/d/1Yj_ptqi66GCucihVvJfMjLAmec39IyEx_6qawtMGysU/edit?usp=sharing"",""สบก!W24"")"),0)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IFERROR(__xludf.DUMMYFUNCTION("IMPORTRANGE(""https://docs.google.com/spreadsheets/d/1Yj_ptqi66GCucihVvJfMjLAmec39IyEx_6qawtMGysU/edit?usp=sharing"",""สบก!X24"")"),0)</f>
        <v>0</v>
      </c>
      <c r="M61" s="52"/>
      <c r="N61" s="52">
        <f ca="1">IFERROR(__xludf.DUMMYFUNCTION("IMPORTRANGE(""https://docs.google.com/spreadsheets/d/1Yj_ptqi66GCucihVvJfMjLAmec39IyEx_6qawtMGysU/edit?usp=sharing"",""สบก!AB24"")"),0)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IFERROR(__xludf.DUMMYFUNCTION("IMPORTRANGE(""https://docs.google.com/spreadsheets/d/11923uPwbBZFjjGgGUA6NLw09EwE0CqkOc4q9oUmW1yo/edit?usp=sharing"",""นครสวรรค์!I9"")"),1)</f>
        <v>1</v>
      </c>
      <c r="J64" s="144">
        <f ca="1">IFERROR(__xludf.DUMMYFUNCTION("IMPORTRANGE(""https://docs.google.com/spreadsheets/d/11923uPwbBZFjjGgGUA6NLw09EwE0CqkOc4q9oUmW1yo/edit?usp=sharing"",""นครสวรรค์!J9"")"),1)</f>
        <v>1</v>
      </c>
      <c r="K64" s="145">
        <f t="shared" ref="K64:K65" ca="1" si="44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IFERROR(__xludf.DUMMYFUNCTION("IMPORTRANGE(""https://docs.google.com/spreadsheets/d/11923uPwbBZFjjGgGUA6NLw09EwE0CqkOc4q9oUmW1yo/edit?usp=sharing"",""นครสวรรค์!I10"")"),40)</f>
        <v>40</v>
      </c>
      <c r="J65" s="144">
        <f ca="1">IFERROR(__xludf.DUMMYFUNCTION("IMPORTRANGE(""https://docs.google.com/spreadsheets/d/11923uPwbBZFjjGgGUA6NLw09EwE0CqkOc4q9oUmW1yo/edit?usp=sharing"",""นครสวรรค์!J10"")"),40)</f>
        <v>40</v>
      </c>
      <c r="K65" s="145">
        <f t="shared" ca="1" si="44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745500</v>
      </c>
      <c r="M66" s="154">
        <f t="shared" ca="1" si="45"/>
        <v>605220</v>
      </c>
      <c r="N66" s="154">
        <f t="shared" ca="1" si="45"/>
        <v>516378.53</v>
      </c>
      <c r="O66" s="153">
        <f t="shared" ref="O66:O68" ca="1" si="46">IF(L66&gt;0,N66*100/L66,0)</f>
        <v>69.26606706908116</v>
      </c>
      <c r="P66" s="153">
        <f t="shared" ref="P66:P68" ca="1" si="47">IF(M66&gt;0,N66*100/M66,0)</f>
        <v>85.320797395988237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745500</v>
      </c>
      <c r="M68" s="90">
        <f t="shared" ca="1" si="49"/>
        <v>605220</v>
      </c>
      <c r="N68" s="90">
        <f t="shared" ca="1" si="49"/>
        <v>516378.53</v>
      </c>
      <c r="O68" s="158">
        <f t="shared" ca="1" si="46"/>
        <v>69.26606706908116</v>
      </c>
      <c r="P68" s="158">
        <f t="shared" ca="1" si="47"/>
        <v>85.320797395988237</v>
      </c>
    </row>
    <row r="69" spans="1:16" ht="21.75" customHeight="1">
      <c r="A69" s="159"/>
      <c r="B69" s="160"/>
      <c r="C69" s="160" t="s">
        <v>16</v>
      </c>
      <c r="D69" s="570" t="s">
        <v>20</v>
      </c>
      <c r="E69" s="565"/>
      <c r="F69" s="565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745500</v>
      </c>
      <c r="M70" s="169">
        <f ca="1">IFERROR(__xludf.DUMMYFUNCTION("IMPORTRANGE(""https://docs.google.com/spreadsheets/d/1Yj_ptqi66GCucihVvJfMjLAmec39IyEx_6qawtMGysU/edit?usp=sharing"",""สบก!AI24"")"),605220)</f>
        <v>605220</v>
      </c>
      <c r="N70" s="170">
        <f ca="1">IFERROR(__xludf.DUMMYFUNCTION("IMPORTRANGE(""https://docs.google.com/spreadsheets/d/1Yj_ptqi66GCucihVvJfMjLAmec39IyEx_6qawtMGysU/edit?usp=sharing"",""สบก!AJ24"")"),516378.53)</f>
        <v>516378.53</v>
      </c>
      <c r="O70" s="170">
        <f ca="1">IF(L70&gt;0,N70*100/L70,0)</f>
        <v>69.26606706908116</v>
      </c>
      <c r="P70" s="170">
        <f ca="1">IF(M70&gt;0,N70*100/M70,0)</f>
        <v>85.320797395988237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IFERROR(__xludf.DUMMYFUNCTION("IMPORTRANGE(""https://docs.google.com/spreadsheets/d/1Yj_ptqi66GCucihVvJfMjLAmec39IyEx_6qawtMGysU/edit?usp=sharing"",""สบก!AE24"")"),311500)</f>
        <v>311500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IFERROR(__xludf.DUMMYFUNCTION("IMPORTRANGE(""https://docs.google.com/spreadsheets/d/1Yj_ptqi66GCucihVvJfMjLAmec39IyEx_6qawtMGysU/edit?usp=sharing"",""สบก!AF24"")"),434000)</f>
        <v>434000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IFERROR(__xludf.DUMMYFUNCTION("IMPORTRANGE(""https://docs.google.com/spreadsheets/d/1Yj_ptqi66GCucihVvJfMjLAmec39IyEx_6qawtMGysU/edit?usp=sharing"",""สบก!AG24"")"),0)</f>
        <v>0</v>
      </c>
      <c r="M74" s="52"/>
      <c r="N74" s="52">
        <f ca="1">IFERROR(__xludf.DUMMYFUNCTION("IMPORTRANGE(""https://docs.google.com/spreadsheets/d/1Yj_ptqi66GCucihVvJfMjLAmec39IyEx_6qawtMGysU/edit?usp=sharing"",""สบก!AK24"")"),0)</f>
        <v>0</v>
      </c>
      <c r="O74" s="52">
        <f ca="1">IF(L74&gt;0,N74*100/L74,0)</f>
        <v>0</v>
      </c>
      <c r="P74" s="52"/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IFERROR(__xludf.DUMMYFUNCTION("IMPORTRANGE(""https://docs.google.com/spreadsheets/d/11923uPwbBZFjjGgGUA6NLw09EwE0CqkOc4q9oUmW1yo/edit?usp=sharing"",""นครสวรรค์!J16"")"),0)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IFERROR(__xludf.DUMMYFUNCTION("IMPORTRANGE(""https://docs.google.com/spreadsheets/d/11923uPwbBZFjjGgGUA6NLw09EwE0CqkOc4q9oUmW1yo/edit?usp=sharing"",""นครสวรรค์!J17"")"),1)</f>
        <v>1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IFERROR(__xludf.DUMMYFUNCTION("IMPORTRANGE(""https://docs.google.com/spreadsheets/d/11923uPwbBZFjjGgGUA6NLw09EwE0CqkOc4q9oUmW1yo/edit?usp=sharing"",""นครสวรรค์!J18"")"),1)</f>
        <v>1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IFERROR(__xludf.DUMMYFUNCTION("IMPORTRANGE(""https://docs.google.com/spreadsheets/d/11923uPwbBZFjjGgGUA6NLw09EwE0CqkOc4q9oUmW1yo/edit?usp=sharing"",""นครสวรรค์!J19"")"),1)</f>
        <v>1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IFERROR(__xludf.DUMMYFUNCTION("IMPORTRANGE(""https://docs.google.com/spreadsheets/d/11923uPwbBZFjjGgGUA6NLw09EwE0CqkOc4q9oUmW1yo/edit?usp=sharing"",""นครสวรรค์!I20"")"),1)</f>
        <v>1</v>
      </c>
      <c r="J80" s="202">
        <f ca="1">IFERROR(__xludf.DUMMYFUNCTION("IMPORTRANGE(""https://docs.google.com/spreadsheets/d/11923uPwbBZFjjGgGUA6NLw09EwE0CqkOc4q9oUmW1yo/edit?usp=sharing"",""นครสวรรค์!J20"")"),1)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IFERROR(__xludf.DUMMYFUNCTION("IMPORTRANGE(""https://docs.google.com/spreadsheets/d/11923uPwbBZFjjGgGUA6NLw09EwE0CqkOc4q9oUmW1yo/edit?usp=sharing"",""นครสวรรค์!I21"")"),40)</f>
        <v>40</v>
      </c>
      <c r="J81" s="202">
        <f ca="1">IFERROR(__xludf.DUMMYFUNCTION("IMPORTRANGE(""https://docs.google.com/spreadsheets/d/11923uPwbBZFjjGgGUA6NLw09EwE0CqkOc4q9oUmW1yo/edit?usp=sharing"",""นครสวรรค์!J21"")"),40)</f>
        <v>40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IFERROR(__xludf.DUMMYFUNCTION("IMPORTRANGE(""https://docs.google.com/spreadsheets/d/11923uPwbBZFjjGgGUA6NLw09EwE0CqkOc4q9oUmW1yo/edit?usp=sharing"",""นครสวรรค์!I22"")"),0)</f>
        <v>0</v>
      </c>
      <c r="J82" s="205">
        <f ca="1">IFERROR(__xludf.DUMMYFUNCTION("IMPORTRANGE(""https://docs.google.com/spreadsheets/d/11923uPwbBZFjjGgGUA6NLw09EwE0CqkOc4q9oUmW1yo/edit?usp=sharing"",""นครสวรรค์!J22"")"),0)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IFERROR(__xludf.DUMMYFUNCTION("IMPORTRANGE(""https://docs.google.com/spreadsheets/d/11923uPwbBZFjjGgGUA6NLw09EwE0CqkOc4q9oUmW1yo/edit?usp=sharing"",""นครสวรรค์!I23"")"),0)</f>
        <v>0</v>
      </c>
      <c r="J83" s="205">
        <f ca="1">IFERROR(__xludf.DUMMYFUNCTION("IMPORTRANGE(""https://docs.google.com/spreadsheets/d/11923uPwbBZFjjGgGUA6NLw09EwE0CqkOc4q9oUmW1yo/edit?usp=sharing"",""นครสวรรค์!J23"")"),0)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IFERROR(__xludf.DUMMYFUNCTION("IMPORTRANGE(""https://docs.google.com/spreadsheets/d/11923uPwbBZFjjGgGUA6NLw09EwE0CqkOc4q9oUmW1yo/edit?usp=sharing"",""นครสวรรค์!I24"")"),1)</f>
        <v>1</v>
      </c>
      <c r="J84" s="190">
        <f ca="1">IFERROR(__xludf.DUMMYFUNCTION("IMPORTRANGE(""https://docs.google.com/spreadsheets/d/11923uPwbBZFjjGgGUA6NLw09EwE0CqkOc4q9oUmW1yo/edit?usp=sharing"",""นครสวรรค์!J24"")"),1)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IFERROR(__xludf.DUMMYFUNCTION("IMPORTRANGE(""https://docs.google.com/spreadsheets/d/11923uPwbBZFjjGgGUA6NLw09EwE0CqkOc4q9oUmW1yo/edit?usp=sharing"",""นครสวรรค์!I25"")"),40)</f>
        <v>40</v>
      </c>
      <c r="J85" s="190">
        <f ca="1">IFERROR(__xludf.DUMMYFUNCTION("IMPORTRANGE(""https://docs.google.com/spreadsheets/d/11923uPwbBZFjjGgGUA6NLw09EwE0CqkOc4q9oUmW1yo/edit?usp=sharing"",""นครสวรรค์!J25"")"),40)</f>
        <v>40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IFERROR(__xludf.DUMMYFUNCTION("IMPORTRANGE(""https://docs.google.com/spreadsheets/d/11923uPwbBZFjjGgGUA6NLw09EwE0CqkOc4q9oUmW1yo/edit?usp=sharing"",""นครสวรรค์!I26"")"),0)</f>
        <v>0</v>
      </c>
      <c r="J86" s="205">
        <f ca="1">IFERROR(__xludf.DUMMYFUNCTION("IMPORTRANGE(""https://docs.google.com/spreadsheets/d/11923uPwbBZFjjGgGUA6NLw09EwE0CqkOc4q9oUmW1yo/edit?usp=sharing"",""นครสวรรค์!J26"")"),0)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IFERROR(__xludf.DUMMYFUNCTION("IMPORTRANGE(""https://docs.google.com/spreadsheets/d/11923uPwbBZFjjGgGUA6NLw09EwE0CqkOc4q9oUmW1yo/edit?usp=sharing"",""นครสวรรค์!I27"")"),0)</f>
        <v>0</v>
      </c>
      <c r="J87" s="205">
        <f ca="1">IFERROR(__xludf.DUMMYFUNCTION("IMPORTRANGE(""https://docs.google.com/spreadsheets/d/11923uPwbBZFjjGgGUA6NLw09EwE0CqkOc4q9oUmW1yo/edit?usp=sharing"",""นครสวรรค์!J27"")"),0)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IFERROR(__xludf.DUMMYFUNCTION("IMPORTRANGE(""https://docs.google.com/spreadsheets/d/11923uPwbBZFjjGgGUA6NLw09EwE0CqkOc4q9oUmW1yo/edit?usp=sharing"",""นครสวรรค์!I28"")"),0)</f>
        <v>0</v>
      </c>
      <c r="J88" s="205">
        <f ca="1">IFERROR(__xludf.DUMMYFUNCTION("IMPORTRANGE(""https://docs.google.com/spreadsheets/d/11923uPwbBZFjjGgGUA6NLw09EwE0CqkOc4q9oUmW1yo/edit?usp=sharing"",""นครสวรรค์!J28"")"),0)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IFERROR(__xludf.DUMMYFUNCTION("IMPORTRANGE(""https://docs.google.com/spreadsheets/d/11923uPwbBZFjjGgGUA6NLw09EwE0CqkOc4q9oUmW1yo/edit?usp=sharing"",""นครสวรรค์!J29"")"),0)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IFERROR(__xludf.DUMMYFUNCTION("IMPORTRANGE(""https://docs.google.com/spreadsheets/d/11923uPwbBZFjjGgGUA6NLw09EwE0CqkOc4q9oUmW1yo/edit?usp=sharing"",""นครสวรรค์!J30"")"),0)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IFERROR(__xludf.DUMMYFUNCTION("IMPORTRANGE(""https://docs.google.com/spreadsheets/d/11923uPwbBZFjjGgGUA6NLw09EwE0CqkOc4q9oUmW1yo/edit?usp=sharing"",""นครสวรรค์!I32"")"),4)</f>
        <v>4</v>
      </c>
      <c r="J92" s="144">
        <f ca="1">IFERROR(__xludf.DUMMYFUNCTION("IMPORTRANGE(""https://docs.google.com/spreadsheets/d/11923uPwbBZFjjGgGUA6NLw09EwE0CqkOc4q9oUmW1yo/edit?usp=sharing"",""นครสวรรค์!J32"")"),4)</f>
        <v>4</v>
      </c>
      <c r="K92" s="145">
        <f t="shared" ref="K92:K93" ca="1" si="51">IF(I92&gt;0,J92*100/I92,0)</f>
        <v>100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IFERROR(__xludf.DUMMYFUNCTION("IMPORTRANGE(""https://docs.google.com/spreadsheets/d/11923uPwbBZFjjGgGUA6NLw09EwE0CqkOc4q9oUmW1yo/edit?usp=sharing"",""นครสวรรค์!I33"")"),1)</f>
        <v>1</v>
      </c>
      <c r="J93" s="144">
        <f ca="1">IFERROR(__xludf.DUMMYFUNCTION("IMPORTRANGE(""https://docs.google.com/spreadsheets/d/11923uPwbBZFjjGgGUA6NLw09EwE0CqkOc4q9oUmW1yo/edit?usp=sharing"",""นครสวรรค์!J33"")"),1)</f>
        <v>1</v>
      </c>
      <c r="K93" s="145">
        <f t="shared" ca="1" si="51"/>
        <v>100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214500</v>
      </c>
      <c r="M94" s="154">
        <f t="shared" ca="1" si="52"/>
        <v>194455</v>
      </c>
      <c r="N94" s="154">
        <f t="shared" ca="1" si="52"/>
        <v>119540</v>
      </c>
      <c r="O94" s="153">
        <f t="shared" ref="O94:O96" ca="1" si="53">IF(L94&gt;0,N94*100/L94,0)</f>
        <v>55.729603729603731</v>
      </c>
      <c r="P94" s="153">
        <f t="shared" ref="P94:P96" ca="1" si="54">IF(M94&gt;0,N94*100/M94,0)</f>
        <v>61.474377105242858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214500</v>
      </c>
      <c r="M96" s="90">
        <f t="shared" ca="1" si="56"/>
        <v>194455</v>
      </c>
      <c r="N96" s="90">
        <f t="shared" ca="1" si="56"/>
        <v>119540</v>
      </c>
      <c r="O96" s="158">
        <f t="shared" ca="1" si="53"/>
        <v>55.729603729603731</v>
      </c>
      <c r="P96" s="158">
        <f t="shared" ca="1" si="54"/>
        <v>61.474377105242858</v>
      </c>
    </row>
    <row r="97" spans="1:16" ht="21.75" customHeight="1">
      <c r="A97" s="159"/>
      <c r="B97" s="160"/>
      <c r="C97" s="160" t="s">
        <v>16</v>
      </c>
      <c r="D97" s="570" t="s">
        <v>20</v>
      </c>
      <c r="E97" s="565"/>
      <c r="F97" s="565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IFERROR(__xludf.DUMMYFUNCTION("IMPORTRANGE(""https://docs.google.com/spreadsheets/d/1Yj_ptqi66GCucihVvJfMjLAmec39IyEx_6qawtMGysU/edit?usp=sharing"",""สบก!AR24"")"),102055)</f>
        <v>102055</v>
      </c>
      <c r="N98" s="170">
        <f ca="1">IFERROR(__xludf.DUMMYFUNCTION("IMPORTRANGE(""https://docs.google.com/spreadsheets/d/1Yj_ptqi66GCucihVvJfMjLAmec39IyEx_6qawtMGysU/edit?usp=sharing"",""สบก!AS24"")"),27140)</f>
        <v>27140</v>
      </c>
      <c r="O98" s="170">
        <f ca="1">IF(L98&gt;0,N98*100/L98,0)</f>
        <v>22.227682227682227</v>
      </c>
      <c r="P98" s="170">
        <f ca="1">IF(M98&gt;0,N98*100/M98,0)</f>
        <v>26.593503503013082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IFERROR(__xludf.DUMMYFUNCTION("IMPORTRANGE(""https://docs.google.com/spreadsheets/d/1Yj_ptqi66GCucihVvJfMjLAmec39IyEx_6qawtMGysU/edit?usp=sharing"",""สบก!AN24"")"),0)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IFERROR(__xludf.DUMMYFUNCTION("IMPORTRANGE(""https://docs.google.com/spreadsheets/d/1Yj_ptqi66GCucihVvJfMjLAmec39IyEx_6qawtMGysU/edit?usp=sharing"",""สบก!AO24"")"),122100)</f>
        <v>122100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IFERROR(__xludf.DUMMYFUNCTION("IMPORTRANGE(""https://docs.google.com/spreadsheets/d/1Yj_ptqi66GCucihVvJfMjLAmec39IyEx_6qawtMGysU/edit?usp=sharing"",""สบก!AP24"")"),92400)</f>
        <v>92400</v>
      </c>
      <c r="M102" s="52">
        <f ca="1">L102</f>
        <v>92400</v>
      </c>
      <c r="N102" s="52">
        <f ca="1">IFERROR(__xludf.DUMMYFUNCTION("IMPORTRANGE(""https://docs.google.com/spreadsheets/d/1Yj_ptqi66GCucihVvJfMjLAmec39IyEx_6qawtMGysU/edit?usp=sharing"",""สบก!AT24"")"),92400)</f>
        <v>92400</v>
      </c>
      <c r="O102" s="52">
        <f ca="1">IF(L102&gt;0,N102*100/L102,0)</f>
        <v>100</v>
      </c>
      <c r="P102" s="52">
        <f ca="1">IF(M102&gt;0,N102*100/M102,0)</f>
        <v>100</v>
      </c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IFERROR(__xludf.DUMMYFUNCTION("IMPORTRANGE(""https://docs.google.com/spreadsheets/d/11923uPwbBZFjjGgGUA6NLw09EwE0CqkOc4q9oUmW1yo/edit?usp=sharing"",""นครสวรรค์!J39"")"),0)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IFERROR(__xludf.DUMMYFUNCTION("IMPORTRANGE(""https://docs.google.com/spreadsheets/d/11923uPwbBZFjjGgGUA6NLw09EwE0CqkOc4q9oUmW1yo/edit?usp=sharing"",""นครสวรรค์!J40"")"),1)</f>
        <v>1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IFERROR(__xludf.DUMMYFUNCTION("IMPORTRANGE(""https://docs.google.com/spreadsheets/d/11923uPwbBZFjjGgGUA6NLw09EwE0CqkOc4q9oUmW1yo/edit?usp=sharing"",""นครสวรรค์!J41"")"),1)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IFERROR(__xludf.DUMMYFUNCTION("IMPORTRANGE(""https://docs.google.com/spreadsheets/d/11923uPwbBZFjjGgGUA6NLw09EwE0CqkOc4q9oUmW1yo/edit?usp=sharing"",""นครสวรรค์!J42"")"),1)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IFERROR(__xludf.DUMMYFUNCTION("IMPORTRANGE(""https://docs.google.com/spreadsheets/d/11923uPwbBZFjjGgGUA6NLw09EwE0CqkOc4q9oUmW1yo/edit?usp=sharing"",""นครสวรรค์!I43"")"),1)</f>
        <v>1</v>
      </c>
      <c r="J108" s="205">
        <f ca="1">IFERROR(__xludf.DUMMYFUNCTION("IMPORTRANGE(""https://docs.google.com/spreadsheets/d/11923uPwbBZFjjGgGUA6NLw09EwE0CqkOc4q9oUmW1yo/edit?usp=sharing"",""นครสวรรค์!J43"")"),1)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IFERROR(__xludf.DUMMYFUNCTION("IMPORTRANGE(""https://docs.google.com/spreadsheets/d/11923uPwbBZFjjGgGUA6NLw09EwE0CqkOc4q9oUmW1yo/edit?usp=sharing"",""นครสวรรค์!I44"")"),4)</f>
        <v>4</v>
      </c>
      <c r="J109" s="205">
        <f ca="1">IFERROR(__xludf.DUMMYFUNCTION("IMPORTRANGE(""https://docs.google.com/spreadsheets/d/11923uPwbBZFjjGgGUA6NLw09EwE0CqkOc4q9oUmW1yo/edit?usp=sharing"",""นครสวรรค์!J44"")"),4)</f>
        <v>4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IFERROR(__xludf.DUMMYFUNCTION("IMPORTRANGE(""https://docs.google.com/spreadsheets/d/11923uPwbBZFjjGgGUA6NLw09EwE0CqkOc4q9oUmW1yo/edit?usp=sharing"",""นครสวรรค์!I45"")"),4)</f>
        <v>4</v>
      </c>
      <c r="J110" s="205">
        <f ca="1">IFERROR(__xludf.DUMMYFUNCTION("IMPORTRANGE(""https://docs.google.com/spreadsheets/d/11923uPwbBZFjjGgGUA6NLw09EwE0CqkOc4q9oUmW1yo/edit?usp=sharing"",""นครสวรรค์!J45"")"),4)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IFERROR(__xludf.DUMMYFUNCTION("IMPORTRANGE(""https://docs.google.com/spreadsheets/d/11923uPwbBZFjjGgGUA6NLw09EwE0CqkOc4q9oUmW1yo/edit?usp=sharing"",""นครสวรรค์!I46"")"),4)</f>
        <v>4</v>
      </c>
      <c r="J111" s="205">
        <f ca="1">IFERROR(__xludf.DUMMYFUNCTION("IMPORTRANGE(""https://docs.google.com/spreadsheets/d/11923uPwbBZFjjGgGUA6NLw09EwE0CqkOc4q9oUmW1yo/edit?usp=sharing"",""นครสวรรค์!J46"")"),4)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IFERROR(__xludf.DUMMYFUNCTION("IMPORTRANGE(""https://docs.google.com/spreadsheets/d/11923uPwbBZFjjGgGUA6NLw09EwE0CqkOc4q9oUmW1yo/edit?usp=sharing"",""นครสวรรค์!I47"")"),4)</f>
        <v>4</v>
      </c>
      <c r="J112" s="205">
        <f ca="1">IFERROR(__xludf.DUMMYFUNCTION("IMPORTRANGE(""https://docs.google.com/spreadsheets/d/11923uPwbBZFjjGgGUA6NLw09EwE0CqkOc4q9oUmW1yo/edit?usp=sharing"",""นครสวรรค์!J47"")"),4)</f>
        <v>4</v>
      </c>
      <c r="K112" s="225">
        <f t="shared" ca="1" si="57"/>
        <v>100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IFERROR(__xludf.DUMMYFUNCTION("IMPORTRANGE(""https://docs.google.com/spreadsheets/d/11923uPwbBZFjjGgGUA6NLw09EwE0CqkOc4q9oUmW1yo/edit?usp=sharing"",""นครสวรรค์!I48"")"),1)</f>
        <v>1</v>
      </c>
      <c r="J113" s="205">
        <f ca="1">IFERROR(__xludf.DUMMYFUNCTION("IMPORTRANGE(""https://docs.google.com/spreadsheets/d/11923uPwbBZFjjGgGUA6NLw09EwE0CqkOc4q9oUmW1yo/edit?usp=sharing"",""นครสวรรค์!J48"")"),1)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IFERROR(__xludf.DUMMYFUNCTION("IMPORTRANGE(""https://docs.google.com/spreadsheets/d/11923uPwbBZFjjGgGUA6NLw09EwE0CqkOc4q9oUmW1yo/edit?usp=sharing"",""นครสวรรค์!J49"")"),0)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IFERROR(__xludf.DUMMYFUNCTION("IMPORTRANGE(""https://docs.google.com/spreadsheets/d/11923uPwbBZFjjGgGUA6NLw09EwE0CqkOc4q9oUmW1yo/edit?usp=sharing"",""นครสวรรค์!J50"")"),0)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IFERROR(__xludf.DUMMYFUNCTION("IMPORTRANGE(""https://docs.google.com/spreadsheets/d/11923uPwbBZFjjGgGUA6NLw09EwE0CqkOc4q9oUmW1yo/edit?usp=sharing"",""นครสวรรค์!I52"")"),20)</f>
        <v>20</v>
      </c>
      <c r="J117" s="144">
        <f ca="1">IFERROR(__xludf.DUMMYFUNCTION("IMPORTRANGE(""https://docs.google.com/spreadsheets/d/11923uPwbBZFjjGgGUA6NLw09EwE0CqkOc4q9oUmW1yo/edit?usp=sharing"",""นครสวรรค์!J52"")"),20)</f>
        <v>20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82440</v>
      </c>
      <c r="M118" s="154">
        <f t="shared" ca="1" si="58"/>
        <v>82440</v>
      </c>
      <c r="N118" s="154">
        <f t="shared" ca="1" si="58"/>
        <v>50100</v>
      </c>
      <c r="O118" s="153">
        <f t="shared" ref="O118:O120" ca="1" si="59">IF(L118&gt;0,N118*100/L118,0)</f>
        <v>60.771470160116451</v>
      </c>
      <c r="P118" s="153">
        <f t="shared" ref="P118:P120" ca="1" si="60">IF(M118&gt;0,N118*100/M118,0)</f>
        <v>60.771470160116451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82440</v>
      </c>
      <c r="M120" s="90">
        <f t="shared" ca="1" si="62"/>
        <v>82440</v>
      </c>
      <c r="N120" s="90">
        <f t="shared" ca="1" si="62"/>
        <v>50100</v>
      </c>
      <c r="O120" s="158">
        <f t="shared" ca="1" si="59"/>
        <v>60.771470160116451</v>
      </c>
      <c r="P120" s="158">
        <f t="shared" ca="1" si="60"/>
        <v>60.771470160116451</v>
      </c>
    </row>
    <row r="121" spans="1:16" ht="21.75" customHeight="1">
      <c r="A121" s="159"/>
      <c r="B121" s="160"/>
      <c r="C121" s="160" t="s">
        <v>16</v>
      </c>
      <c r="D121" s="570" t="s">
        <v>20</v>
      </c>
      <c r="E121" s="565"/>
      <c r="F121" s="565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IFERROR(__xludf.DUMMYFUNCTION("IMPORTRANGE(""https://docs.google.com/spreadsheets/d/1Yj_ptqi66GCucihVvJfMjLAmec39IyEx_6qawtMGysU/edit?usp=sharing"",""สบก!BA24"")"),82440)</f>
        <v>82440</v>
      </c>
      <c r="N122" s="170">
        <f ca="1">IFERROR(__xludf.DUMMYFUNCTION("IMPORTRANGE(""https://docs.google.com/spreadsheets/d/1Yj_ptqi66GCucihVvJfMjLAmec39IyEx_6qawtMGysU/edit?usp=sharing"",""สบก!BB24"")"),50100)</f>
        <v>50100</v>
      </c>
      <c r="O122" s="170">
        <f ca="1">IF(L122&gt;0,N122*100/L122,0)</f>
        <v>60.771470160116451</v>
      </c>
      <c r="P122" s="170">
        <f ca="1">IF(M122&gt;0,N122*100/M122,0)</f>
        <v>60.771470160116451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IFERROR(__xludf.DUMMYFUNCTION("IMPORTRANGE(""https://docs.google.com/spreadsheets/d/1Yj_ptqi66GCucihVvJfMjLAmec39IyEx_6qawtMGysU/edit?usp=sharing"",""สบก!AW24"")"),0)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IFERROR(__xludf.DUMMYFUNCTION("IMPORTRANGE(""https://docs.google.com/spreadsheets/d/1Yj_ptqi66GCucihVvJfMjLAmec39IyEx_6qawtMGysU/edit?usp=sharing"",""สบก!AX24"")"),82440)</f>
        <v>82440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IFERROR(__xludf.DUMMYFUNCTION("IMPORTRANGE(""https://docs.google.com/spreadsheets/d/1Yj_ptqi66GCucihVvJfMjLAmec39IyEx_6qawtMGysU/edit?usp=sharing"",""สบก!AY24"")"),0)</f>
        <v>0</v>
      </c>
      <c r="M126" s="52"/>
      <c r="N126" s="52">
        <f ca="1">IFERROR(__xludf.DUMMYFUNCTION("IMPORTRANGE(""https://docs.google.com/spreadsheets/d/1Yj_ptqi66GCucihVvJfMjLAmec39IyEx_6qawtMGysU/edit?usp=sharing"",""สบก!BC24"")"),0)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269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IFERROR(__xludf.DUMMYFUNCTION("IMPORTRANGE(""https://docs.google.com/spreadsheets/d/11923uPwbBZFjjGgGUA6NLw09EwE0CqkOc4q9oUmW1yo/edit?usp=sharing"",""นครสวรรค์!J58"")"),0)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IFERROR(__xludf.DUMMYFUNCTION("IMPORTRANGE(""https://docs.google.com/spreadsheets/d/11923uPwbBZFjjGgGUA6NLw09EwE0CqkOc4q9oUmW1yo/edit?usp=sharing"",""นครสวรรค์!J59"")"),1)</f>
        <v>1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IFERROR(__xludf.DUMMYFUNCTION("IMPORTRANGE(""https://docs.google.com/spreadsheets/d/11923uPwbBZFjjGgGUA6NLw09EwE0CqkOc4q9oUmW1yo/edit?usp=sharing"",""นครสวรรค์!J60"")"),1)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IFERROR(__xludf.DUMMYFUNCTION("IMPORTRANGE(""https://docs.google.com/spreadsheets/d/11923uPwbBZFjjGgGUA6NLw09EwE0CqkOc4q9oUmW1yo/edit?usp=sharing"",""นครสวรรค์!J61"")"),1)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IFERROR(__xludf.DUMMYFUNCTION("IMPORTRANGE(""https://docs.google.com/spreadsheets/d/11923uPwbBZFjjGgGUA6NLw09EwE0CqkOc4q9oUmW1yo/edit?usp=sharing"",""นครสวรรค์!I62"")"),20)</f>
        <v>20</v>
      </c>
      <c r="J132" s="205">
        <f ca="1">IFERROR(__xludf.DUMMYFUNCTION("IMPORTRANGE(""https://docs.google.com/spreadsheets/d/11923uPwbBZFjjGgGUA6NLw09EwE0CqkOc4q9oUmW1yo/edit?usp=sharing"",""นครสวรรค์!J62"")"),20)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IFERROR(__xludf.DUMMYFUNCTION("IMPORTRANGE(""https://docs.google.com/spreadsheets/d/11923uPwbBZFjjGgGUA6NLw09EwE0CqkOc4q9oUmW1yo/edit?usp=sharing"",""นครสวรรค์!I63"")"),20)</f>
        <v>20</v>
      </c>
      <c r="J133" s="205">
        <f ca="1">IFERROR(__xludf.DUMMYFUNCTION("IMPORTRANGE(""https://docs.google.com/spreadsheets/d/11923uPwbBZFjjGgGUA6NLw09EwE0CqkOc4q9oUmW1yo/edit?usp=sharing"",""นครสวรรค์!J63"")"),20)</f>
        <v>20</v>
      </c>
      <c r="K133" s="225">
        <f t="shared" ca="1" si="63"/>
        <v>100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IFERROR(__xludf.DUMMYFUNCTION("IMPORTRANGE(""https://docs.google.com/spreadsheets/d/11923uPwbBZFjjGgGUA6NLw09EwE0CqkOc4q9oUmW1yo/edit?usp=sharing"",""นครสวรรค์!J64"")"),0)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IFERROR(__xludf.DUMMYFUNCTION("IMPORTRANGE(""https://docs.google.com/spreadsheets/d/11923uPwbBZFjjGgGUA6NLw09EwE0CqkOc4q9oUmW1yo/edit?usp=sharing"",""นครสวรรค์!J65"")"),0)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IFERROR(__xludf.DUMMYFUNCTION("IMPORTRANGE(""https://docs.google.com/spreadsheets/d/11923uPwbBZFjjGgGUA6NLw09EwE0CqkOc4q9oUmW1yo/edit?usp=sharing"",""นครสวรรค์!I68"")"),0)</f>
        <v>0</v>
      </c>
      <c r="J138" s="268">
        <f ca="1">IFERROR(__xludf.DUMMYFUNCTION("IMPORTRANGE(""https://docs.google.com/spreadsheets/d/11923uPwbBZFjjGgGUA6NLw09EwE0CqkOc4q9oUmW1yo/edit?usp=sharing"",""นครสวรรค์!J68"")"),0)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163500</v>
      </c>
      <c r="M140" s="154">
        <f t="shared" ca="1" si="64"/>
        <v>83625</v>
      </c>
      <c r="N140" s="154">
        <f t="shared" ca="1" si="64"/>
        <v>79500</v>
      </c>
      <c r="O140" s="153">
        <f t="shared" ref="O140:O142" ca="1" si="65">IF(L140&gt;0,N140*100/L140,0)</f>
        <v>48.623853211009177</v>
      </c>
      <c r="P140" s="153">
        <f t="shared" ref="P140:P142" ca="1" si="66">IF(M140&gt;0,N140*100/M140,0)</f>
        <v>95.067264573991025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163500</v>
      </c>
      <c r="M142" s="90">
        <f t="shared" ca="1" si="68"/>
        <v>83625</v>
      </c>
      <c r="N142" s="90">
        <f t="shared" ca="1" si="68"/>
        <v>79500</v>
      </c>
      <c r="O142" s="158">
        <f t="shared" ca="1" si="65"/>
        <v>48.623853211009177</v>
      </c>
      <c r="P142" s="158">
        <f t="shared" ca="1" si="66"/>
        <v>95.067264573991025</v>
      </c>
    </row>
    <row r="143" spans="1:16" ht="21.75" customHeight="1">
      <c r="A143" s="159"/>
      <c r="B143" s="160"/>
      <c r="C143" s="160" t="s">
        <v>16</v>
      </c>
      <c r="D143" s="570" t="s">
        <v>20</v>
      </c>
      <c r="E143" s="565"/>
      <c r="F143" s="565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163500</v>
      </c>
      <c r="M144" s="169">
        <f ca="1">IFERROR(__xludf.DUMMYFUNCTION("IMPORTRANGE(""https://docs.google.com/spreadsheets/d/1Yj_ptqi66GCucihVvJfMjLAmec39IyEx_6qawtMGysU/edit?usp=sharing"",""สบก!BJ24"")"),83625)</f>
        <v>83625</v>
      </c>
      <c r="N144" s="170">
        <f ca="1">IFERROR(__xludf.DUMMYFUNCTION("IMPORTRANGE(""https://docs.google.com/spreadsheets/d/1Yj_ptqi66GCucihVvJfMjLAmec39IyEx_6qawtMGysU/edit?usp=sharing"",""สบก!BK24"")"),79500)</f>
        <v>79500</v>
      </c>
      <c r="O144" s="170">
        <f ca="1">IF(L144&gt;0,N144*100/L144,0)</f>
        <v>48.623853211009177</v>
      </c>
      <c r="P144" s="170">
        <f ca="1">IF(M144&gt;0,N144*100/M144,0)</f>
        <v>95.067264573991025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IFERROR(__xludf.DUMMYFUNCTION("IMPORTRANGE(""https://docs.google.com/spreadsheets/d/1Yj_ptqi66GCucihVvJfMjLAmec39IyEx_6qawtMGysU/edit?usp=sharing"",""สบก!BF24"")"),0)</f>
        <v>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IFERROR(__xludf.DUMMYFUNCTION("IMPORTRANGE(""https://docs.google.com/spreadsheets/d/1Yj_ptqi66GCucihVvJfMjLAmec39IyEx_6qawtMGysU/edit?usp=sharing"",""สบก!BG24"")"),163500)</f>
        <v>163500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IFERROR(__xludf.DUMMYFUNCTION("IMPORTRANGE(""https://docs.google.com/spreadsheets/d/1Yj_ptqi66GCucihVvJfMjLAmec39IyEx_6qawtMGysU/edit?usp=sharing"",""สบก!BH24"")"),0)</f>
        <v>0</v>
      </c>
      <c r="M148" s="52"/>
      <c r="N148" s="52">
        <f ca="1">IFERROR(__xludf.DUMMYFUNCTION("IMPORTRANGE(""https://docs.google.com/spreadsheets/d/1Yj_ptqi66GCucihVvJfMjLAmec39IyEx_6qawtMGysU/edit?usp=sharing"",""สบก!BL24"")"),0)</f>
        <v>0</v>
      </c>
      <c r="O148" s="52">
        <f ca="1">IF(L148&gt;0,N148*100/L148,0)</f>
        <v>0</v>
      </c>
      <c r="P148" s="52"/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IFERROR(__xludf.DUMMYFUNCTION("IMPORTRANGE(""https://docs.google.com/spreadsheets/d/11923uPwbBZFjjGgGUA6NLw09EwE0CqkOc4q9oUmW1yo/edit?usp=sharing"",""นครสวรรค์!I74"")"),4)</f>
        <v>4</v>
      </c>
      <c r="J149" s="276">
        <f ca="1">IFERROR(__xludf.DUMMYFUNCTION("IMPORTRANGE(""https://docs.google.com/spreadsheets/d/11923uPwbBZFjjGgGUA6NLw09EwE0CqkOc4q9oUmW1yo/edit?usp=sharing"",""นครสวรรค์!J74"")"),2)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IFERROR(__xludf.DUMMYFUNCTION("IMPORTRANGE(""https://docs.google.com/spreadsheets/d/11923uPwbBZFjjGgGUA6NLw09EwE0CqkOc4q9oUmW1yo/edit?usp=sharing"",""นครสวรรค์!J79"")"),0)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IFERROR(__xludf.DUMMYFUNCTION("IMPORTRANGE(""https://docs.google.com/spreadsheets/d/11923uPwbBZFjjGgGUA6NLw09EwE0CqkOc4q9oUmW1yo/edit?usp=sharing"",""นครสวรรค์!J80"")"),1)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IFERROR(__xludf.DUMMYFUNCTION("IMPORTRANGE(""https://docs.google.com/spreadsheets/d/11923uPwbBZFjjGgGUA6NLw09EwE0CqkOc4q9oUmW1yo/edit?usp=sharing"",""นครสวรรค์!J81"")"),1)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IFERROR(__xludf.DUMMYFUNCTION("IMPORTRANGE(""https://docs.google.com/spreadsheets/d/11923uPwbBZFjjGgGUA6NLw09EwE0CqkOc4q9oUmW1yo/edit?usp=sharing"",""นครสวรรค์!J82"")"),1)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IFERROR(__xludf.DUMMYFUNCTION("IMPORTRANGE(""https://docs.google.com/spreadsheets/d/11923uPwbBZFjjGgGUA6NLw09EwE0CqkOc4q9oUmW1yo/edit?usp=sharing"",""นครสวรรค์!I83"")"),4)</f>
        <v>4</v>
      </c>
      <c r="J158" s="190">
        <f ca="1">IFERROR(__xludf.DUMMYFUNCTION("IMPORTRANGE(""https://docs.google.com/spreadsheets/d/11923uPwbBZFjjGgGUA6NLw09EwE0CqkOc4q9oUmW1yo/edit?usp=sharing"",""นครสวรรค์!J83"")"),2)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IFERROR(__xludf.DUMMYFUNCTION("IMPORTRANGE(""https://docs.google.com/spreadsheets/d/11923uPwbBZFjjGgGUA6NLw09EwE0CqkOc4q9oUmW1yo/edit?usp=sharing"",""นครสวรรค์!J84"")"),66)</f>
        <v>66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IFERROR(__xludf.DUMMYFUNCTION("IMPORTRANGE(""https://docs.google.com/spreadsheets/d/11923uPwbBZFjjGgGUA6NLw09EwE0CqkOc4q9oUmW1yo/edit?usp=sharing"",""นครสวรรค์!J85"")"),66)</f>
        <v>66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IFERROR(__xludf.DUMMYFUNCTION("IMPORTRANGE(""https://docs.google.com/spreadsheets/d/11923uPwbBZFjjGgGUA6NLw09EwE0CqkOc4q9oUmW1yo/edit?usp=sharing"",""นครสวรรค์!J86"")"),0)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IFERROR(__xludf.DUMMYFUNCTION("IMPORTRANGE(""https://docs.google.com/spreadsheets/d/11923uPwbBZFjjGgGUA6NLw09EwE0CqkOc4q9oUmW1yo/edit?usp=sharing"",""นครสวรรค์!J87"")"),0)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IFERROR(__xludf.DUMMYFUNCTION("IMPORTRANGE(""https://docs.google.com/spreadsheets/d/11923uPwbBZFjjGgGUA6NLw09EwE0CqkOc4q9oUmW1yo/edit?usp=sharing"",""นครสวรรค์!J88"")"),0)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IFERROR(__xludf.DUMMYFUNCTION("IMPORTRANGE(""https://docs.google.com/spreadsheets/d/11923uPwbBZFjjGgGUA6NLw09EwE0CqkOc4q9oUmW1yo/edit?usp=sharing"",""นครสวรรค์!I89"")"),5)</f>
        <v>5</v>
      </c>
      <c r="J164" s="285">
        <f ca="1">IFERROR(__xludf.DUMMYFUNCTION("IMPORTRANGE(""https://docs.google.com/spreadsheets/d/11923uPwbBZFjjGgGUA6NLw09EwE0CqkOc4q9oUmW1yo/edit?usp=sharing"",""นครสวรรค์!J89"")"),5)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IFERROR(__xludf.DUMMYFUNCTION("IMPORTRANGE(""https://docs.google.com/spreadsheets/d/11923uPwbBZFjjGgGUA6NLw09EwE0CqkOc4q9oUmW1yo/edit?usp=sharing"",""นครสวรรค์!J94"")"),0)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IFERROR(__xludf.DUMMYFUNCTION("IMPORTRANGE(""https://docs.google.com/spreadsheets/d/11923uPwbBZFjjGgGUA6NLw09EwE0CqkOc4q9oUmW1yo/edit?usp=sharing"",""นครสวรรค์!J95"")"),1)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IFERROR(__xludf.DUMMYFUNCTION("IMPORTRANGE(""https://docs.google.com/spreadsheets/d/11923uPwbBZFjjGgGUA6NLw09EwE0CqkOc4q9oUmW1yo/edit?usp=sharing"",""นครสวรรค์!J96"")"),1)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IFERROR(__xludf.DUMMYFUNCTION("IMPORTRANGE(""https://docs.google.com/spreadsheets/d/11923uPwbBZFjjGgGUA6NLw09EwE0CqkOc4q9oUmW1yo/edit?usp=sharing"",""นครสวรรค์!J97"")"),1)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IFERROR(__xludf.DUMMYFUNCTION("IMPORTRANGE(""https://docs.google.com/spreadsheets/d/11923uPwbBZFjjGgGUA6NLw09EwE0CqkOc4q9oUmW1yo/edit?usp=sharing"",""นครสวรรค์!I98"")"),5)</f>
        <v>5</v>
      </c>
      <c r="J173" s="190">
        <f ca="1">IFERROR(__xludf.DUMMYFUNCTION("IMPORTRANGE(""https://docs.google.com/spreadsheets/d/11923uPwbBZFjjGgGUA6NLw09EwE0CqkOc4q9oUmW1yo/edit?usp=sharing"",""นครสวรรค์!J98"")"),5)</f>
        <v>5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IFERROR(__xludf.DUMMYFUNCTION("IMPORTRANGE(""https://docs.google.com/spreadsheets/d/11923uPwbBZFjjGgGUA6NLw09EwE0CqkOc4q9oUmW1yo/edit?usp=sharing"",""นครสวรรค์!J99"")"),1)</f>
        <v>1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IFERROR(__xludf.DUMMYFUNCTION("IMPORTRANGE(""https://docs.google.com/spreadsheets/d/11923uPwbBZFjjGgGUA6NLw09EwE0CqkOc4q9oUmW1yo/edit?usp=sharing"",""นครสวรรค์!J100"")"),0)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IFERROR(__xludf.DUMMYFUNCTION("IMPORTRANGE(""https://docs.google.com/spreadsheets/d/11923uPwbBZFjjGgGUA6NLw09EwE0CqkOc4q9oUmW1yo/edit?usp=sharing"",""นครสวรรค์!I101"")"),0)</f>
        <v>0</v>
      </c>
      <c r="J176" s="285">
        <f ca="1">IFERROR(__xludf.DUMMYFUNCTION("IMPORTRANGE(""https://docs.google.com/spreadsheets/d/11923uPwbBZFjjGgGUA6NLw09EwE0CqkOc4q9oUmW1yo/edit?usp=sharing"",""นครสวรรค์!J101"")"),0)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IFERROR(__xludf.DUMMYFUNCTION("IMPORTRANGE(""https://docs.google.com/spreadsheets/d/11923uPwbBZFjjGgGUA6NLw09EwE0CqkOc4q9oUmW1yo/edit?usp=sharing"",""นครสวรรค์!J106"")"),0)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IFERROR(__xludf.DUMMYFUNCTION("IMPORTRANGE(""https://docs.google.com/spreadsheets/d/11923uPwbBZFjjGgGUA6NLw09EwE0CqkOc4q9oUmW1yo/edit?usp=sharing"",""นครสวรรค์!J107"")"),0)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IFERROR(__xludf.DUMMYFUNCTION("IMPORTRANGE(""https://docs.google.com/spreadsheets/d/11923uPwbBZFjjGgGUA6NLw09EwE0CqkOc4q9oUmW1yo/edit?usp=sharing"",""นครสวรรค์!J108"")"),0)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IFERROR(__xludf.DUMMYFUNCTION("IMPORTRANGE(""https://docs.google.com/spreadsheets/d/11923uPwbBZFjjGgGUA6NLw09EwE0CqkOc4q9oUmW1yo/edit?usp=sharing"",""นครสวรรค์!J109"")"),0)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IFERROR(__xludf.DUMMYFUNCTION("IMPORTRANGE(""https://docs.google.com/spreadsheets/d/11923uPwbBZFjjGgGUA6NLw09EwE0CqkOc4q9oUmW1yo/edit?usp=sharing"",""นครสวรรค์!I110"")"),0)</f>
        <v>0</v>
      </c>
      <c r="J185" s="205">
        <f ca="1">IFERROR(__xludf.DUMMYFUNCTION("IMPORTRANGE(""https://docs.google.com/spreadsheets/d/11923uPwbBZFjjGgGUA6NLw09EwE0CqkOc4q9oUmW1yo/edit?usp=sharing"",""นครสวรรค์!J110"")"),0)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IFERROR(__xludf.DUMMYFUNCTION("IMPORTRANGE(""https://docs.google.com/spreadsheets/d/11923uPwbBZFjjGgGUA6NLw09EwE0CqkOc4q9oUmW1yo/edit?usp=sharing"",""นครสวรรค์!I111"")"),0)</f>
        <v>0</v>
      </c>
      <c r="J186" s="205">
        <f ca="1">IFERROR(__xludf.DUMMYFUNCTION("IMPORTRANGE(""https://docs.google.com/spreadsheets/d/11923uPwbBZFjjGgGUA6NLw09EwE0CqkOc4q9oUmW1yo/edit?usp=sharing"",""นครสวรรค์!J111"")"),0)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IFERROR(__xludf.DUMMYFUNCTION("IMPORTRANGE(""https://docs.google.com/spreadsheets/d/11923uPwbBZFjjGgGUA6NLw09EwE0CqkOc4q9oUmW1yo/edit?usp=sharing"",""นครสวรรค์!J112"")"),0)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IFERROR(__xludf.DUMMYFUNCTION("IMPORTRANGE(""https://docs.google.com/spreadsheets/d/11923uPwbBZFjjGgGUA6NLw09EwE0CqkOc4q9oUmW1yo/edit?usp=sharing"",""นครสวรรค์!J113"")"),0)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IFERROR(__xludf.DUMMYFUNCTION("IMPORTRANGE(""https://docs.google.com/spreadsheets/d/11923uPwbBZFjjGgGUA6NLw09EwE0CqkOc4q9oUmW1yo/edit?usp=sharing"",""นครสวรรค์!I114"")"),300000)</f>
        <v>300000</v>
      </c>
      <c r="J189" s="285">
        <f ca="1">IFERROR(__xludf.DUMMYFUNCTION("IMPORTRANGE(""https://docs.google.com/spreadsheets/d/11923uPwbBZFjjGgGUA6NLw09EwE0CqkOc4q9oUmW1yo/edit?usp=sharing"",""นครสวรรค์!J114"")"),0)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IFERROR(__xludf.DUMMYFUNCTION("IMPORTRANGE(""https://docs.google.com/spreadsheets/d/11923uPwbBZFjjGgGUA6NLw09EwE0CqkOc4q9oUmW1yo/edit?usp=sharing"",""นครสวรรค์!J119"")"),0)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IFERROR(__xludf.DUMMYFUNCTION("IMPORTRANGE(""https://docs.google.com/spreadsheets/d/11923uPwbBZFjjGgGUA6NLw09EwE0CqkOc4q9oUmW1yo/edit?usp=sharing"",""นครสวรรค์!J120"")"),1)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IFERROR(__xludf.DUMMYFUNCTION("IMPORTRANGE(""https://docs.google.com/spreadsheets/d/11923uPwbBZFjjGgGUA6NLw09EwE0CqkOc4q9oUmW1yo/edit?usp=sharing"",""นครสวรรค์!J121"")"),1)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IFERROR(__xludf.DUMMYFUNCTION("IMPORTRANGE(""https://docs.google.com/spreadsheets/d/11923uPwbBZFjjGgGUA6NLw09EwE0CqkOc4q9oUmW1yo/edit?usp=sharing"",""นครสวรรค์!J122"")"),1)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IFERROR(__xludf.DUMMYFUNCTION("IMPORTRANGE(""https://docs.google.com/spreadsheets/d/11923uPwbBZFjjGgGUA6NLw09EwE0CqkOc4q9oUmW1yo/edit?usp=sharing"",""นครสวรรค์!I124"")"),300000)</f>
        <v>300000</v>
      </c>
      <c r="J199" s="190">
        <f ca="1">IFERROR(__xludf.DUMMYFUNCTION("IMPORTRANGE(""https://docs.google.com/spreadsheets/d/11923uPwbBZFjjGgGUA6NLw09EwE0CqkOc4q9oUmW1yo/edit?usp=sharing"",""นครสวรรค์!J124"")"),300000)</f>
        <v>300000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IFERROR(__xludf.DUMMYFUNCTION("IMPORTRANGE(""https://docs.google.com/spreadsheets/d/11923uPwbBZFjjGgGUA6NLw09EwE0CqkOc4q9oUmW1yo/edit?usp=sharing"",""นครสวรรค์!I125"")"),300000)</f>
        <v>300000</v>
      </c>
      <c r="J200" s="190">
        <f ca="1">IFERROR(__xludf.DUMMYFUNCTION("IMPORTRANGE(""https://docs.google.com/spreadsheets/d/11923uPwbBZFjjGgGUA6NLw09EwE0CqkOc4q9oUmW1yo/edit?usp=sharing"",""นครสวรรค์!J125"")"),0)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IFERROR(__xludf.DUMMYFUNCTION("IMPORTRANGE(""https://docs.google.com/spreadsheets/d/11923uPwbBZFjjGgGUA6NLw09EwE0CqkOc4q9oUmW1yo/edit?usp=sharing"",""นครสวรรค์!I126"")"),0)</f>
        <v>0</v>
      </c>
      <c r="J201" s="190">
        <f ca="1">IFERROR(__xludf.DUMMYFUNCTION("IMPORTRANGE(""https://docs.google.com/spreadsheets/d/11923uPwbBZFjjGgGUA6NLw09EwE0CqkOc4q9oUmW1yo/edit?usp=sharing"",""นครสวรรค์!J126"")"),0)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IFERROR(__xludf.DUMMYFUNCTION("IMPORTRANGE(""https://docs.google.com/spreadsheets/d/11923uPwbBZFjjGgGUA6NLw09EwE0CqkOc4q9oUmW1yo/edit?usp=sharing"",""นครสวรรค์!J127"")"),0)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IFERROR(__xludf.DUMMYFUNCTION("IMPORTRANGE(""https://docs.google.com/spreadsheets/d/11923uPwbBZFjjGgGUA6NLw09EwE0CqkOc4q9oUmW1yo/edit?usp=sharing"",""นครสวรรค์!J128"")"),0)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IFERROR(__xludf.DUMMYFUNCTION("IMPORTRANGE(""https://docs.google.com/spreadsheets/d/11923uPwbBZFjjGgGUA6NLw09EwE0CqkOc4q9oUmW1yo/edit?usp=sharing"",""นครสวรรค์!I129"")"),0)</f>
        <v>0</v>
      </c>
      <c r="J204" s="285">
        <f ca="1">IFERROR(__xludf.DUMMYFUNCTION("IMPORTRANGE(""https://docs.google.com/spreadsheets/d/11923uPwbBZFjjGgGUA6NLw09EwE0CqkOc4q9oUmW1yo/edit?usp=sharing"",""นครสวรรค์!J129"")"),0)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IFERROR(__xludf.DUMMYFUNCTION("IMPORTRANGE(""https://docs.google.com/spreadsheets/d/11923uPwbBZFjjGgGUA6NLw09EwE0CqkOc4q9oUmW1yo/edit?usp=sharing"",""นครสวรรค์!J134"")"),0)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IFERROR(__xludf.DUMMYFUNCTION("IMPORTRANGE(""https://docs.google.com/spreadsheets/d/11923uPwbBZFjjGgGUA6NLw09EwE0CqkOc4q9oUmW1yo/edit?usp=sharing"",""นครสวรรค์!J135"")"),0)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IFERROR(__xludf.DUMMYFUNCTION("IMPORTRANGE(""https://docs.google.com/spreadsheets/d/11923uPwbBZFjjGgGUA6NLw09EwE0CqkOc4q9oUmW1yo/edit?usp=sharing"",""นครสวรรค์!J136"")"),0)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IFERROR(__xludf.DUMMYFUNCTION("IMPORTRANGE(""https://docs.google.com/spreadsheets/d/11923uPwbBZFjjGgGUA6NLw09EwE0CqkOc4q9oUmW1yo/edit?usp=sharing"",""นครสวรรค์!J137"")"),0)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IFERROR(__xludf.DUMMYFUNCTION("IMPORTRANGE(""https://docs.google.com/spreadsheets/d/11923uPwbBZFjjGgGUA6NLw09EwE0CqkOc4q9oUmW1yo/edit?usp=sharing"",""นครสวรรค์!I138"")"),0)</f>
        <v>0</v>
      </c>
      <c r="J213" s="205">
        <f ca="1">IFERROR(__xludf.DUMMYFUNCTION("IMPORTRANGE(""https://docs.google.com/spreadsheets/d/11923uPwbBZFjjGgGUA6NLw09EwE0CqkOc4q9oUmW1yo/edit?usp=sharing"",""นครสวรรค์!J138"")"),0)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IFERROR(__xludf.DUMMYFUNCTION("IMPORTRANGE(""https://docs.google.com/spreadsheets/d/11923uPwbBZFjjGgGUA6NLw09EwE0CqkOc4q9oUmW1yo/edit?usp=sharing"",""นครสวรรค์!I140"")"),0)</f>
        <v>0</v>
      </c>
      <c r="J215" s="205">
        <f ca="1">IFERROR(__xludf.DUMMYFUNCTION("IMPORTRANGE(""https://docs.google.com/spreadsheets/d/11923uPwbBZFjjGgGUA6NLw09EwE0CqkOc4q9oUmW1yo/edit?usp=sharing"",""นครสวรรค์!J140"")"),0)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IFERROR(__xludf.DUMMYFUNCTION("IMPORTRANGE(""https://docs.google.com/spreadsheets/d/11923uPwbBZFjjGgGUA6NLw09EwE0CqkOc4q9oUmW1yo/edit?usp=sharing"",""นครสวรรค์!I141"")"),0)</f>
        <v>0</v>
      </c>
      <c r="J216" s="205">
        <f ca="1">IFERROR(__xludf.DUMMYFUNCTION("IMPORTRANGE(""https://docs.google.com/spreadsheets/d/11923uPwbBZFjjGgGUA6NLw09EwE0CqkOc4q9oUmW1yo/edit?usp=sharing"",""นครสวรรค์!J141"")"),0)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IFERROR(__xludf.DUMMYFUNCTION("IMPORTRANGE(""https://docs.google.com/spreadsheets/d/11923uPwbBZFjjGgGUA6NLw09EwE0CqkOc4q9oUmW1yo/edit?usp=sharing"",""นครสวรรค์!J142"")"),0)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IFERROR(__xludf.DUMMYFUNCTION("IMPORTRANGE(""https://docs.google.com/spreadsheets/d/11923uPwbBZFjjGgGUA6NLw09EwE0CqkOc4q9oUmW1yo/edit?usp=sharing"",""นครสวรรค์!J143"")"),0)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IFERROR(__xludf.DUMMYFUNCTION("IMPORTRANGE(""https://docs.google.com/spreadsheets/d/11923uPwbBZFjjGgGUA6NLw09EwE0CqkOc4q9oUmW1yo/edit?usp=sharing"",""นครสวรรค์!I144"")"),15)</f>
        <v>15</v>
      </c>
      <c r="J219" s="268">
        <f ca="1">IFERROR(__xludf.DUMMYFUNCTION("IMPORTRANGE(""https://docs.google.com/spreadsheets/d/11923uPwbBZFjjGgGUA6NLw09EwE0CqkOc4q9oUmW1yo/edit?usp=sharing"",""นครสวรรค์!J144"")"),15)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21125</v>
      </c>
      <c r="M222" s="90">
        <f t="shared" ca="1" si="76"/>
        <v>21125</v>
      </c>
      <c r="N222" s="90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59"/>
      <c r="B223" s="160"/>
      <c r="C223" s="160" t="s">
        <v>16</v>
      </c>
      <c r="D223" s="570" t="s">
        <v>20</v>
      </c>
      <c r="E223" s="565"/>
      <c r="F223" s="565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IFERROR(__xludf.DUMMYFUNCTION("IMPORTRANGE(""https://docs.google.com/spreadsheets/d/1Yj_ptqi66GCucihVvJfMjLAmec39IyEx_6qawtMGysU/edit?usp=sharing"",""สบก!BS24"")"),21125)</f>
        <v>21125</v>
      </c>
      <c r="N224" s="170">
        <f ca="1">IFERROR(__xludf.DUMMYFUNCTION("IMPORTRANGE(""https://docs.google.com/spreadsheets/d/1Yj_ptqi66GCucihVvJfMjLAmec39IyEx_6qawtMGysU/edit?usp=sharing"",""สบก!BT24"")"),21125)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IFERROR(__xludf.DUMMYFUNCTION("IMPORTRANGE(""https://docs.google.com/spreadsheets/d/1Yj_ptqi66GCucihVvJfMjLAmec39IyEx_6qawtMGysU/edit?usp=sharing"",""สบก!BO24"")"),0)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IFERROR(__xludf.DUMMYFUNCTION("IMPORTRANGE(""https://docs.google.com/spreadsheets/d/1Yj_ptqi66GCucihVvJfMjLAmec39IyEx_6qawtMGysU/edit?usp=sharing"",""สบก!BP24"")"),21125)</f>
        <v>21125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IFERROR(__xludf.DUMMYFUNCTION("IMPORTRANGE(""https://docs.google.com/spreadsheets/d/1Yj_ptqi66GCucihVvJfMjLAmec39IyEx_6qawtMGysU/edit?usp=sharing"",""สบก!BQ24"")"),0)</f>
        <v>0</v>
      </c>
      <c r="M228" s="52"/>
      <c r="N228" s="52">
        <f ca="1">IFERROR(__xludf.DUMMYFUNCTION("IMPORTRANGE(""https://docs.google.com/spreadsheets/d/1Yj_ptqi66GCucihVvJfMjLAmec39IyEx_6qawtMGysU/edit?usp=sharing"",""สบก!BU24"")"),0)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IFERROR(__xludf.DUMMYFUNCTION("IMPORTRANGE(""https://docs.google.com/spreadsheets/d/11923uPwbBZFjjGgGUA6NLw09EwE0CqkOc4q9oUmW1yo/edit?usp=sharing"",""นครสวรรค์!I149"")"),15)</f>
        <v>15</v>
      </c>
      <c r="J229" s="268">
        <f ca="1">IFERROR(__xludf.DUMMYFUNCTION("IMPORTRANGE(""https://docs.google.com/spreadsheets/d/11923uPwbBZFjjGgGUA6NLw09EwE0CqkOc4q9oUmW1yo/edit?usp=sharing"",""นครสวรรค์!J149"")"),15)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IFERROR(__xludf.DUMMYFUNCTION("IMPORTRANGE(""https://docs.google.com/spreadsheets/d/11923uPwbBZFjjGgGUA6NLw09EwE0CqkOc4q9oUmW1yo/edit?usp=sharing"",""นครสวรรค์!J151"")"),0)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IFERROR(__xludf.DUMMYFUNCTION("IMPORTRANGE(""https://docs.google.com/spreadsheets/d/11923uPwbBZFjjGgGUA6NLw09EwE0CqkOc4q9oUmW1yo/edit?usp=sharing"",""นครสวรรค์!J152"")"),1)</f>
        <v>1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IFERROR(__xludf.DUMMYFUNCTION("IMPORTRANGE(""https://docs.google.com/spreadsheets/d/11923uPwbBZFjjGgGUA6NLw09EwE0CqkOc4q9oUmW1yo/edit?usp=sharing"",""นครสวรรค์!J153"")"),1)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IFERROR(__xludf.DUMMYFUNCTION("IMPORTRANGE(""https://docs.google.com/spreadsheets/d/11923uPwbBZFjjGgGUA6NLw09EwE0CqkOc4q9oUmW1yo/edit?usp=sharing"",""นครสวรรค์!J154"")"),1)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IFERROR(__xludf.DUMMYFUNCTION("IMPORTRANGE(""https://docs.google.com/spreadsheets/d/11923uPwbBZFjjGgGUA6NLw09EwE0CqkOc4q9oUmW1yo/edit?usp=sharing"",""นครสวรรค์!I155"")"),15)</f>
        <v>15</v>
      </c>
      <c r="J235" s="190">
        <f ca="1">IFERROR(__xludf.DUMMYFUNCTION("IMPORTRANGE(""https://docs.google.com/spreadsheets/d/11923uPwbBZFjjGgGUA6NLw09EwE0CqkOc4q9oUmW1yo/edit?usp=sharing"",""นครสวรรค์!J155"")"),15)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IFERROR(__xludf.DUMMYFUNCTION("IMPORTRANGE(""https://docs.google.com/spreadsheets/d/11923uPwbBZFjjGgGUA6NLw09EwE0CqkOc4q9oUmW1yo/edit?usp=sharing"",""นครสวรรค์!J156"")"),0)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IFERROR(__xludf.DUMMYFUNCTION("IMPORTRANGE(""https://docs.google.com/spreadsheets/d/11923uPwbBZFjjGgGUA6NLw09EwE0CqkOc4q9oUmW1yo/edit?usp=sharing"",""นครสวรรค์!J157"")"),0)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IFERROR(__xludf.DUMMYFUNCTION("IMPORTRANGE(""https://docs.google.com/spreadsheets/d/11923uPwbBZFjjGgGUA6NLw09EwE0CqkOc4q9oUmW1yo/edit?usp=sharing"",""นครสวรรค์!I158"")"),0)</f>
        <v>0</v>
      </c>
      <c r="J238" s="268">
        <f ca="1">IFERROR(__xludf.DUMMYFUNCTION("IMPORTRANGE(""https://docs.google.com/spreadsheets/d/11923uPwbBZFjjGgGUA6NLw09EwE0CqkOc4q9oUmW1yo/edit?usp=sharing"",""นครสวรรค์!J158"")"),0)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IFERROR(__xludf.DUMMYFUNCTION("IMPORTRANGE(""https://docs.google.com/spreadsheets/d/11923uPwbBZFjjGgGUA6NLw09EwE0CqkOc4q9oUmW1yo/edit?usp=sharing"",""นครสวรรค์!J159"")"),"")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IFERROR(__xludf.DUMMYFUNCTION("IMPORTRANGE(""https://docs.google.com/spreadsheets/d/11923uPwbBZFjjGgGUA6NLw09EwE0CqkOc4q9oUmW1yo/edit?usp=sharing"",""นครสวรรค์!J161"")"),0)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IFERROR(__xludf.DUMMYFUNCTION("IMPORTRANGE(""https://docs.google.com/spreadsheets/d/11923uPwbBZFjjGgGUA6NLw09EwE0CqkOc4q9oUmW1yo/edit?usp=sharing"",""นครสวรรค์!J162"")"),0)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IFERROR(__xludf.DUMMYFUNCTION("IMPORTRANGE(""https://docs.google.com/spreadsheets/d/11923uPwbBZFjjGgGUA6NLw09EwE0CqkOc4q9oUmW1yo/edit?usp=sharing"",""นครสวรรค์!J163"")"),0)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IFERROR(__xludf.DUMMYFUNCTION("IMPORTRANGE(""https://docs.google.com/spreadsheets/d/11923uPwbBZFjjGgGUA6NLw09EwE0CqkOc4q9oUmW1yo/edit?usp=sharing"",""นครสวรรค์!I164"")"),0)</f>
        <v>0</v>
      </c>
      <c r="J244" s="189">
        <f ca="1">IFERROR(__xludf.DUMMYFUNCTION("IMPORTRANGE(""https://docs.google.com/spreadsheets/d/11923uPwbBZFjjGgGUA6NLw09EwE0CqkOc4q9oUmW1yo/edit?usp=sharing"",""นครสวรรค์!J164"")"),0)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IFERROR(__xludf.DUMMYFUNCTION("IMPORTRANGE(""https://docs.google.com/spreadsheets/d/11923uPwbBZFjjGgGUA6NLw09EwE0CqkOc4q9oUmW1yo/edit?usp=sharing"",""นครสวรรค์!J165"")"),0)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IFERROR(__xludf.DUMMYFUNCTION("IMPORTRANGE(""https://docs.google.com/spreadsheets/d/11923uPwbBZFjjGgGUA6NLw09EwE0CqkOc4q9oUmW1yo/edit?usp=sharing"",""นครสวรรค์!J166"")"),0)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IFERROR(__xludf.DUMMYFUNCTION("IMPORTRANGE(""https://docs.google.com/spreadsheets/d/11923uPwbBZFjjGgGUA6NLw09EwE0CqkOc4q9oUmW1yo/edit?usp=sharing"",""นครสวรรค์!I169"")"),25)</f>
        <v>25</v>
      </c>
      <c r="J249" s="317">
        <f ca="1">IFERROR(__xludf.DUMMYFUNCTION("IMPORTRANGE(""https://docs.google.com/spreadsheets/d/11923uPwbBZFjjGgGUA6NLw09EwE0CqkOc4q9oUmW1yo/edit?usp=sharing"",""นครสวรรค์!J169"")"),25)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89000</v>
      </c>
      <c r="M250" s="154">
        <f t="shared" ca="1" si="77"/>
        <v>47500</v>
      </c>
      <c r="N250" s="154">
        <f t="shared" ca="1" si="77"/>
        <v>53144</v>
      </c>
      <c r="O250" s="153">
        <f t="shared" ref="O250:O252" ca="1" si="78">IF(L250&gt;0,N250*100/L250,0)</f>
        <v>59.7123595505618</v>
      </c>
      <c r="P250" s="153">
        <f t="shared" ref="P250:P252" ca="1" si="79">IF(M250&gt;0,N250*100/M250,0)</f>
        <v>111.8821052631579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89000</v>
      </c>
      <c r="M252" s="90">
        <f t="shared" ca="1" si="81"/>
        <v>47500</v>
      </c>
      <c r="N252" s="90">
        <f t="shared" ca="1" si="81"/>
        <v>53144</v>
      </c>
      <c r="O252" s="158">
        <f t="shared" ca="1" si="78"/>
        <v>59.7123595505618</v>
      </c>
      <c r="P252" s="158">
        <f t="shared" ca="1" si="79"/>
        <v>111.8821052631579</v>
      </c>
    </row>
    <row r="253" spans="1:16" ht="21.75" customHeight="1">
      <c r="A253" s="159"/>
      <c r="B253" s="160"/>
      <c r="C253" s="160" t="s">
        <v>16</v>
      </c>
      <c r="D253" s="570" t="s">
        <v>20</v>
      </c>
      <c r="E253" s="565"/>
      <c r="F253" s="565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89000</v>
      </c>
      <c r="M254" s="169">
        <f ca="1">IFERROR(__xludf.DUMMYFUNCTION("IMPORTRANGE(""https://docs.google.com/spreadsheets/d/1Yj_ptqi66GCucihVvJfMjLAmec39IyEx_6qawtMGysU/edit?usp=sharing"",""สบก!CB24"")"),47500)</f>
        <v>47500</v>
      </c>
      <c r="N254" s="170">
        <f ca="1">IFERROR(__xludf.DUMMYFUNCTION("IMPORTRANGE(""https://docs.google.com/spreadsheets/d/1Yj_ptqi66GCucihVvJfMjLAmec39IyEx_6qawtMGysU/edit?usp=sharing"",""สบก!CC24"")"),53144)</f>
        <v>53144</v>
      </c>
      <c r="O254" s="170">
        <f ca="1">IF(L254&gt;0,N254*100/L254,0)</f>
        <v>59.7123595505618</v>
      </c>
      <c r="P254" s="170">
        <f ca="1">IF(M254&gt;0,N254*100/M254,0)</f>
        <v>111.8821052631579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IFERROR(__xludf.DUMMYFUNCTION("IMPORTRANGE(""https://docs.google.com/spreadsheets/d/1Yj_ptqi66GCucihVvJfMjLAmec39IyEx_6qawtMGysU/edit?usp=sharing"",""สบก!BX24"")"),0)</f>
        <v>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IFERROR(__xludf.DUMMYFUNCTION("IMPORTRANGE(""https://docs.google.com/spreadsheets/d/1Yj_ptqi66GCucihVvJfMjLAmec39IyEx_6qawtMGysU/edit?usp=sharing"",""สบก!BY24"")"),89000)</f>
        <v>89000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IFERROR(__xludf.DUMMYFUNCTION("IMPORTRANGE(""https://docs.google.com/spreadsheets/d/1Yj_ptqi66GCucihVvJfMjLAmec39IyEx_6qawtMGysU/edit?usp=sharing"",""สบก!BZ24"")"),0)</f>
        <v>0</v>
      </c>
      <c r="M258" s="52"/>
      <c r="N258" s="52">
        <f ca="1">IFERROR(__xludf.DUMMYFUNCTION("IMPORTRANGE(""https://docs.google.com/spreadsheets/d/1Yj_ptqi66GCucihVvJfMjLAmec39IyEx_6qawtMGysU/edit?usp=sharing"",""สบก!CD24"")"),0)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IFERROR(__xludf.DUMMYFUNCTION("IMPORTRANGE(""https://docs.google.com/spreadsheets/d/11923uPwbBZFjjGgGUA6NLw09EwE0CqkOc4q9oUmW1yo/edit?usp=sharing"",""นครสวรรค์!J175"")"),0)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IFERROR(__xludf.DUMMYFUNCTION("IMPORTRANGE(""https://docs.google.com/spreadsheets/d/11923uPwbBZFjjGgGUA6NLw09EwE0CqkOc4q9oUmW1yo/edit?usp=sharing"",""นครสวรรค์!J176"")"),1)</f>
        <v>1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IFERROR(__xludf.DUMMYFUNCTION("IMPORTRANGE(""https://docs.google.com/spreadsheets/d/11923uPwbBZFjjGgGUA6NLw09EwE0CqkOc4q9oUmW1yo/edit?usp=sharing"",""นครสวรรค์!J177"")"),1)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IFERROR(__xludf.DUMMYFUNCTION("IMPORTRANGE(""https://docs.google.com/spreadsheets/d/11923uPwbBZFjjGgGUA6NLw09EwE0CqkOc4q9oUmW1yo/edit?usp=sharing"",""นครสวรรค์!J178"")"),1)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IFERROR(__xludf.DUMMYFUNCTION("IMPORTRANGE(""https://docs.google.com/spreadsheets/d/11923uPwbBZFjjGgGUA6NLw09EwE0CqkOc4q9oUmW1yo/edit?usp=sharing"",""นครสวรรค์!I179"")"),1)</f>
        <v>1</v>
      </c>
      <c r="J264" s="190">
        <f ca="1">IFERROR(__xludf.DUMMYFUNCTION("IMPORTRANGE(""https://docs.google.com/spreadsheets/d/11923uPwbBZFjjGgGUA6NLw09EwE0CqkOc4q9oUmW1yo/edit?usp=sharing"",""นครสวรรค์!J179"")"),2)</f>
        <v>2</v>
      </c>
      <c r="K264" s="165">
        <f t="shared" ref="K264:K267" ca="1" si="82">IF(I264&gt;0,J264*100/I264,0)</f>
        <v>200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IFERROR(__xludf.DUMMYFUNCTION("IMPORTRANGE(""https://docs.google.com/spreadsheets/d/11923uPwbBZFjjGgGUA6NLw09EwE0CqkOc4q9oUmW1yo/edit?usp=sharing"",""นครสวรรค์!I180"")"),25)</f>
        <v>25</v>
      </c>
      <c r="J265" s="190">
        <f ca="1">IFERROR(__xludf.DUMMYFUNCTION("IMPORTRANGE(""https://docs.google.com/spreadsheets/d/11923uPwbBZFjjGgGUA6NLw09EwE0CqkOc4q9oUmW1yo/edit?usp=sharing"",""นครสวรรค์!J180"")"),25)</f>
        <v>25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IFERROR(__xludf.DUMMYFUNCTION("IMPORTRANGE(""https://docs.google.com/spreadsheets/d/11923uPwbBZFjjGgGUA6NLw09EwE0CqkOc4q9oUmW1yo/edit?usp=sharing"",""นครสวรรค์!I181"")"),25)</f>
        <v>25</v>
      </c>
      <c r="J266" s="190">
        <f ca="1">IFERROR(__xludf.DUMMYFUNCTION("IMPORTRANGE(""https://docs.google.com/spreadsheets/d/11923uPwbBZFjjGgGUA6NLw09EwE0CqkOc4q9oUmW1yo/edit?usp=sharing"",""นครสวรรค์!J181"")"),0)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IFERROR(__xludf.DUMMYFUNCTION("IMPORTRANGE(""https://docs.google.com/spreadsheets/d/11923uPwbBZFjjGgGUA6NLw09EwE0CqkOc4q9oUmW1yo/edit?usp=sharing"",""นครสวรรค์!I182"")"),1)</f>
        <v>1</v>
      </c>
      <c r="J267" s="190">
        <f ca="1">IFERROR(__xludf.DUMMYFUNCTION("IMPORTRANGE(""https://docs.google.com/spreadsheets/d/11923uPwbBZFjjGgGUA6NLw09EwE0CqkOc4q9oUmW1yo/edit?usp=sharing"",""นครสวรรค์!J182"")"),2)</f>
        <v>2</v>
      </c>
      <c r="K267" s="165">
        <f t="shared" ca="1" si="82"/>
        <v>200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IFERROR(__xludf.DUMMYFUNCTION("IMPORTRANGE(""https://docs.google.com/spreadsheets/d/11923uPwbBZFjjGgGUA6NLw09EwE0CqkOc4q9oUmW1yo/edit?usp=sharing"",""นครสวรรค์!J183"")"),0)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IFERROR(__xludf.DUMMYFUNCTION("IMPORTRANGE(""https://docs.google.com/spreadsheets/d/11923uPwbBZFjjGgGUA6NLw09EwE0CqkOc4q9oUmW1yo/edit?usp=sharing"",""นครสวรรค์!J184"")"),0)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IFERROR(__xludf.DUMMYFUNCTION("IMPORTRANGE(""https://docs.google.com/spreadsheets/d/11923uPwbBZFjjGgGUA6NLw09EwE0CqkOc4q9oUmW1yo/edit?usp=sharing"",""นครสวรรค์!I185"")"),20)</f>
        <v>20</v>
      </c>
      <c r="J270" s="317">
        <f ca="1">IFERROR(__xludf.DUMMYFUNCTION("IMPORTRANGE(""https://docs.google.com/spreadsheets/d/11923uPwbBZFjjGgGUA6NLw09EwE0CqkOc4q9oUmW1yo/edit?usp=sharing"",""นครสวรรค์!J185"")"),20)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183600</v>
      </c>
      <c r="M271" s="154">
        <f t="shared" ca="1" si="83"/>
        <v>161600</v>
      </c>
      <c r="N271" s="154">
        <f t="shared" ca="1" si="83"/>
        <v>83928</v>
      </c>
      <c r="O271" s="153">
        <f t="shared" ref="O271:O273" ca="1" si="84">IF(L271&gt;0,N271*100/L271,0)</f>
        <v>45.712418300653596</v>
      </c>
      <c r="P271" s="153">
        <f t="shared" ref="P271:P273" ca="1" si="85">IF(M271&gt;0,N271*100/M271,0)</f>
        <v>51.935643564356432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183600</v>
      </c>
      <c r="M273" s="90">
        <f t="shared" ca="1" si="87"/>
        <v>161600</v>
      </c>
      <c r="N273" s="90">
        <f t="shared" ca="1" si="87"/>
        <v>83928</v>
      </c>
      <c r="O273" s="158">
        <f t="shared" ca="1" si="84"/>
        <v>45.712418300653596</v>
      </c>
      <c r="P273" s="158">
        <f t="shared" ca="1" si="85"/>
        <v>51.935643564356432</v>
      </c>
    </row>
    <row r="274" spans="1:16" ht="21.75" customHeight="1">
      <c r="A274" s="159"/>
      <c r="B274" s="160"/>
      <c r="C274" s="160" t="s">
        <v>16</v>
      </c>
      <c r="D274" s="570" t="s">
        <v>20</v>
      </c>
      <c r="E274" s="565"/>
      <c r="F274" s="565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183600</v>
      </c>
      <c r="M275" s="169">
        <f ca="1">IFERROR(__xludf.DUMMYFUNCTION("IMPORTRANGE(""https://docs.google.com/spreadsheets/d/1Yj_ptqi66GCucihVvJfMjLAmec39IyEx_6qawtMGysU/edit?usp=sharing"",""สบก!CK24"")"),161600)</f>
        <v>161600</v>
      </c>
      <c r="N275" s="170">
        <f ca="1">IFERROR(__xludf.DUMMYFUNCTION("IMPORTRANGE(""https://docs.google.com/spreadsheets/d/1Yj_ptqi66GCucihVvJfMjLAmec39IyEx_6qawtMGysU/edit?usp=sharing"",""สบก!CL24"")"),83928)</f>
        <v>83928</v>
      </c>
      <c r="O275" s="170">
        <f ca="1">IF(L275&gt;0,N275*100/L275,0)</f>
        <v>45.712418300653596</v>
      </c>
      <c r="P275" s="170">
        <f ca="1">IF(M275&gt;0,N275*100/M275,0)</f>
        <v>51.935643564356432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IFERROR(__xludf.DUMMYFUNCTION("IMPORTRANGE(""https://docs.google.com/spreadsheets/d/1Yj_ptqi66GCucihVvJfMjLAmec39IyEx_6qawtMGysU/edit?usp=sharing"",""สบก!CG24"")"),0)</f>
        <v>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IFERROR(__xludf.DUMMYFUNCTION("IMPORTRANGE(""https://docs.google.com/spreadsheets/d/1Yj_ptqi66GCucihVvJfMjLAmec39IyEx_6qawtMGysU/edit?usp=sharing"",""สบก!CH24"")"),183600)</f>
        <v>183600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IFERROR(__xludf.DUMMYFUNCTION("IMPORTRANGE(""https://docs.google.com/spreadsheets/d/1Yj_ptqi66GCucihVvJfMjLAmec39IyEx_6qawtMGysU/edit?usp=sharing"",""สบก!CI24"")"),0)</f>
        <v>0</v>
      </c>
      <c r="M279" s="52"/>
      <c r="N279" s="52">
        <f ca="1">IFERROR(__xludf.DUMMYFUNCTION("IMPORTRANGE(""https://docs.google.com/spreadsheets/d/1Yj_ptqi66GCucihVvJfMjLAmec39IyEx_6qawtMGysU/edit?usp=sharing"",""สบก!CM24"")"),0)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IFERROR(__xludf.DUMMYFUNCTION("IMPORTRANGE(""https://docs.google.com/spreadsheets/d/11923uPwbBZFjjGgGUA6NLw09EwE0CqkOc4q9oUmW1yo/edit?usp=sharing"",""นครสวรรค์!J191"")"),0)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IFERROR(__xludf.DUMMYFUNCTION("IMPORTRANGE(""https://docs.google.com/spreadsheets/d/11923uPwbBZFjjGgGUA6NLw09EwE0CqkOc4q9oUmW1yo/edit?usp=sharing"",""นครสวรรค์!J192"")"),1)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IFERROR(__xludf.DUMMYFUNCTION("IMPORTRANGE(""https://docs.google.com/spreadsheets/d/11923uPwbBZFjjGgGUA6NLw09EwE0CqkOc4q9oUmW1yo/edit?usp=sharing"",""นครสวรรค์!J193"")"),1)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IFERROR(__xludf.DUMMYFUNCTION("IMPORTRANGE(""https://docs.google.com/spreadsheets/d/11923uPwbBZFjjGgGUA6NLw09EwE0CqkOc4q9oUmW1yo/edit?usp=sharing"",""นครสวรรค์!J194"")"),1)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IFERROR(__xludf.DUMMYFUNCTION("IMPORTRANGE(""https://docs.google.com/spreadsheets/d/11923uPwbBZFjjGgGUA6NLw09EwE0CqkOc4q9oUmW1yo/edit?usp=sharing"",""นครสวรรค์!I195"")"),20)</f>
        <v>20</v>
      </c>
      <c r="J285" s="190">
        <f ca="1">IFERROR(__xludf.DUMMYFUNCTION("IMPORTRANGE(""https://docs.google.com/spreadsheets/d/11923uPwbBZFjjGgGUA6NLw09EwE0CqkOc4q9oUmW1yo/edit?usp=sharing"",""นครสวรรค์!J195"")"),20)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IFERROR(__xludf.DUMMYFUNCTION("IMPORTRANGE(""https://docs.google.com/spreadsheets/d/11923uPwbBZFjjGgGUA6NLw09EwE0CqkOc4q9oUmW1yo/edit?usp=sharing"",""นครสวรรค์!J196"")"),0)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IFERROR(__xludf.DUMMYFUNCTION("IMPORTRANGE(""https://docs.google.com/spreadsheets/d/11923uPwbBZFjjGgGUA6NLw09EwE0CqkOc4q9oUmW1yo/edit?usp=sharing"",""นครสวรรค์!J197"")"),0)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IFERROR(__xludf.DUMMYFUNCTION("IMPORTRANGE(""https://docs.google.com/spreadsheets/d/11923uPwbBZFjjGgGUA6NLw09EwE0CqkOc4q9oUmW1yo/edit?usp=sharing"",""นครสวรรค์!I199"")"),0)</f>
        <v>0</v>
      </c>
      <c r="J289" s="317">
        <f ca="1">IFERROR(__xludf.DUMMYFUNCTION("IMPORTRANGE(""https://docs.google.com/spreadsheets/d/11923uPwbBZFjjGgGUA6NLw09EwE0CqkOc4q9oUmW1yo/edit?usp=sharing"",""นครสวรรค์!J199"")"),0)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0</v>
      </c>
      <c r="M292" s="90">
        <f t="shared" ca="1" si="92"/>
        <v>0</v>
      </c>
      <c r="N292" s="90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59"/>
      <c r="B293" s="160"/>
      <c r="C293" s="160" t="s">
        <v>16</v>
      </c>
      <c r="D293" s="570" t="s">
        <v>20</v>
      </c>
      <c r="E293" s="565"/>
      <c r="F293" s="565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IFERROR(__xludf.DUMMYFUNCTION("IMPORTRANGE(""https://docs.google.com/spreadsheets/d/1Yj_ptqi66GCucihVvJfMjLAmec39IyEx_6qawtMGysU/edit?usp=sharing"",""สบก!CT24"")"),0)</f>
        <v>0</v>
      </c>
      <c r="N294" s="170">
        <f ca="1">IFERROR(__xludf.DUMMYFUNCTION("IMPORTRANGE(""https://docs.google.com/spreadsheets/d/1Yj_ptqi66GCucihVvJfMjLAmec39IyEx_6qawtMGysU/edit?usp=sharing"",""สบก!CU24"")"),0)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IFERROR(__xludf.DUMMYFUNCTION("IMPORTRANGE(""https://docs.google.com/spreadsheets/d/1Yj_ptqi66GCucihVvJfMjLAmec39IyEx_6qawtMGysU/edit?usp=sharing"",""สบก!CP24"")"),0)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IFERROR(__xludf.DUMMYFUNCTION("IMPORTRANGE(""https://docs.google.com/spreadsheets/d/1Yj_ptqi66GCucihVvJfMjLAmec39IyEx_6qawtMGysU/edit?usp=sharing"",""สบก!CQ24"")"),0)</f>
        <v>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IFERROR(__xludf.DUMMYFUNCTION("IMPORTRANGE(""https://docs.google.com/spreadsheets/d/1Yj_ptqi66GCucihVvJfMjLAmec39IyEx_6qawtMGysU/edit?usp=sharing"",""สบก!CR24"")"),0)</f>
        <v>0</v>
      </c>
      <c r="M298" s="52"/>
      <c r="N298" s="52">
        <f ca="1">IFERROR(__xludf.DUMMYFUNCTION("IMPORTRANGE(""https://docs.google.com/spreadsheets/d/1Yj_ptqi66GCucihVvJfMjLAmec39IyEx_6qawtMGysU/edit?usp=sharing"",""สบก!CV24"")"),0)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IFERROR(__xludf.DUMMYFUNCTION("IMPORTRANGE(""https://docs.google.com/spreadsheets/d/11923uPwbBZFjjGgGUA6NLw09EwE0CqkOc4q9oUmW1yo/edit?usp=sharing"",""นครสวรรค์!J205"")"),0)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IFERROR(__xludf.DUMMYFUNCTION("IMPORTRANGE(""https://docs.google.com/spreadsheets/d/11923uPwbBZFjjGgGUA6NLw09EwE0CqkOc4q9oUmW1yo/edit?usp=sharing"",""นครสวรรค์!J206"")"),0)</f>
        <v>0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IFERROR(__xludf.DUMMYFUNCTION("IMPORTRANGE(""https://docs.google.com/spreadsheets/d/11923uPwbBZFjjGgGUA6NLw09EwE0CqkOc4q9oUmW1yo/edit?usp=sharing"",""นครสวรรค์!J207"")"),0)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IFERROR(__xludf.DUMMYFUNCTION("IMPORTRANGE(""https://docs.google.com/spreadsheets/d/11923uPwbBZFjjGgGUA6NLw09EwE0CqkOc4q9oUmW1yo/edit?usp=sharing"",""นครสวรรค์!J208"")"),0)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IFERROR(__xludf.DUMMYFUNCTION("IMPORTRANGE(""https://docs.google.com/spreadsheets/d/11923uPwbBZFjjGgGUA6NLw09EwE0CqkOc4q9oUmW1yo/edit?usp=sharing"",""นครสวรรค์!I209"")"),0)</f>
        <v>0</v>
      </c>
      <c r="J304" s="205">
        <f ca="1">IFERROR(__xludf.DUMMYFUNCTION("IMPORTRANGE(""https://docs.google.com/spreadsheets/d/11923uPwbBZFjjGgGUA6NLw09EwE0CqkOc4q9oUmW1yo/edit?usp=sharing"",""นครสวรรค์!J209"")"),0)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IFERROR(__xludf.DUMMYFUNCTION("IMPORTRANGE(""https://docs.google.com/spreadsheets/d/11923uPwbBZFjjGgGUA6NLw09EwE0CqkOc4q9oUmW1yo/edit?usp=sharing"",""นครสวรรค์!I211"")"),0)</f>
        <v>0</v>
      </c>
      <c r="J306" s="205">
        <f ca="1">IFERROR(__xludf.DUMMYFUNCTION("IMPORTRANGE(""https://docs.google.com/spreadsheets/d/11923uPwbBZFjjGgGUA6NLw09EwE0CqkOc4q9oUmW1yo/edit?usp=sharing"",""นครสวรรค์!J211"")"),0)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IFERROR(__xludf.DUMMYFUNCTION("IMPORTRANGE(""https://docs.google.com/spreadsheets/d/11923uPwbBZFjjGgGUA6NLw09EwE0CqkOc4q9oUmW1yo/edit?usp=sharing"",""นครสวรรค์!J212"")"),0)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IFERROR(__xludf.DUMMYFUNCTION("IMPORTRANGE(""https://docs.google.com/spreadsheets/d/11923uPwbBZFjjGgGUA6NLw09EwE0CqkOc4q9oUmW1yo/edit?usp=sharing"",""นครสวรรค์!J213"")"),0)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IFERROR(__xludf.DUMMYFUNCTION("IMPORTRANGE(""https://docs.google.com/spreadsheets/d/11923uPwbBZFjjGgGUA6NLw09EwE0CqkOc4q9oUmW1yo/edit?usp=sharing"",""นครสวรรค์!I214"")"),0)</f>
        <v>0</v>
      </c>
      <c r="J309" s="334">
        <f ca="1">IFERROR(__xludf.DUMMYFUNCTION("IMPORTRANGE(""https://docs.google.com/spreadsheets/d/11923uPwbBZFjjGgGUA6NLw09EwE0CqkOc4q9oUmW1yo/edit?usp=sharing"",""นครสวรรค์!J214"")"),0)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0</v>
      </c>
      <c r="M312" s="90">
        <f t="shared" ca="1" si="97"/>
        <v>0</v>
      </c>
      <c r="N312" s="90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59"/>
      <c r="B313" s="160"/>
      <c r="C313" s="160" t="s">
        <v>16</v>
      </c>
      <c r="D313" s="570" t="s">
        <v>20</v>
      </c>
      <c r="E313" s="565"/>
      <c r="F313" s="565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IFERROR(__xludf.DUMMYFUNCTION("IMPORTRANGE(""https://docs.google.com/spreadsheets/d/1Yj_ptqi66GCucihVvJfMjLAmec39IyEx_6qawtMGysU/edit?usp=sharing"",""สบก!DC24"")"),0)</f>
        <v>0</v>
      </c>
      <c r="N314" s="170">
        <f ca="1">IFERROR(__xludf.DUMMYFUNCTION("IMPORTRANGE(""https://docs.google.com/spreadsheets/d/1Yj_ptqi66GCucihVvJfMjLAmec39IyEx_6qawtMGysU/edit?usp=sharing"",""สบก!DD24"")"),0)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IFERROR(__xludf.DUMMYFUNCTION("IMPORTRANGE(""https://docs.google.com/spreadsheets/d/1Yj_ptqi66GCucihVvJfMjLAmec39IyEx_6qawtMGysU/edit?usp=sharing"",""สบก!CY24"")"),0)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IFERROR(__xludf.DUMMYFUNCTION("IMPORTRANGE(""https://docs.google.com/spreadsheets/d/1Yj_ptqi66GCucihVvJfMjLAmec39IyEx_6qawtMGysU/edit?usp=sharing"",""สบก!CZ24"")"),0)</f>
        <v>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IFERROR(__xludf.DUMMYFUNCTION("IMPORTRANGE(""https://docs.google.com/spreadsheets/d/1Yj_ptqi66GCucihVvJfMjLAmec39IyEx_6qawtMGysU/edit?usp=sharing"",""สบก!DA24"")"),0)</f>
        <v>0</v>
      </c>
      <c r="M318" s="52"/>
      <c r="N318" s="52">
        <f ca="1">IFERROR(__xludf.DUMMYFUNCTION("IMPORTRANGE(""https://docs.google.com/spreadsheets/d/1Yj_ptqi66GCucihVvJfMjLAmec39IyEx_6qawtMGysU/edit?usp=sharing"",""สบก!DE24"")"),0)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IFERROR(__xludf.DUMMYFUNCTION("IMPORTRANGE(""https://docs.google.com/spreadsheets/d/11923uPwbBZFjjGgGUA6NLw09EwE0CqkOc4q9oUmW1yo/edit?usp=sharing"",""นครสวรรค์!J220"")"),0)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IFERROR(__xludf.DUMMYFUNCTION("IMPORTRANGE(""https://docs.google.com/spreadsheets/d/11923uPwbBZFjjGgGUA6NLw09EwE0CqkOc4q9oUmW1yo/edit?usp=sharing"",""นครสวรรค์!J221"")"),0)</f>
        <v>0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IFERROR(__xludf.DUMMYFUNCTION("IMPORTRANGE(""https://docs.google.com/spreadsheets/d/11923uPwbBZFjjGgGUA6NLw09EwE0CqkOc4q9oUmW1yo/edit?usp=sharing"",""นครสวรรค์!J222"")"),0)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IFERROR(__xludf.DUMMYFUNCTION("IMPORTRANGE(""https://docs.google.com/spreadsheets/d/11923uPwbBZFjjGgGUA6NLw09EwE0CqkOc4q9oUmW1yo/edit?usp=sharing"",""นครสวรรค์!J223"")"),0)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IFERROR(__xludf.DUMMYFUNCTION("IMPORTRANGE(""https://docs.google.com/spreadsheets/d/11923uPwbBZFjjGgGUA6NLw09EwE0CqkOc4q9oUmW1yo/edit?usp=sharing"",""นครสวรรค์!I224"")"),0)</f>
        <v>0</v>
      </c>
      <c r="J324" s="205">
        <f ca="1">IFERROR(__xludf.DUMMYFUNCTION("IMPORTRANGE(""https://docs.google.com/spreadsheets/d/11923uPwbBZFjjGgGUA6NLw09EwE0CqkOc4q9oUmW1yo/edit?usp=sharing"",""นครสวรรค์!J224"")"),0)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IFERROR(__xludf.DUMMYFUNCTION("IMPORTRANGE(""https://docs.google.com/spreadsheets/d/11923uPwbBZFjjGgGUA6NLw09EwE0CqkOc4q9oUmW1yo/edit?usp=sharing"",""นครสวรรค์!J225"")"),0)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IFERROR(__xludf.DUMMYFUNCTION("IMPORTRANGE(""https://docs.google.com/spreadsheets/d/11923uPwbBZFjjGgGUA6NLw09EwE0CqkOc4q9oUmW1yo/edit?usp=sharing"",""นครสวรรค์!J226"")"),0)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IFERROR(__xludf.DUMMYFUNCTION("IMPORTRANGE(""https://docs.google.com/spreadsheets/d/11923uPwbBZFjjGgGUA6NLw09EwE0CqkOc4q9oUmW1yo/edit?usp=sharing"",""นครสวรรค์!I228"")"),453)</f>
        <v>453</v>
      </c>
      <c r="J328" s="340">
        <f ca="1">IFERROR(__xludf.DUMMYFUNCTION("IMPORTRANGE(""https://docs.google.com/spreadsheets/d/11923uPwbBZFjjGgGUA6NLw09EwE0CqkOc4q9oUmW1yo/edit?usp=sharing"",""นครสวรรค์!J228"")"),25)</f>
        <v>25</v>
      </c>
      <c r="K328" s="318">
        <f ca="1">IF(I328&gt;0,J328*100/I328,0)</f>
        <v>5.518763796909492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1224950</v>
      </c>
      <c r="M329" s="154">
        <f t="shared" ca="1" si="98"/>
        <v>944580</v>
      </c>
      <c r="N329" s="154">
        <f t="shared" ca="1" si="98"/>
        <v>670029.69999999995</v>
      </c>
      <c r="O329" s="153">
        <f t="shared" ref="O329:O331" ca="1" si="99">IF(L329&gt;0,N329*100/L329,0)</f>
        <v>54.698534634066689</v>
      </c>
      <c r="P329" s="153">
        <f t="shared" ref="P329:P331" ca="1" si="100">IF(M329&gt;0,N329*100/M329,0)</f>
        <v>70.934140041076446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1224950</v>
      </c>
      <c r="M331" s="90">
        <f t="shared" ca="1" si="102"/>
        <v>944580</v>
      </c>
      <c r="N331" s="90">
        <f t="shared" ca="1" si="102"/>
        <v>670029.69999999995</v>
      </c>
      <c r="O331" s="158">
        <f t="shared" ca="1" si="99"/>
        <v>54.698534634066689</v>
      </c>
      <c r="P331" s="158">
        <f t="shared" ca="1" si="100"/>
        <v>70.934140041076446</v>
      </c>
    </row>
    <row r="332" spans="1:16" ht="21.75" customHeight="1">
      <c r="A332" s="159"/>
      <c r="B332" s="160"/>
      <c r="C332" s="160" t="s">
        <v>16</v>
      </c>
      <c r="D332" s="570" t="s">
        <v>20</v>
      </c>
      <c r="E332" s="565"/>
      <c r="F332" s="565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1119950</v>
      </c>
      <c r="M333" s="169">
        <f ca="1">IFERROR(__xludf.DUMMYFUNCTION("IMPORTRANGE(""https://docs.google.com/spreadsheets/d/1Yj_ptqi66GCucihVvJfMjLAmec39IyEx_6qawtMGysU/edit?usp=sharing"",""สบก!DL24"")"),839580)</f>
        <v>839580</v>
      </c>
      <c r="N333" s="170">
        <f ca="1">IFERROR(__xludf.DUMMYFUNCTION("IMPORTRANGE(""https://docs.google.com/spreadsheets/d/1Yj_ptqi66GCucihVvJfMjLAmec39IyEx_6qawtMGysU/edit?usp=sharing"",""สบก!DM24"")"),565029.7)</f>
        <v>565029.69999999995</v>
      </c>
      <c r="O333" s="170">
        <f ca="1">IF(L333&gt;0,N333*100/L333,0)</f>
        <v>50.451332648778958</v>
      </c>
      <c r="P333" s="170">
        <f ca="1">IF(M333&gt;0,N333*100/M333,0)</f>
        <v>67.299090021201067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IFERROR(__xludf.DUMMYFUNCTION("IMPORTRANGE(""https://docs.google.com/spreadsheets/d/1Yj_ptqi66GCucihVvJfMjLAmec39IyEx_6qawtMGysU/edit?usp=sharing"",""สบก!DH24"")"),529200)</f>
        <v>529200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IFERROR(__xludf.DUMMYFUNCTION("IMPORTRANGE(""https://docs.google.com/spreadsheets/d/1Yj_ptqi66GCucihVvJfMjLAmec39IyEx_6qawtMGysU/edit?usp=sharing"",""สบก!DI24"")"),590750)</f>
        <v>590750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IFERROR(__xludf.DUMMYFUNCTION("IMPORTRANGE(""https://docs.google.com/spreadsheets/d/1Yj_ptqi66GCucihVvJfMjLAmec39IyEx_6qawtMGysU/edit?usp=sharing"",""สบก!DJ24"")"),105000)</f>
        <v>105000</v>
      </c>
      <c r="M337" s="52">
        <f ca="1">L337</f>
        <v>105000</v>
      </c>
      <c r="N337" s="52">
        <f ca="1">IFERROR(__xludf.DUMMYFUNCTION("IMPORTRANGE(""https://docs.google.com/spreadsheets/d/1Yj_ptqi66GCucihVvJfMjLAmec39IyEx_6qawtMGysU/edit?usp=sharing"",""สบก!DN24"")"),105000)</f>
        <v>105000</v>
      </c>
      <c r="O337" s="52">
        <f ca="1">IF(L337&gt;0,N337*100/L337,0)</f>
        <v>100</v>
      </c>
      <c r="P337" s="52">
        <f ca="1">IF(M337&gt;0,N337*100/M337,0)</f>
        <v>100</v>
      </c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IFERROR(__xludf.DUMMYFUNCTION("IMPORTRANGE(""https://docs.google.com/spreadsheets/d/11923uPwbBZFjjGgGUA6NLw09EwE0CqkOc4q9oUmW1yo/edit?usp=sharing"",""นครสวรรค์!I234"")"),0)</f>
        <v>0</v>
      </c>
      <c r="J339" s="189">
        <f ca="1">IFERROR(__xludf.DUMMYFUNCTION("IMPORTRANGE(""https://docs.google.com/spreadsheets/d/11923uPwbBZFjjGgGUA6NLw09EwE0CqkOc4q9oUmW1yo/edit?usp=sharing"",""นครสวรรค์!J234"")"),287)</f>
        <v>287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IFERROR(__xludf.DUMMYFUNCTION("IMPORTRANGE(""https://docs.google.com/spreadsheets/d/11923uPwbBZFjjGgGUA6NLw09EwE0CqkOc4q9oUmW1yo/edit?usp=sharing"",""นครสวรรค์!I235"")"),4500)</f>
        <v>4500</v>
      </c>
      <c r="J340" s="189">
        <f ca="1">IFERROR(__xludf.DUMMYFUNCTION("IMPORTRANGE(""https://docs.google.com/spreadsheets/d/11923uPwbBZFjjGgGUA6NLw09EwE0CqkOc4q9oUmW1yo/edit?usp=sharing"",""นครสวรรค์!J235"")"),2685.88)</f>
        <v>2685.88</v>
      </c>
      <c r="K340" s="343">
        <f t="shared" ca="1" si="103"/>
        <v>59.68622222222222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IFERROR(__xludf.DUMMYFUNCTION("IMPORTRANGE(""https://docs.google.com/spreadsheets/d/11923uPwbBZFjjGgGUA6NLw09EwE0CqkOc4q9oUmW1yo/edit?usp=sharing"",""นครสวรรค์!I236"")"),453)</f>
        <v>453</v>
      </c>
      <c r="J341" s="189">
        <f ca="1">IFERROR(__xludf.DUMMYFUNCTION("IMPORTRANGE(""https://docs.google.com/spreadsheets/d/11923uPwbBZFjjGgGUA6NLw09EwE0CqkOc4q9oUmW1yo/edit?usp=sharing"",""นครสวรรค์!J236"")"),112)</f>
        <v>112</v>
      </c>
      <c r="K341" s="343">
        <f t="shared" ca="1" si="103"/>
        <v>24.724061810154524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IFERROR(__xludf.DUMMYFUNCTION("IMPORTRANGE(""https://docs.google.com/spreadsheets/d/11923uPwbBZFjjGgGUA6NLw09EwE0CqkOc4q9oUmW1yo/edit?usp=sharing"",""นครสวรรค์!I237"")"),0)</f>
        <v>0</v>
      </c>
      <c r="J342" s="189">
        <f ca="1">IFERROR(__xludf.DUMMYFUNCTION("IMPORTRANGE(""https://docs.google.com/spreadsheets/d/11923uPwbBZFjjGgGUA6NLw09EwE0CqkOc4q9oUmW1yo/edit?usp=sharing"",""นครสวรรค์!J237"")"),1208.9)</f>
        <v>1208.9000000000001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IFERROR(__xludf.DUMMYFUNCTION("IMPORTRANGE(""https://docs.google.com/spreadsheets/d/11923uPwbBZFjjGgGUA6NLw09EwE0CqkOc4q9oUmW1yo/edit?usp=sharing"",""นครสวรรค์!I238"")"),453)</f>
        <v>453</v>
      </c>
      <c r="J343" s="189">
        <f ca="1">IFERROR(__xludf.DUMMYFUNCTION("IMPORTRANGE(""https://docs.google.com/spreadsheets/d/11923uPwbBZFjjGgGUA6NLw09EwE0CqkOc4q9oUmW1yo/edit?usp=sharing"",""นครสวรรค์!J238"")"),0)</f>
        <v>0</v>
      </c>
      <c r="K343" s="343">
        <f t="shared" ca="1" si="103"/>
        <v>0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IFERROR(__xludf.DUMMYFUNCTION("IMPORTRANGE(""https://docs.google.com/spreadsheets/d/11923uPwbBZFjjGgGUA6NLw09EwE0CqkOc4q9oUmW1yo/edit?usp=sharing"",""นครสวรรค์!I239"")"),0)</f>
        <v>0</v>
      </c>
      <c r="J344" s="189">
        <f ca="1">IFERROR(__xludf.DUMMYFUNCTION("IMPORTRANGE(""https://docs.google.com/spreadsheets/d/11923uPwbBZFjjGgGUA6NLw09EwE0CqkOc4q9oUmW1yo/edit?usp=sharing"",""นครสวรรค์!J239"")"),0)</f>
        <v>0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IFERROR(__xludf.DUMMYFUNCTION("IMPORTRANGE(""https://docs.google.com/spreadsheets/d/11923uPwbBZFjjGgGUA6NLw09EwE0CqkOc4q9oUmW1yo/edit?usp=sharing"",""นครสวรรค์!I240"")"),453)</f>
        <v>453</v>
      </c>
      <c r="J345" s="189">
        <f ca="1">IFERROR(__xludf.DUMMYFUNCTION("IMPORTRANGE(""https://docs.google.com/spreadsheets/d/11923uPwbBZFjjGgGUA6NLw09EwE0CqkOc4q9oUmW1yo/edit?usp=sharing"",""นครสวรรค์!J240"")"),25)</f>
        <v>25</v>
      </c>
      <c r="K345" s="343">
        <f t="shared" ca="1" si="103"/>
        <v>5.518763796909492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IFERROR(__xludf.DUMMYFUNCTION("IMPORTRANGE(""https://docs.google.com/spreadsheets/d/11923uPwbBZFjjGgGUA6NLw09EwE0CqkOc4q9oUmW1yo/edit?usp=sharing"",""นครสวรรค์!I241"")"),0)</f>
        <v>0</v>
      </c>
      <c r="J346" s="189">
        <f ca="1">IFERROR(__xludf.DUMMYFUNCTION("IMPORTRANGE(""https://docs.google.com/spreadsheets/d/11923uPwbBZFjjGgGUA6NLw09EwE0CqkOc4q9oUmW1yo/edit?usp=sharing"",""นครสวรรค์!J241"")"),485.88)</f>
        <v>485.88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IFERROR(__xludf.DUMMYFUNCTION("IMPORTRANGE(""https://docs.google.com/spreadsheets/d/11923uPwbBZFjjGgGUA6NLw09EwE0CqkOc4q9oUmW1yo/edit?usp=sharing"",""นครสวรรค์!L242"")"),2302113)</f>
        <v>2302113</v>
      </c>
      <c r="M347" s="359"/>
      <c r="N347" s="359">
        <f ca="1">IFERROR(__xludf.DUMMYFUNCTION("IMPORTRANGE(""https://docs.google.com/spreadsheets/d/11923uPwbBZFjjGgGUA6NLw09EwE0CqkOc4q9oUmW1yo/edit?usp=sharing"",""นครสวรรค์!M242"")"),676052)</f>
        <v>676052</v>
      </c>
      <c r="O347" s="359">
        <f ca="1">+IF(L347&gt;0,N347*100/L347,0)</f>
        <v>29.366586262272964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IFERROR(__xludf.DUMMYFUNCTION("IMPORTRANGE(""https://docs.google.com/spreadsheets/d/11923uPwbBZFjjGgGUA6NLw09EwE0CqkOc4q9oUmW1yo/edit?usp=sharing"",""นครสวรรค์!I244"")"),110)</f>
        <v>110</v>
      </c>
      <c r="J349" s="372">
        <f ca="1">IFERROR(__xludf.DUMMYFUNCTION("IMPORTRANGE(""https://docs.google.com/spreadsheets/d/11923uPwbBZFjjGgGUA6NLw09EwE0CqkOc4q9oUmW1yo/edit?usp=sharing"",""นครสวรรค์!J244"")"),40)</f>
        <v>40</v>
      </c>
      <c r="K349" s="373">
        <f t="shared" ref="K349:K350" ca="1" si="104">IF(I349&gt;0,J349*100/I349,0)</f>
        <v>36.363636363636367</v>
      </c>
      <c r="L349" s="374">
        <f ca="1">IFERROR(__xludf.DUMMYFUNCTION("IMPORTRANGE(""https://docs.google.com/spreadsheets/d/11923uPwbBZFjjGgGUA6NLw09EwE0CqkOc4q9oUmW1yo/edit?usp=sharing"",""นครสวรรค์!L244"")"),354030)</f>
        <v>354030</v>
      </c>
      <c r="M349" s="374"/>
      <c r="N349" s="374">
        <f ca="1">IFERROR(__xludf.DUMMYFUNCTION("IMPORTRANGE(""https://docs.google.com/spreadsheets/d/11923uPwbBZFjjGgGUA6NLw09EwE0CqkOc4q9oUmW1yo/edit?usp=sharing"",""นครสวรรค์!M244"")"),167018)</f>
        <v>167018</v>
      </c>
      <c r="O349" s="374">
        <f ca="1">+IF(L349&gt;0,N349*100/L349,0)</f>
        <v>47.176228003276556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IFERROR(__xludf.DUMMYFUNCTION("IMPORTRANGE(""https://docs.google.com/spreadsheets/d/11923uPwbBZFjjGgGUA6NLw09EwE0CqkOc4q9oUmW1yo/edit?usp=sharing"",""นครสวรรค์!I245"")"),55)</f>
        <v>55</v>
      </c>
      <c r="J350" s="372">
        <f ca="1">IFERROR(__xludf.DUMMYFUNCTION("IMPORTRANGE(""https://docs.google.com/spreadsheets/d/11923uPwbBZFjjGgGUA6NLw09EwE0CqkOc4q9oUmW1yo/edit?usp=sharing"",""นครสวรรค์!J245"")"),55)</f>
        <v>55</v>
      </c>
      <c r="K350" s="373">
        <f t="shared" ca="1" si="104"/>
        <v>100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IFERROR(__xludf.DUMMYFUNCTION("IMPORTRANGE(""https://docs.google.com/spreadsheets/d/11923uPwbBZFjjGgGUA6NLw09EwE0CqkOc4q9oUmW1yo/edit?usp=sharing"",""นครสวรรค์!L246"")"),0)</f>
        <v>0</v>
      </c>
      <c r="M351" s="166"/>
      <c r="N351" s="166">
        <f ca="1">IFERROR(__xludf.DUMMYFUNCTION("IMPORTRANGE(""https://docs.google.com/spreadsheets/d/11923uPwbBZFjjGgGUA6NLw09EwE0CqkOc4q9oUmW1yo/edit?usp=sharing"",""นครสวรรค์!M246"")"),0)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IFERROR(__xludf.DUMMYFUNCTION("IMPORTRANGE(""https://docs.google.com/spreadsheets/d/11923uPwbBZFjjGgGUA6NLw09EwE0CqkOc4q9oUmW1yo/edit?usp=sharing"",""นครสวรรค์!L247"")"),354030)</f>
        <v>354030</v>
      </c>
      <c r="M352" s="167"/>
      <c r="N352" s="166">
        <f ca="1">IFERROR(__xludf.DUMMYFUNCTION("IMPORTRANGE(""https://docs.google.com/spreadsheets/d/11923uPwbBZFjjGgGUA6NLw09EwE0CqkOc4q9oUmW1yo/edit?usp=sharing"",""นครสวรรค์!M247"")"),167018)</f>
        <v>167018</v>
      </c>
      <c r="O352" s="167">
        <f t="shared" ca="1" si="105"/>
        <v>47.176228003276556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IFERROR(__xludf.DUMMYFUNCTION("IMPORTRANGE(""https://docs.google.com/spreadsheets/d/11923uPwbBZFjjGgGUA6NLw09EwE0CqkOc4q9oUmW1yo/edit?usp=sharing"",""นครสวรรค์!L248"")"),0)</f>
        <v>0</v>
      </c>
      <c r="M353" s="170"/>
      <c r="N353" s="170">
        <f ca="1">IFERROR(__xludf.DUMMYFUNCTION("IMPORTRANGE(""https://docs.google.com/spreadsheets/d/11923uPwbBZFjjGgGUA6NLw09EwE0CqkOc4q9oUmW1yo/edit?usp=sharing"",""นครสวรรค์!M248"")"),0)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IFERROR(__xludf.DUMMYFUNCTION("IMPORTRANGE(""https://docs.google.com/spreadsheets/d/11923uPwbBZFjjGgGUA6NLw09EwE0CqkOc4q9oUmW1yo/edit?usp=sharing"",""นครสวรรค์!L249"")"),354030)</f>
        <v>354030</v>
      </c>
      <c r="M354" s="170"/>
      <c r="N354" s="169">
        <f ca="1">IFERROR(__xludf.DUMMYFUNCTION("IMPORTRANGE(""https://docs.google.com/spreadsheets/d/11923uPwbBZFjjGgGUA6NLw09EwE0CqkOc4q9oUmW1yo/edit?usp=sharing"",""นครสวรรค์!M249"")"),167018)</f>
        <v>167018</v>
      </c>
      <c r="O354" s="170">
        <f t="shared" ca="1" si="105"/>
        <v>47.176228003276556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IFERROR(__xludf.DUMMYFUNCTION("IMPORTRANGE(""https://docs.google.com/spreadsheets/d/11923uPwbBZFjjGgGUA6NLw09EwE0CqkOc4q9oUmW1yo/edit?usp=sharing"",""นครสวรรค์!M250"")"),67500)</f>
        <v>67500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IFERROR(__xludf.DUMMYFUNCTION("IMPORTRANGE(""https://docs.google.com/spreadsheets/d/11923uPwbBZFjjGgGUA6NLw09EwE0CqkOc4q9oUmW1yo/edit?usp=sharing"",""นครสวรรค์!M251"")"),35400)</f>
        <v>35400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IFERROR(__xludf.DUMMYFUNCTION("IMPORTRANGE(""https://docs.google.com/spreadsheets/d/11923uPwbBZFjjGgGUA6NLw09EwE0CqkOc4q9oUmW1yo/edit?usp=sharing"",""นครสวรรค์!M252"")"),54633)</f>
        <v>54633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IFERROR(__xludf.DUMMYFUNCTION("IMPORTRANGE(""https://docs.google.com/spreadsheets/d/11923uPwbBZFjjGgGUA6NLw09EwE0CqkOc4q9oUmW1yo/edit?usp=sharing"",""นครสวรรค์!M253"")"),9485)</f>
        <v>9485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IFERROR(__xludf.DUMMYFUNCTION("IMPORTRANGE(""https://docs.google.com/spreadsheets/d/11923uPwbBZFjjGgGUA6NLw09EwE0CqkOc4q9oUmW1yo/edit?usp=sharing"",""นครสวรรค์!J255"")"),0)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IFERROR(__xludf.DUMMYFUNCTION("IMPORTRANGE(""https://docs.google.com/spreadsheets/d/11923uPwbBZFjjGgGUA6NLw09EwE0CqkOc4q9oUmW1yo/edit?usp=sharing"",""นครสวรรค์!J256"")"),1)</f>
        <v>1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IFERROR(__xludf.DUMMYFUNCTION("IMPORTRANGE(""https://docs.google.com/spreadsheets/d/11923uPwbBZFjjGgGUA6NLw09EwE0CqkOc4q9oUmW1yo/edit?usp=sharing"",""นครสวรรค์!J257"")"),1)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IFERROR(__xludf.DUMMYFUNCTION("IMPORTRANGE(""https://docs.google.com/spreadsheets/d/11923uPwbBZFjjGgGUA6NLw09EwE0CqkOc4q9oUmW1yo/edit?usp=sharing"",""นครสวรรค์!J258"")"),1)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IFERROR(__xludf.DUMMYFUNCTION("IMPORTRANGE(""https://docs.google.com/spreadsheets/d/11923uPwbBZFjjGgGUA6NLw09EwE0CqkOc4q9oUmW1yo/edit?usp=sharing"",""นครสวรรค์!J166"")"),0)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IFERROR(__xludf.DUMMYFUNCTION("IMPORTRANGE(""https://docs.google.com/spreadsheets/d/11923uPwbBZFjjGgGUA6NLw09EwE0CqkOc4q9oUmW1yo/edit?usp=sharing"",""นครสวรรค์!J166"")"),0)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IFERROR(__xludf.DUMMYFUNCTION("IMPORTRANGE(""https://docs.google.com/spreadsheets/d/11923uPwbBZFjjGgGUA6NLw09EwE0CqkOc4q9oUmW1yo/edit?usp=sharing"",""นครสวรรค์!J166"")"),0)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IFERROR(__xludf.DUMMYFUNCTION("IMPORTRANGE(""https://docs.google.com/spreadsheets/d/11923uPwbBZFjjGgGUA6NLw09EwE0CqkOc4q9oUmW1yo/edit?usp=sharing"",""นครสวรรค์!J166"")"),0)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IFERROR(__xludf.DUMMYFUNCTION("IMPORTRANGE(""https://docs.google.com/spreadsheets/d/11923uPwbBZFjjGgGUA6NLw09EwE0CqkOc4q9oUmW1yo/edit?usp=sharing"",""นครสวรรค์!I263"")"),55)</f>
        <v>55</v>
      </c>
      <c r="J368" s="189">
        <f ca="1">IFERROR(__xludf.DUMMYFUNCTION("IMPORTRANGE(""https://docs.google.com/spreadsheets/d/11923uPwbBZFjjGgGUA6NLw09EwE0CqkOc4q9oUmW1yo/edit?usp=sharing"",""นครสวรรค์!J263"")"),55)</f>
        <v>55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IFERROR(__xludf.DUMMYFUNCTION("IMPORTRANGE(""https://docs.google.com/spreadsheets/d/11923uPwbBZFjjGgGUA6NLw09EwE0CqkOc4q9oUmW1yo/edit?usp=sharing"",""นครสวรรค์!I164"")"),0)</f>
        <v>0</v>
      </c>
      <c r="J369" s="205">
        <f ca="1">IFERROR(__xludf.DUMMYFUNCTION("IMPORTRANGE(""https://docs.google.com/spreadsheets/d/11923uPwbBZFjjGgGUA6NLw09EwE0CqkOc4q9oUmW1yo/edit?usp=sharing"",""นครสวรรค์!J164"")"),0)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IFERROR(__xludf.DUMMYFUNCTION("IMPORTRANGE(""https://docs.google.com/spreadsheets/d/11923uPwbBZFjjGgGUA6NLw09EwE0CqkOc4q9oUmW1yo/edit?usp=sharing"",""นครสวรรค์!I265"")"),55)</f>
        <v>55</v>
      </c>
      <c r="J370" s="205">
        <f ca="1">IFERROR(__xludf.DUMMYFUNCTION("IMPORTRANGE(""https://docs.google.com/spreadsheets/d/11923uPwbBZFjjGgGUA6NLw09EwE0CqkOc4q9oUmW1yo/edit?usp=sharing"",""นครสวรรค์!J265"")"),55)</f>
        <v>55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IFERROR(__xludf.DUMMYFUNCTION("IMPORTRANGE(""https://docs.google.com/spreadsheets/d/11923uPwbBZFjjGgGUA6NLw09EwE0CqkOc4q9oUmW1yo/edit?usp=sharing"",""นครสวรรค์!I164"")"),0)</f>
        <v>0</v>
      </c>
      <c r="J371" s="190">
        <f ca="1">IFERROR(__xludf.DUMMYFUNCTION("IMPORTRANGE(""https://docs.google.com/spreadsheets/d/11923uPwbBZFjjGgGUA6NLw09EwE0CqkOc4q9oUmW1yo/edit?usp=sharing"",""นครสวรรค์!J164"")"),0)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IFERROR(__xludf.DUMMYFUNCTION("IMPORTRANGE(""https://docs.google.com/spreadsheets/d/11923uPwbBZFjjGgGUA6NLw09EwE0CqkOc4q9oUmW1yo/edit?usp=sharing"",""นครสวรรค์!I267"")"),55)</f>
        <v>55</v>
      </c>
      <c r="J372" s="190">
        <f ca="1">IFERROR(__xludf.DUMMYFUNCTION("IMPORTRANGE(""https://docs.google.com/spreadsheets/d/11923uPwbBZFjjGgGUA6NLw09EwE0CqkOc4q9oUmW1yo/edit?usp=sharing"",""นครสวรรค์!J267"")"),55)</f>
        <v>55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IFERROR(__xludf.DUMMYFUNCTION("IMPORTRANGE(""https://docs.google.com/spreadsheets/d/11923uPwbBZFjjGgGUA6NLw09EwE0CqkOc4q9oUmW1yo/edit?usp=sharing"",""นครสวรรค์!I164"")"),0)</f>
        <v>0</v>
      </c>
      <c r="J373" s="205">
        <f ca="1">IFERROR(__xludf.DUMMYFUNCTION("IMPORTRANGE(""https://docs.google.com/spreadsheets/d/11923uPwbBZFjjGgGUA6NLw09EwE0CqkOc4q9oUmW1yo/edit?usp=sharing"",""นครสวรรค์!J164"")"),0)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IFERROR(__xludf.DUMMYFUNCTION("IMPORTRANGE(""https://docs.google.com/spreadsheets/d/11923uPwbBZFjjGgGUA6NLw09EwE0CqkOc4q9oUmW1yo/edit?usp=sharing"",""นครสวรรค์!I164"")"),0)</f>
        <v>0</v>
      </c>
      <c r="J374" s="189">
        <f ca="1">IFERROR(__xludf.DUMMYFUNCTION("IMPORTRANGE(""https://docs.google.com/spreadsheets/d/11923uPwbBZFjjGgGUA6NLw09EwE0CqkOc4q9oUmW1yo/edit?usp=sharing"",""นครสวรรค์!J164"")"),0)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IFERROR(__xludf.DUMMYFUNCTION("IMPORTRANGE(""https://docs.google.com/spreadsheets/d/11923uPwbBZFjjGgGUA6NLw09EwE0CqkOc4q9oUmW1yo/edit?usp=sharing"",""นครสวรรค์!I270"")"),110)</f>
        <v>110</v>
      </c>
      <c r="J375" s="189">
        <f ca="1">IFERROR(__xludf.DUMMYFUNCTION("IMPORTRANGE(""https://docs.google.com/spreadsheets/d/11923uPwbBZFjjGgGUA6NLw09EwE0CqkOc4q9oUmW1yo/edit?usp=sharing"",""นครสวรรค์!J270"")"),40)</f>
        <v>40</v>
      </c>
      <c r="K375" s="165">
        <f t="shared" ref="K375:K377" ca="1" si="107">IF(I375&gt;0,J375*100/I375,0)</f>
        <v>36.363636363636367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IFERROR(__xludf.DUMMYFUNCTION("IMPORTRANGE(""https://docs.google.com/spreadsheets/d/11923uPwbBZFjjGgGUA6NLw09EwE0CqkOc4q9oUmW1yo/edit?usp=sharing"",""นครสวรรค์!I271"")"),40)</f>
        <v>40</v>
      </c>
      <c r="J376" s="190">
        <f ca="1">IFERROR(__xludf.DUMMYFUNCTION("IMPORTRANGE(""https://docs.google.com/spreadsheets/d/11923uPwbBZFjjGgGUA6NLw09EwE0CqkOc4q9oUmW1yo/edit?usp=sharing"",""นครสวรรค์!J271"")"),40)</f>
        <v>40</v>
      </c>
      <c r="K376" s="165">
        <f t="shared" ca="1" si="107"/>
        <v>100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IFERROR(__xludf.DUMMYFUNCTION("IMPORTRANGE(""https://docs.google.com/spreadsheets/d/11923uPwbBZFjjGgGUA6NLw09EwE0CqkOc4q9oUmW1yo/edit?usp=sharing"",""นครสวรรค์!I272"")"),70)</f>
        <v>70</v>
      </c>
      <c r="J377" s="205">
        <f ca="1">IFERROR(__xludf.DUMMYFUNCTION("IMPORTRANGE(""https://docs.google.com/spreadsheets/d/11923uPwbBZFjjGgGUA6NLw09EwE0CqkOc4q9oUmW1yo/edit?usp=sharing"",""นครสวรรค์!J272"")"),0)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IFERROR(__xludf.DUMMYFUNCTION("IMPORTRANGE(""https://docs.google.com/spreadsheets/d/11923uPwbBZFjjGgGUA6NLw09EwE0CqkOc4q9oUmW1yo/edit?usp=sharing"",""นครสวรรค์!J273"")"),0)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IFERROR(__xludf.DUMMYFUNCTION("IMPORTRANGE(""https://docs.google.com/spreadsheets/d/11923uPwbBZFjjGgGUA6NLw09EwE0CqkOc4q9oUmW1yo/edit?usp=sharing"",""นครสวรรค์!J274"")"),0)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IFERROR(__xludf.DUMMYFUNCTION("IMPORTRANGE(""https://docs.google.com/spreadsheets/d/11923uPwbBZFjjGgGUA6NLw09EwE0CqkOc4q9oUmW1yo/edit?usp=sharing"",""นครสวรรค์!I275"")"),1000)</f>
        <v>1000</v>
      </c>
      <c r="J380" s="372">
        <f ca="1">IFERROR(__xludf.DUMMYFUNCTION("IMPORTRANGE(""https://docs.google.com/spreadsheets/d/11923uPwbBZFjjGgGUA6NLw09EwE0CqkOc4q9oUmW1yo/edit?usp=sharing"",""นครสวรรค์!J275"")"),0)</f>
        <v>0</v>
      </c>
      <c r="K380" s="373">
        <f t="shared" ref="K380:K381" ca="1" si="108">IF(I380&gt;0,J380*100/I380,0)</f>
        <v>0</v>
      </c>
      <c r="L380" s="374">
        <f ca="1">IFERROR(__xludf.DUMMYFUNCTION("IMPORTRANGE(""https://docs.google.com/spreadsheets/d/11923uPwbBZFjjGgGUA6NLw09EwE0CqkOc4q9oUmW1yo/edit?usp=sharing"",""นครสวรรค์!L275"")"),1028520)</f>
        <v>1028520</v>
      </c>
      <c r="M380" s="374"/>
      <c r="N380" s="374">
        <f ca="1">IFERROR(__xludf.DUMMYFUNCTION("IMPORTRANGE(""https://docs.google.com/spreadsheets/d/11923uPwbBZFjjGgGUA6NLw09EwE0CqkOc4q9oUmW1yo/edit?usp=sharing"",""นครสวรรค์!M275"")"),125403)</f>
        <v>125403</v>
      </c>
      <c r="O380" s="374">
        <f ca="1">+IF(L380&gt;0,N380*100/L380,0)</f>
        <v>12.19256796173142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IFERROR(__xludf.DUMMYFUNCTION("IMPORTRANGE(""https://docs.google.com/spreadsheets/d/11923uPwbBZFjjGgGUA6NLw09EwE0CqkOc4q9oUmW1yo/edit?usp=sharing"",""นครสวรรค์!I276"")"),100)</f>
        <v>100</v>
      </c>
      <c r="J381" s="372">
        <f ca="1">IFERROR(__xludf.DUMMYFUNCTION("IMPORTRANGE(""https://docs.google.com/spreadsheets/d/11923uPwbBZFjjGgGUA6NLw09EwE0CqkOc4q9oUmW1yo/edit?usp=sharing"",""นครสวรรค์!J276"")"),100)</f>
        <v>100</v>
      </c>
      <c r="K381" s="373">
        <f t="shared" ca="1" si="108"/>
        <v>100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IFERROR(__xludf.DUMMYFUNCTION("IMPORTRANGE(""https://docs.google.com/spreadsheets/d/11923uPwbBZFjjGgGUA6NLw09EwE0CqkOc4q9oUmW1yo/edit?usp=sharing"",""นครสวรรค์!L277"")"),0)</f>
        <v>0</v>
      </c>
      <c r="M382" s="166"/>
      <c r="N382" s="166">
        <f ca="1">IFERROR(__xludf.DUMMYFUNCTION("IMPORTRANGE(""https://docs.google.com/spreadsheets/d/11923uPwbBZFjjGgGUA6NLw09EwE0CqkOc4q9oUmW1yo/edit?usp=sharing"",""นครสวรรค์!M277"")"),0)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IFERROR(__xludf.DUMMYFUNCTION("IMPORTRANGE(""https://docs.google.com/spreadsheets/d/11923uPwbBZFjjGgGUA6NLw09EwE0CqkOc4q9oUmW1yo/edit?usp=sharing"",""นครสวรรค์!L278"")"),1028520)</f>
        <v>1028520</v>
      </c>
      <c r="M383" s="167"/>
      <c r="N383" s="167">
        <f ca="1">IFERROR(__xludf.DUMMYFUNCTION("IMPORTRANGE(""https://docs.google.com/spreadsheets/d/11923uPwbBZFjjGgGUA6NLw09EwE0CqkOc4q9oUmW1yo/edit?usp=sharing"",""นครสวรรค์!M278"")"),125403)</f>
        <v>125403</v>
      </c>
      <c r="O383" s="167">
        <f t="shared" ca="1" si="109"/>
        <v>12.19256796173142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IFERROR(__xludf.DUMMYFUNCTION("IMPORTRANGE(""https://docs.google.com/spreadsheets/d/11923uPwbBZFjjGgGUA6NLw09EwE0CqkOc4q9oUmW1yo/edit?usp=sharing"",""นครสวรรค์!L279"")"),0)</f>
        <v>0</v>
      </c>
      <c r="M384" s="170"/>
      <c r="N384" s="170">
        <f ca="1">IFERROR(__xludf.DUMMYFUNCTION("IMPORTRANGE(""https://docs.google.com/spreadsheets/d/11923uPwbBZFjjGgGUA6NLw09EwE0CqkOc4q9oUmW1yo/edit?usp=sharing"",""นครสวรรค์!M279"")"),0)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IFERROR(__xludf.DUMMYFUNCTION("IMPORTRANGE(""https://docs.google.com/spreadsheets/d/11923uPwbBZFjjGgGUA6NLw09EwE0CqkOc4q9oUmW1yo/edit?usp=sharing"",""นครสวรรค์!L280"")"),1028520)</f>
        <v>1028520</v>
      </c>
      <c r="M385" s="170"/>
      <c r="N385" s="169">
        <f ca="1">IFERROR(__xludf.DUMMYFUNCTION("IMPORTRANGE(""https://docs.google.com/spreadsheets/d/11923uPwbBZFjjGgGUA6NLw09EwE0CqkOc4q9oUmW1yo/edit?usp=sharing"",""นครสวรรค์!M280"")"),125403)</f>
        <v>125403</v>
      </c>
      <c r="O385" s="170">
        <f t="shared" ca="1" si="109"/>
        <v>12.19256796173142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IFERROR(__xludf.DUMMYFUNCTION("IMPORTRANGE(""https://docs.google.com/spreadsheets/d/11923uPwbBZFjjGgGUA6NLw09EwE0CqkOc4q9oUmW1yo/edit?usp=sharing"",""นครสวรรค์!M281"")"),72540)</f>
        <v>72540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IFERROR(__xludf.DUMMYFUNCTION("IMPORTRANGE(""https://docs.google.com/spreadsheets/d/11923uPwbBZFjjGgGUA6NLw09EwE0CqkOc4q9oUmW1yo/edit?usp=sharing"",""นครสวรรค์!M282"")"),0)</f>
        <v>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IFERROR(__xludf.DUMMYFUNCTION("IMPORTRANGE(""https://docs.google.com/spreadsheets/d/11923uPwbBZFjjGgGUA6NLw09EwE0CqkOc4q9oUmW1yo/edit?usp=sharing"",""นครสวรรค์!M283"")"),50963)</f>
        <v>50963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IFERROR(__xludf.DUMMYFUNCTION("IMPORTRANGE(""https://docs.google.com/spreadsheets/d/11923uPwbBZFjjGgGUA6NLw09EwE0CqkOc4q9oUmW1yo/edit?usp=sharing"",""นครสวรรค์!M284"")"),1900)</f>
        <v>1900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IFERROR(__xludf.DUMMYFUNCTION("IMPORTRANGE(""https://docs.google.com/spreadsheets/d/11923uPwbBZFjjGgGUA6NLw09EwE0CqkOc4q9oUmW1yo/edit?usp=sharing"",""นครสวรรค์!J286"")"),0)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IFERROR(__xludf.DUMMYFUNCTION("IMPORTRANGE(""https://docs.google.com/spreadsheets/d/11923uPwbBZFjjGgGUA6NLw09EwE0CqkOc4q9oUmW1yo/edit?usp=sharing"",""นครสวรรค์!J287"")"),1)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IFERROR(__xludf.DUMMYFUNCTION("IMPORTRANGE(""https://docs.google.com/spreadsheets/d/11923uPwbBZFjjGgGUA6NLw09EwE0CqkOc4q9oUmW1yo/edit?usp=sharing"",""นครสวรรค์!J288"")"),1)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IFERROR(__xludf.DUMMYFUNCTION("IMPORTRANGE(""https://docs.google.com/spreadsheets/d/11923uPwbBZFjjGgGUA6NLw09EwE0CqkOc4q9oUmW1yo/edit?usp=sharing"",""นครสวรรค์!J289"")"),1)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IFERROR(__xludf.DUMMYFUNCTION("IMPORTRANGE(""https://docs.google.com/spreadsheets/d/11923uPwbBZFjjGgGUA6NLw09EwE0CqkOc4q9oUmW1yo/edit?usp=sharing"",""นครสวรรค์!I291"")"),100)</f>
        <v>100</v>
      </c>
      <c r="J396" s="199">
        <f ca="1">IFERROR(__xludf.DUMMYFUNCTION("IMPORTRANGE(""https://docs.google.com/spreadsheets/d/11923uPwbBZFjjGgGUA6NLw09EwE0CqkOc4q9oUmW1yo/edit?usp=sharing"",""นครสวรรค์!J291"")"),100)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IFERROR(__xludf.DUMMYFUNCTION("IMPORTRANGE(""https://docs.google.com/spreadsheets/d/11923uPwbBZFjjGgGUA6NLw09EwE0CqkOc4q9oUmW1yo/edit?usp=sharing"",""นครสวรรค์!I292"")"),1000)</f>
        <v>1000</v>
      </c>
      <c r="J397" s="199">
        <f ca="1">IFERROR(__xludf.DUMMYFUNCTION("IMPORTRANGE(""https://docs.google.com/spreadsheets/d/11923uPwbBZFjjGgGUA6NLw09EwE0CqkOc4q9oUmW1yo/edit?usp=sharing"",""นครสวรรค์!J292"")"),0)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IFERROR(__xludf.DUMMYFUNCTION("IMPORTRANGE(""https://docs.google.com/spreadsheets/d/11923uPwbBZFjjGgGUA6NLw09EwE0CqkOc4q9oUmW1yo/edit?usp=sharing"",""นครสวรรค์!I293"")"),100)</f>
        <v>100</v>
      </c>
      <c r="J398" s="199">
        <f ca="1">IFERROR(__xludf.DUMMYFUNCTION("IMPORTRANGE(""https://docs.google.com/spreadsheets/d/11923uPwbBZFjjGgGUA6NLw09EwE0CqkOc4q9oUmW1yo/edit?usp=sharing"",""นครสวรรค์!J293"")"),0)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IFERROR(__xludf.DUMMYFUNCTION("IMPORTRANGE(""https://docs.google.com/spreadsheets/d/11923uPwbBZFjjGgGUA6NLw09EwE0CqkOc4q9oUmW1yo/edit?usp=sharing"",""นครสวรรค์!J294"")"),0)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IFERROR(__xludf.DUMMYFUNCTION("IMPORTRANGE(""https://docs.google.com/spreadsheets/d/11923uPwbBZFjjGgGUA6NLw09EwE0CqkOc4q9oUmW1yo/edit?usp=sharing"",""นครสวรรค์!J295"")"),0)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IFERROR(__xludf.DUMMYFUNCTION("IMPORTRANGE(""https://docs.google.com/spreadsheets/d/11923uPwbBZFjjGgGUA6NLw09EwE0CqkOc4q9oUmW1yo/edit?usp=sharing"",""นครสวรรค์!I296"")"),135)</f>
        <v>135</v>
      </c>
      <c r="J401" s="372">
        <f ca="1">IFERROR(__xludf.DUMMYFUNCTION("IMPORTRANGE(""https://docs.google.com/spreadsheets/d/11923uPwbBZFjjGgGUA6NLw09EwE0CqkOc4q9oUmW1yo/edit?usp=sharing"",""นครสวรรค์!J296"")"),141)</f>
        <v>141</v>
      </c>
      <c r="K401" s="373">
        <f t="shared" ref="K401:K402" ca="1" si="111">IF(I401&gt;0,J401*100/I401,0)</f>
        <v>104.44444444444444</v>
      </c>
      <c r="L401" s="374">
        <f ca="1">IFERROR(__xludf.DUMMYFUNCTION("IMPORTRANGE(""https://docs.google.com/spreadsheets/d/11923uPwbBZFjjGgGUA6NLw09EwE0CqkOc4q9oUmW1yo/edit?usp=sharing"",""นครสวรรค์!L296"")"),159950)</f>
        <v>159950</v>
      </c>
      <c r="M401" s="374"/>
      <c r="N401" s="374">
        <f ca="1">IFERROR(__xludf.DUMMYFUNCTION("IMPORTRANGE(""https://docs.google.com/spreadsheets/d/11923uPwbBZFjjGgGUA6NLw09EwE0CqkOc4q9oUmW1yo/edit?usp=sharing"",""นครสวรรค์!M296"")"),132250)</f>
        <v>132250</v>
      </c>
      <c r="O401" s="374">
        <f ca="1">+IF(L401&gt;0,N401*100/L401,0)</f>
        <v>82.682088152547678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IFERROR(__xludf.DUMMYFUNCTION("IMPORTRANGE(""https://docs.google.com/spreadsheets/d/11923uPwbBZFjjGgGUA6NLw09EwE0CqkOc4q9oUmW1yo/edit?usp=sharing"",""นครสวรรค์!I297"")"),45)</f>
        <v>45</v>
      </c>
      <c r="J402" s="372">
        <f ca="1">IFERROR(__xludf.DUMMYFUNCTION("IMPORTRANGE(""https://docs.google.com/spreadsheets/d/11923uPwbBZFjjGgGUA6NLw09EwE0CqkOc4q9oUmW1yo/edit?usp=sharing"",""นครสวรรค์!J297"")"),47)</f>
        <v>47</v>
      </c>
      <c r="K402" s="373">
        <f t="shared" ca="1" si="111"/>
        <v>104.44444444444444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IFERROR(__xludf.DUMMYFUNCTION("IMPORTRANGE(""https://docs.google.com/spreadsheets/d/11923uPwbBZFjjGgGUA6NLw09EwE0CqkOc4q9oUmW1yo/edit?usp=sharing"",""นครสวรรค์!L298"")"),0)</f>
        <v>0</v>
      </c>
      <c r="M403" s="166"/>
      <c r="N403" s="170">
        <f ca="1">IFERROR(__xludf.DUMMYFUNCTION("IMPORTRANGE(""https://docs.google.com/spreadsheets/d/11923uPwbBZFjjGgGUA6NLw09EwE0CqkOc4q9oUmW1yo/edit?usp=sharing"",""นครสวรรค์!M298"")"),0)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IFERROR(__xludf.DUMMYFUNCTION("IMPORTRANGE(""https://docs.google.com/spreadsheets/d/11923uPwbBZFjjGgGUA6NLw09EwE0CqkOc4q9oUmW1yo/edit?usp=sharing"",""นครสวรรค์!L299"")"),159950)</f>
        <v>159950</v>
      </c>
      <c r="M404" s="167"/>
      <c r="N404" s="170">
        <f ca="1">IFERROR(__xludf.DUMMYFUNCTION("IMPORTRANGE(""https://docs.google.com/spreadsheets/d/11923uPwbBZFjjGgGUA6NLw09EwE0CqkOc4q9oUmW1yo/edit?usp=sharing"",""นครสวรรค์!M299"")"),132250)</f>
        <v>132250</v>
      </c>
      <c r="O404" s="170">
        <f t="shared" ca="1" si="112"/>
        <v>82.682088152547678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IFERROR(__xludf.DUMMYFUNCTION("IMPORTRANGE(""https://docs.google.com/spreadsheets/d/11923uPwbBZFjjGgGUA6NLw09EwE0CqkOc4q9oUmW1yo/edit?usp=sharing"",""นครสวรรค์!L300"")"),0)</f>
        <v>0</v>
      </c>
      <c r="M405" s="170"/>
      <c r="N405" s="170">
        <f ca="1">IFERROR(__xludf.DUMMYFUNCTION("IMPORTRANGE(""https://docs.google.com/spreadsheets/d/11923uPwbBZFjjGgGUA6NLw09EwE0CqkOc4q9oUmW1yo/edit?usp=sharing"",""นครสวรรค์!M300"")"),0)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IFERROR(__xludf.DUMMYFUNCTION("IMPORTRANGE(""https://docs.google.com/spreadsheets/d/11923uPwbBZFjjGgGUA6NLw09EwE0CqkOc4q9oUmW1yo/edit?usp=sharing"",""นครสวรรค์!L301"")"),159950)</f>
        <v>159950</v>
      </c>
      <c r="M406" s="170"/>
      <c r="N406" s="170">
        <f ca="1">IFERROR(__xludf.DUMMYFUNCTION("IMPORTRANGE(""https://docs.google.com/spreadsheets/d/11923uPwbBZFjjGgGUA6NLw09EwE0CqkOc4q9oUmW1yo/edit?usp=sharing"",""นครสวรรค์!M301"")"),132250)</f>
        <v>132250</v>
      </c>
      <c r="O406" s="170">
        <f t="shared" ca="1" si="112"/>
        <v>82.682088152547678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IFERROR(__xludf.DUMMYFUNCTION("IMPORTRANGE(""https://docs.google.com/spreadsheets/d/11923uPwbBZFjjGgGUA6NLw09EwE0CqkOc4q9oUmW1yo/edit?usp=sharing"",""นครสวรรค์!M302"")"),97550)</f>
        <v>97550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IFERROR(__xludf.DUMMYFUNCTION("IMPORTRANGE(""https://docs.google.com/spreadsheets/d/11923uPwbBZFjjGgGUA6NLw09EwE0CqkOc4q9oUmW1yo/edit?usp=sharing"",""นครสวรรค์!M303"")"),32500)</f>
        <v>32500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IFERROR(__xludf.DUMMYFUNCTION("IMPORTRANGE(""https://docs.google.com/spreadsheets/d/11923uPwbBZFjjGgGUA6NLw09EwE0CqkOc4q9oUmW1yo/edit?usp=sharing"",""นครสวรรค์!M304"")"),0)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IFERROR(__xludf.DUMMYFUNCTION("IMPORTRANGE(""https://docs.google.com/spreadsheets/d/11923uPwbBZFjjGgGUA6NLw09EwE0CqkOc4q9oUmW1yo/edit?usp=sharing"",""นครสวรรค์!M305"")"),2200)</f>
        <v>2200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IFERROR(__xludf.DUMMYFUNCTION("IMPORTRANGE(""https://docs.google.com/spreadsheets/d/11923uPwbBZFjjGgGUA6NLw09EwE0CqkOc4q9oUmW1yo/edit?usp=sharing"",""นครสวรรค์!J307"")"),0)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IFERROR(__xludf.DUMMYFUNCTION("IMPORTRANGE(""https://docs.google.com/spreadsheets/d/11923uPwbBZFjjGgGUA6NLw09EwE0CqkOc4q9oUmW1yo/edit?usp=sharing"",""นครสวรรค์!J308"")"),1)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IFERROR(__xludf.DUMMYFUNCTION("IMPORTRANGE(""https://docs.google.com/spreadsheets/d/11923uPwbBZFjjGgGUA6NLw09EwE0CqkOc4q9oUmW1yo/edit?usp=sharing"",""นครสวรรค์!J309"")"),1)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IFERROR(__xludf.DUMMYFUNCTION("IMPORTRANGE(""https://docs.google.com/spreadsheets/d/11923uPwbBZFjjGgGUA6NLw09EwE0CqkOc4q9oUmW1yo/edit?usp=sharing"",""นครสวรรค์!J310"")"),0)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IFERROR(__xludf.DUMMYFUNCTION("IMPORTRANGE(""https://docs.google.com/spreadsheets/d/11923uPwbBZFjjGgGUA6NLw09EwE0CqkOc4q9oUmW1yo/edit?usp=sharing"",""นครสวรรค์!I311"")"),45)</f>
        <v>45</v>
      </c>
      <c r="J416" s="202">
        <f ca="1">IFERROR(__xludf.DUMMYFUNCTION("IMPORTRANGE(""https://docs.google.com/spreadsheets/d/11923uPwbBZFjjGgGUA6NLw09EwE0CqkOc4q9oUmW1yo/edit?usp=sharing"",""นครสวรรค์!J311"")"),47)</f>
        <v>47</v>
      </c>
      <c r="K416" s="203">
        <f t="shared" ref="K416:K432" ca="1" si="113">IF(I416&gt;0,J416*100/I416,0)</f>
        <v>104.44444444444444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IFERROR(__xludf.DUMMYFUNCTION("IMPORTRANGE(""https://docs.google.com/spreadsheets/d/11923uPwbBZFjjGgGUA6NLw09EwE0CqkOc4q9oUmW1yo/edit?usp=sharing"",""นครสวรรค์!I312"")"),10)</f>
        <v>10</v>
      </c>
      <c r="J417" s="393">
        <f ca="1">IFERROR(__xludf.DUMMYFUNCTION("IMPORTRANGE(""https://docs.google.com/spreadsheets/d/11923uPwbBZFjjGgGUA6NLw09EwE0CqkOc4q9oUmW1yo/edit?usp=sharing"",""นครสวรรค์!J312"")"),10)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IFERROR(__xludf.DUMMYFUNCTION("IMPORTRANGE(""https://docs.google.com/spreadsheets/d/11923uPwbBZFjjGgGUA6NLw09EwE0CqkOc4q9oUmW1yo/edit?usp=sharing"",""นครสวรรค์!I313"")"),30)</f>
        <v>30</v>
      </c>
      <c r="J418" s="394">
        <f ca="1">IFERROR(__xludf.DUMMYFUNCTION("IMPORTRANGE(""https://docs.google.com/spreadsheets/d/11923uPwbBZFjjGgGUA6NLw09EwE0CqkOc4q9oUmW1yo/edit?usp=sharing"",""นครสวรรค์!J313"")"),30)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IFERROR(__xludf.DUMMYFUNCTION("IMPORTRANGE(""https://docs.google.com/spreadsheets/d/11923uPwbBZFjjGgGUA6NLw09EwE0CqkOc4q9oUmW1yo/edit?usp=sharing"",""นครสวรรค์!I314"")"),10)</f>
        <v>10</v>
      </c>
      <c r="J419" s="395">
        <f ca="1">IFERROR(__xludf.DUMMYFUNCTION("IMPORTRANGE(""https://docs.google.com/spreadsheets/d/11923uPwbBZFjjGgGUA6NLw09EwE0CqkOc4q9oUmW1yo/edit?usp=sharing"",""นครสวรรค์!J314"")"),10)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IFERROR(__xludf.DUMMYFUNCTION("IMPORTRANGE(""https://docs.google.com/spreadsheets/d/11923uPwbBZFjjGgGUA6NLw09EwE0CqkOc4q9oUmW1yo/edit?usp=sharing"",""นครสวรรค์!I315"")"),10)</f>
        <v>10</v>
      </c>
      <c r="J420" s="395">
        <f ca="1">IFERROR(__xludf.DUMMYFUNCTION("IMPORTRANGE(""https://docs.google.com/spreadsheets/d/11923uPwbBZFjjGgGUA6NLw09EwE0CqkOc4q9oUmW1yo/edit?usp=sharing"",""นครสวรรค์!J315"")"),10)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IFERROR(__xludf.DUMMYFUNCTION("IMPORTRANGE(""https://docs.google.com/spreadsheets/d/11923uPwbBZFjjGgGUA6NLw09EwE0CqkOc4q9oUmW1yo/edit?usp=sharing"",""นครสวรรค์!I316"")"),25)</f>
        <v>25</v>
      </c>
      <c r="J421" s="393">
        <f ca="1">IFERROR(__xludf.DUMMYFUNCTION("IMPORTRANGE(""https://docs.google.com/spreadsheets/d/11923uPwbBZFjjGgGUA6NLw09EwE0CqkOc4q9oUmW1yo/edit?usp=sharing"",""นครสวรรค์!J316"")"),25)</f>
        <v>25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IFERROR(__xludf.DUMMYFUNCTION("IMPORTRANGE(""https://docs.google.com/spreadsheets/d/11923uPwbBZFjjGgGUA6NLw09EwE0CqkOc4q9oUmW1yo/edit?usp=sharing"",""นครสวรรค์!I317"")"),75)</f>
        <v>75</v>
      </c>
      <c r="J422" s="394">
        <f ca="1">IFERROR(__xludf.DUMMYFUNCTION("IMPORTRANGE(""https://docs.google.com/spreadsheets/d/11923uPwbBZFjjGgGUA6NLw09EwE0CqkOc4q9oUmW1yo/edit?usp=sharing"",""นครสวรรค์!J317"")"),75)</f>
        <v>75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IFERROR(__xludf.DUMMYFUNCTION("IMPORTRANGE(""https://docs.google.com/spreadsheets/d/11923uPwbBZFjjGgGUA6NLw09EwE0CqkOc4q9oUmW1yo/edit?usp=sharing"",""นครสวรรค์!I318"")"),25)</f>
        <v>25</v>
      </c>
      <c r="J423" s="395">
        <f ca="1">IFERROR(__xludf.DUMMYFUNCTION("IMPORTRANGE(""https://docs.google.com/spreadsheets/d/11923uPwbBZFjjGgGUA6NLw09EwE0CqkOc4q9oUmW1yo/edit?usp=sharing"",""นครสวรรค์!J318"")"),25)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IFERROR(__xludf.DUMMYFUNCTION("IMPORTRANGE(""https://docs.google.com/spreadsheets/d/11923uPwbBZFjjGgGUA6NLw09EwE0CqkOc4q9oUmW1yo/edit?usp=sharing"",""นครสวรรค์!I319"")"),25)</f>
        <v>25</v>
      </c>
      <c r="J424" s="395">
        <f ca="1">IFERROR(__xludf.DUMMYFUNCTION("IMPORTRANGE(""https://docs.google.com/spreadsheets/d/11923uPwbBZFjjGgGUA6NLw09EwE0CqkOc4q9oUmW1yo/edit?usp=sharing"",""นครสวรรค์!J319"")"),25)</f>
        <v>25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IFERROR(__xludf.DUMMYFUNCTION("IMPORTRANGE(""https://docs.google.com/spreadsheets/d/11923uPwbBZFjjGgGUA6NLw09EwE0CqkOc4q9oUmW1yo/edit?usp=sharing"",""นครสวรรค์!I320"")"),25)</f>
        <v>25</v>
      </c>
      <c r="J425" s="395">
        <f ca="1">IFERROR(__xludf.DUMMYFUNCTION("IMPORTRANGE(""https://docs.google.com/spreadsheets/d/11923uPwbBZFjjGgGUA6NLw09EwE0CqkOc4q9oUmW1yo/edit?usp=sharing"",""นครสวรรค์!J320"")"),25)</f>
        <v>25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IFERROR(__xludf.DUMMYFUNCTION("IMPORTRANGE(""https://docs.google.com/spreadsheets/d/11923uPwbBZFjjGgGUA6NLw09EwE0CqkOc4q9oUmW1yo/edit?usp=sharing"",""นครสวรรค์!I321"")"),10)</f>
        <v>10</v>
      </c>
      <c r="J426" s="393">
        <f ca="1">IFERROR(__xludf.DUMMYFUNCTION("IMPORTRANGE(""https://docs.google.com/spreadsheets/d/11923uPwbBZFjjGgGUA6NLw09EwE0CqkOc4q9oUmW1yo/edit?usp=sharing"",""นครสวรรค์!J321"")"),12)</f>
        <v>12</v>
      </c>
      <c r="K426" s="203">
        <f t="shared" ca="1" si="113"/>
        <v>120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IFERROR(__xludf.DUMMYFUNCTION("IMPORTRANGE(""https://docs.google.com/spreadsheets/d/11923uPwbBZFjjGgGUA6NLw09EwE0CqkOc4q9oUmW1yo/edit?usp=sharing"",""นครสวรรค์!I322"")"),30)</f>
        <v>30</v>
      </c>
      <c r="J427" s="394">
        <f ca="1">IFERROR(__xludf.DUMMYFUNCTION("IMPORTRANGE(""https://docs.google.com/spreadsheets/d/11923uPwbBZFjjGgGUA6NLw09EwE0CqkOc4q9oUmW1yo/edit?usp=sharing"",""นครสวรรค์!J322"")"),36)</f>
        <v>36</v>
      </c>
      <c r="K427" s="203">
        <f t="shared" ca="1" si="113"/>
        <v>120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IFERROR(__xludf.DUMMYFUNCTION("IMPORTRANGE(""https://docs.google.com/spreadsheets/d/11923uPwbBZFjjGgGUA6NLw09EwE0CqkOc4q9oUmW1yo/edit?usp=sharing"",""นครสวรรค์!I323"")"),10)</f>
        <v>10</v>
      </c>
      <c r="J428" s="395">
        <f ca="1">IFERROR(__xludf.DUMMYFUNCTION("IMPORTRANGE(""https://docs.google.com/spreadsheets/d/11923uPwbBZFjjGgGUA6NLw09EwE0CqkOc4q9oUmW1yo/edit?usp=sharing"",""นครสวรรค์!J323"")"),12)</f>
        <v>12</v>
      </c>
      <c r="K428" s="165">
        <f t="shared" ca="1" si="113"/>
        <v>120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IFERROR(__xludf.DUMMYFUNCTION("IMPORTRANGE(""https://docs.google.com/spreadsheets/d/11923uPwbBZFjjGgGUA6NLw09EwE0CqkOc4q9oUmW1yo/edit?usp=sharing"",""นครสวรรค์!I324"")"),10)</f>
        <v>10</v>
      </c>
      <c r="J429" s="395">
        <f ca="1">IFERROR(__xludf.DUMMYFUNCTION("IMPORTRANGE(""https://docs.google.com/spreadsheets/d/11923uPwbBZFjjGgGUA6NLw09EwE0CqkOc4q9oUmW1yo/edit?usp=sharing"",""นครสวรรค์!J324"")"),12)</f>
        <v>12</v>
      </c>
      <c r="K429" s="165">
        <f t="shared" ca="1" si="113"/>
        <v>120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IFERROR(__xludf.DUMMYFUNCTION("IMPORTRANGE(""https://docs.google.com/spreadsheets/d/11923uPwbBZFjjGgGUA6NLw09EwE0CqkOc4q9oUmW1yo/edit?usp=sharing"",""นครสวรรค์!I325"")"),35)</f>
        <v>35</v>
      </c>
      <c r="J430" s="393">
        <f ca="1">IFERROR(__xludf.DUMMYFUNCTION("IMPORTRANGE(""https://docs.google.com/spreadsheets/d/11923uPwbBZFjjGgGUA6NLw09EwE0CqkOc4q9oUmW1yo/edit?usp=sharing"",""นครสวรรค์!J325"")"),35)</f>
        <v>35</v>
      </c>
      <c r="K430" s="203">
        <f t="shared" ca="1" si="113"/>
        <v>100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IFERROR(__xludf.DUMMYFUNCTION("IMPORTRANGE(""https://docs.google.com/spreadsheets/d/11923uPwbBZFjjGgGUA6NLw09EwE0CqkOc4q9oUmW1yo/edit?usp=sharing"",""นครสวรรค์!I326"")"),10)</f>
        <v>10</v>
      </c>
      <c r="J431" s="395">
        <f ca="1">IFERROR(__xludf.DUMMYFUNCTION("IMPORTRANGE(""https://docs.google.com/spreadsheets/d/11923uPwbBZFjjGgGUA6NLw09EwE0CqkOc4q9oUmW1yo/edit?usp=sharing"",""นครสวรรค์!J326"")"),10)</f>
        <v>10</v>
      </c>
      <c r="K431" s="165">
        <f t="shared" ca="1" si="113"/>
        <v>100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IFERROR(__xludf.DUMMYFUNCTION("IMPORTRANGE(""https://docs.google.com/spreadsheets/d/11923uPwbBZFjjGgGUA6NLw09EwE0CqkOc4q9oUmW1yo/edit?usp=sharing"",""นครสวรรค์!I327"")"),25)</f>
        <v>25</v>
      </c>
      <c r="J432" s="395">
        <f ca="1">IFERROR(__xludf.DUMMYFUNCTION("IMPORTRANGE(""https://docs.google.com/spreadsheets/d/11923uPwbBZFjjGgGUA6NLw09EwE0CqkOc4q9oUmW1yo/edit?usp=sharing"",""นครสวรรค์!J327"")"),25)</f>
        <v>25</v>
      </c>
      <c r="K432" s="165">
        <f t="shared" ca="1" si="113"/>
        <v>100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IFERROR(__xludf.DUMMYFUNCTION("IMPORTRANGE(""https://docs.google.com/spreadsheets/d/11923uPwbBZFjjGgGUA6NLw09EwE0CqkOc4q9oUmW1yo/edit?usp=sharing"",""นครสวรรค์!J328"")"),0)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IFERROR(__xludf.DUMMYFUNCTION("IMPORTRANGE(""https://docs.google.com/spreadsheets/d/11923uPwbBZFjjGgGUA6NLw09EwE0CqkOc4q9oUmW1yo/edit?usp=sharing"",""นครสวรรค์!J329"")"),0)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IFERROR(__xludf.DUMMYFUNCTION("IMPORTRANGE(""https://docs.google.com/spreadsheets/d/11923uPwbBZFjjGgGUA6NLw09EwE0CqkOc4q9oUmW1yo/edit?usp=sharing"",""นครสวรรค์!I330"")"),15)</f>
        <v>15</v>
      </c>
      <c r="J435" s="411">
        <f ca="1">IFERROR(__xludf.DUMMYFUNCTION("IMPORTRANGE(""https://docs.google.com/spreadsheets/d/11923uPwbBZFjjGgGUA6NLw09EwE0CqkOc4q9oUmW1yo/edit?usp=sharing"",""นครสวรรค์!J330"")"),15)</f>
        <v>15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IFERROR(__xludf.DUMMYFUNCTION("IMPORTRANGE(""https://docs.google.com/spreadsheets/d/11923uPwbBZFjjGgGUA6NLw09EwE0CqkOc4q9oUmW1yo/edit?usp=sharing"",""นครสวรรค์!L330"")"),106000)</f>
        <v>106000</v>
      </c>
      <c r="M435" s="413"/>
      <c r="N435" s="413">
        <f ca="1">IFERROR(__xludf.DUMMYFUNCTION("IMPORTRANGE(""https://docs.google.com/spreadsheets/d/11923uPwbBZFjjGgGUA6NLw09EwE0CqkOc4q9oUmW1yo/edit?usp=sharing"",""นครสวรรค์!M330"")"),68902)</f>
        <v>68902</v>
      </c>
      <c r="O435" s="413">
        <f t="shared" ref="O435:O439" ca="1" si="114">+IF(L435&gt;0,N435*100/L435,0)</f>
        <v>65.001886792452837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IFERROR(__xludf.DUMMYFUNCTION("IMPORTRANGE(""https://docs.google.com/spreadsheets/d/11923uPwbBZFjjGgGUA6NLw09EwE0CqkOc4q9oUmW1yo/edit?usp=sharing"",""นครสวรรค์!L331"")"),0)</f>
        <v>0</v>
      </c>
      <c r="M436" s="166"/>
      <c r="N436" s="170">
        <f ca="1">IFERROR(__xludf.DUMMYFUNCTION("IMPORTRANGE(""https://docs.google.com/spreadsheets/d/11923uPwbBZFjjGgGUA6NLw09EwE0CqkOc4q9oUmW1yo/edit?usp=sharing"",""นครสวรรค์!M331"")"),0)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IFERROR(__xludf.DUMMYFUNCTION("IMPORTRANGE(""https://docs.google.com/spreadsheets/d/11923uPwbBZFjjGgGUA6NLw09EwE0CqkOc4q9oUmW1yo/edit?usp=sharing"",""นครสวรรค์!L332"")"),106000)</f>
        <v>106000</v>
      </c>
      <c r="M437" s="167"/>
      <c r="N437" s="170">
        <f ca="1">IFERROR(__xludf.DUMMYFUNCTION("IMPORTRANGE(""https://docs.google.com/spreadsheets/d/11923uPwbBZFjjGgGUA6NLw09EwE0CqkOc4q9oUmW1yo/edit?usp=sharing"",""นครสวรรค์!M332"")"),68902)</f>
        <v>68902</v>
      </c>
      <c r="O437" s="170">
        <f t="shared" ca="1" si="114"/>
        <v>65.001886792452837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IFERROR(__xludf.DUMMYFUNCTION("IMPORTRANGE(""https://docs.google.com/spreadsheets/d/11923uPwbBZFjjGgGUA6NLw09EwE0CqkOc4q9oUmW1yo/edit?usp=sharing"",""นครสวรรค์!L333"")"),0)</f>
        <v>0</v>
      </c>
      <c r="M438" s="170"/>
      <c r="N438" s="170">
        <f ca="1">IFERROR(__xludf.DUMMYFUNCTION("IMPORTRANGE(""https://docs.google.com/spreadsheets/d/11923uPwbBZFjjGgGUA6NLw09EwE0CqkOc4q9oUmW1yo/edit?usp=sharing"",""นครสวรรค์!M333"")"),0)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IFERROR(__xludf.DUMMYFUNCTION("IMPORTRANGE(""https://docs.google.com/spreadsheets/d/11923uPwbBZFjjGgGUA6NLw09EwE0CqkOc4q9oUmW1yo/edit?usp=sharing"",""นครสวรรค์!L334"")"),106000)</f>
        <v>106000</v>
      </c>
      <c r="M439" s="170"/>
      <c r="N439" s="170">
        <f ca="1">IFERROR(__xludf.DUMMYFUNCTION("IMPORTRANGE(""https://docs.google.com/spreadsheets/d/11923uPwbBZFjjGgGUA6NLw09EwE0CqkOc4q9oUmW1yo/edit?usp=sharing"",""นครสวรรค์!M334"")"),68902)</f>
        <v>68902</v>
      </c>
      <c r="O439" s="170">
        <f t="shared" ca="1" si="114"/>
        <v>65.001886792452837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IFERROR(__xludf.DUMMYFUNCTION("IMPORTRANGE(""https://docs.google.com/spreadsheets/d/11923uPwbBZFjjGgGUA6NLw09EwE0CqkOc4q9oUmW1yo/edit?usp=sharing"",""นครสวรรค์!M335"")"),27122)</f>
        <v>27122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IFERROR(__xludf.DUMMYFUNCTION("IMPORTRANGE(""https://docs.google.com/spreadsheets/d/11923uPwbBZFjjGgGUA6NLw09EwE0CqkOc4q9oUmW1yo/edit?usp=sharing"",""นครสวรรค์!M336"")"),0)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IFERROR(__xludf.DUMMYFUNCTION("IMPORTRANGE(""https://docs.google.com/spreadsheets/d/11923uPwbBZFjjGgGUA6NLw09EwE0CqkOc4q9oUmW1yo/edit?usp=sharing"",""นครสวรรค์!M337"")"),0)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IFERROR(__xludf.DUMMYFUNCTION("IMPORTRANGE(""https://docs.google.com/spreadsheets/d/11923uPwbBZFjjGgGUA6NLw09EwE0CqkOc4q9oUmW1yo/edit?usp=sharing"",""นครสวรรค์!M338"")"),41780)</f>
        <v>41780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IFERROR(__xludf.DUMMYFUNCTION("IMPORTRANGE(""https://docs.google.com/spreadsheets/d/11923uPwbBZFjjGgGUA6NLw09EwE0CqkOc4q9oUmW1yo/edit?usp=sharing"",""นครสวรรค์!J340"")"),0)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IFERROR(__xludf.DUMMYFUNCTION("IMPORTRANGE(""https://docs.google.com/spreadsheets/d/11923uPwbBZFjjGgGUA6NLw09EwE0CqkOc4q9oUmW1yo/edit?usp=sharing"",""นครสวรรค์!J341"")"),1)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IFERROR(__xludf.DUMMYFUNCTION("IMPORTRANGE(""https://docs.google.com/spreadsheets/d/11923uPwbBZFjjGgGUA6NLw09EwE0CqkOc4q9oUmW1yo/edit?usp=sharing"",""นครสวรรค์!J342"")"),1)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IFERROR(__xludf.DUMMYFUNCTION("IMPORTRANGE(""https://docs.google.com/spreadsheets/d/11923uPwbBZFjjGgGUA6NLw09EwE0CqkOc4q9oUmW1yo/edit?usp=sharing"",""นครสวรรค์!J343"")"),1)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IFERROR(__xludf.DUMMYFUNCTION("IMPORTRANGE(""https://docs.google.com/spreadsheets/d/11923uPwbBZFjjGgGUA6NLw09EwE0CqkOc4q9oUmW1yo/edit?usp=sharing"",""นครสวรรค์!I344"")"),15)</f>
        <v>15</v>
      </c>
      <c r="J449" s="202">
        <f ca="1">IFERROR(__xludf.DUMMYFUNCTION("IMPORTRANGE(""https://docs.google.com/spreadsheets/d/11923uPwbBZFjjGgGUA6NLw09EwE0CqkOc4q9oUmW1yo/edit?usp=sharing"",""นครสวรรค์!J344"")"),15)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IFERROR(__xludf.DUMMYFUNCTION("IMPORTRANGE(""https://docs.google.com/spreadsheets/d/11923uPwbBZFjjGgGUA6NLw09EwE0CqkOc4q9oUmW1yo/edit?usp=sharing"",""นครสวรรค์!I345"")"),15)</f>
        <v>15</v>
      </c>
      <c r="J450" s="190">
        <f ca="1">IFERROR(__xludf.DUMMYFUNCTION("IMPORTRANGE(""https://docs.google.com/spreadsheets/d/11923uPwbBZFjjGgGUA6NLw09EwE0CqkOc4q9oUmW1yo/edit?usp=sharing"",""นครสวรรค์!J345"")"),15)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IFERROR(__xludf.DUMMYFUNCTION("IMPORTRANGE(""https://docs.google.com/spreadsheets/d/11923uPwbBZFjjGgGUA6NLw09EwE0CqkOc4q9oUmW1yo/edit?usp=sharing"",""นครสวรรค์!I346"")"),0)</f>
        <v>0</v>
      </c>
      <c r="J451" s="189">
        <f ca="1">IFERROR(__xludf.DUMMYFUNCTION("IMPORTRANGE(""https://docs.google.com/spreadsheets/d/11923uPwbBZFjjGgGUA6NLw09EwE0CqkOc4q9oUmW1yo/edit?usp=sharing"",""นครสวรรค์!J346"")"),0)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IFERROR(__xludf.DUMMYFUNCTION("IMPORTRANGE(""https://docs.google.com/spreadsheets/d/11923uPwbBZFjjGgGUA6NLw09EwE0CqkOc4q9oUmW1yo/edit?usp=sharing"",""นครสวรรค์!I347"")"),0)</f>
        <v>0</v>
      </c>
      <c r="J452" s="189">
        <f ca="1">IFERROR(__xludf.DUMMYFUNCTION("IMPORTRANGE(""https://docs.google.com/spreadsheets/d/11923uPwbBZFjjGgGUA6NLw09EwE0CqkOc4q9oUmW1yo/edit?usp=sharing"",""นครสวรรค์!J347"")"),0)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IFERROR(__xludf.DUMMYFUNCTION("IMPORTRANGE(""https://docs.google.com/spreadsheets/d/11923uPwbBZFjjGgGUA6NLw09EwE0CqkOc4q9oUmW1yo/edit?usp=sharing"",""นครสวรรค์!J348"")"),0)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IFERROR(__xludf.DUMMYFUNCTION("IMPORTRANGE(""https://docs.google.com/spreadsheets/d/11923uPwbBZFjjGgGUA6NLw09EwE0CqkOc4q9oUmW1yo/edit?usp=sharing"",""นครสวรรค์!J349"")"),0)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IFERROR(__xludf.DUMMYFUNCTION("IMPORTRANGE(""https://docs.google.com/spreadsheets/d/11923uPwbBZFjjGgGUA6NLw09EwE0CqkOc4q9oUmW1yo/edit?usp=sharing"",""นครสวรรค์!I350"")"),45976)</f>
        <v>45976</v>
      </c>
      <c r="J455" s="372">
        <f ca="1">IFERROR(__xludf.DUMMYFUNCTION("IMPORTRANGE(""https://docs.google.com/spreadsheets/d/11923uPwbBZFjjGgGUA6NLw09EwE0CqkOc4q9oUmW1yo/edit?usp=sharing"",""นครสวรรค์!J350"")"),0)</f>
        <v>0</v>
      </c>
      <c r="K455" s="373">
        <f ca="1">IF(I455&gt;0,J455*100/I455,0)</f>
        <v>0</v>
      </c>
      <c r="L455" s="374">
        <f ca="1">IFERROR(__xludf.DUMMYFUNCTION("IMPORTRANGE(""https://docs.google.com/spreadsheets/d/11923uPwbBZFjjGgGUA6NLw09EwE0CqkOc4q9oUmW1yo/edit?usp=sharing"",""นครสวรรค์!L350"")"),473763)</f>
        <v>473763</v>
      </c>
      <c r="M455" s="374"/>
      <c r="N455" s="374">
        <f ca="1">IFERROR(__xludf.DUMMYFUNCTION("IMPORTRANGE(""https://docs.google.com/spreadsheets/d/11923uPwbBZFjjGgGUA6NLw09EwE0CqkOc4q9oUmW1yo/edit?usp=sharing"",""นครสวรรค์!M350"")"),85667)</f>
        <v>85667</v>
      </c>
      <c r="O455" s="374">
        <f t="shared" ref="O455:O459" ca="1" si="116">+IF(L455&gt;0,N455*100/L455,0)</f>
        <v>18.082247874992348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IFERROR(__xludf.DUMMYFUNCTION("IMPORTRANGE(""https://docs.google.com/spreadsheets/d/11923uPwbBZFjjGgGUA6NLw09EwE0CqkOc4q9oUmW1yo/edit?usp=sharing"",""นครสวรรค์!L351"")"),0)</f>
        <v>0</v>
      </c>
      <c r="M456" s="166"/>
      <c r="N456" s="170">
        <f ca="1">IFERROR(__xludf.DUMMYFUNCTION("IMPORTRANGE(""https://docs.google.com/spreadsheets/d/11923uPwbBZFjjGgGUA6NLw09EwE0CqkOc4q9oUmW1yo/edit?usp=sharing"",""นครสวรรค์!M351"")"),0)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IFERROR(__xludf.DUMMYFUNCTION("IMPORTRANGE(""https://docs.google.com/spreadsheets/d/11923uPwbBZFjjGgGUA6NLw09EwE0CqkOc4q9oUmW1yo/edit?usp=sharing"",""นครสวรรค์!L352"")"),473763)</f>
        <v>473763</v>
      </c>
      <c r="M457" s="167"/>
      <c r="N457" s="170">
        <f ca="1">IFERROR(__xludf.DUMMYFUNCTION("IMPORTRANGE(""https://docs.google.com/spreadsheets/d/11923uPwbBZFjjGgGUA6NLw09EwE0CqkOc4q9oUmW1yo/edit?usp=sharing"",""นครสวรรค์!M352"")"),85667)</f>
        <v>85667</v>
      </c>
      <c r="O457" s="170">
        <f t="shared" ca="1" si="116"/>
        <v>18.082247874992348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IFERROR(__xludf.DUMMYFUNCTION("IMPORTRANGE(""https://docs.google.com/spreadsheets/d/11923uPwbBZFjjGgGUA6NLw09EwE0CqkOc4q9oUmW1yo/edit?usp=sharing"",""นครสวรรค์!L353"")"),0)</f>
        <v>0</v>
      </c>
      <c r="M458" s="170"/>
      <c r="N458" s="170">
        <f ca="1">IFERROR(__xludf.DUMMYFUNCTION("IMPORTRANGE(""https://docs.google.com/spreadsheets/d/11923uPwbBZFjjGgGUA6NLw09EwE0CqkOc4q9oUmW1yo/edit?usp=sharing"",""นครสวรรค์!M353"")"),0)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IFERROR(__xludf.DUMMYFUNCTION("IMPORTRANGE(""https://docs.google.com/spreadsheets/d/11923uPwbBZFjjGgGUA6NLw09EwE0CqkOc4q9oUmW1yo/edit?usp=sharing"",""นครสวรรค์!L354"")"),473763)</f>
        <v>473763</v>
      </c>
      <c r="M459" s="170"/>
      <c r="N459" s="170">
        <f ca="1">IFERROR(__xludf.DUMMYFUNCTION("IMPORTRANGE(""https://docs.google.com/spreadsheets/d/11923uPwbBZFjjGgGUA6NLw09EwE0CqkOc4q9oUmW1yo/edit?usp=sharing"",""นครสวรรค์!M354"")"),85667)</f>
        <v>85667</v>
      </c>
      <c r="O459" s="170">
        <f t="shared" ca="1" si="116"/>
        <v>18.082247874992348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IFERROR(__xludf.DUMMYFUNCTION("IMPORTRANGE(""https://docs.google.com/spreadsheets/d/11923uPwbBZFjjGgGUA6NLw09EwE0CqkOc4q9oUmW1yo/edit?usp=sharing"",""นครสวรรค์!M355"")"),0)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IFERROR(__xludf.DUMMYFUNCTION("IMPORTRANGE(""https://docs.google.com/spreadsheets/d/11923uPwbBZFjjGgGUA6NLw09EwE0CqkOc4q9oUmW1yo/edit?usp=sharing"",""นครสวรรค์!M356"")"),0)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IFERROR(__xludf.DUMMYFUNCTION("IMPORTRANGE(""https://docs.google.com/spreadsheets/d/11923uPwbBZFjjGgGUA6NLw09EwE0CqkOc4q9oUmW1yo/edit?usp=sharing"",""นครสวรรค์!M357"")"),0)</f>
        <v>0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IFERROR(__xludf.DUMMYFUNCTION("IMPORTRANGE(""https://docs.google.com/spreadsheets/d/11923uPwbBZFjjGgGUA6NLw09EwE0CqkOc4q9oUmW1yo/edit?usp=sharing"",""นครสวรรค์!M358"")"),85667)</f>
        <v>85667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IFERROR(__xludf.DUMMYFUNCTION("IMPORTRANGE(""https://docs.google.com/spreadsheets/d/11923uPwbBZFjjGgGUA6NLw09EwE0CqkOc4q9oUmW1yo/edit?usp=sharing"",""นครสวรรค์!I359"")"),45976)</f>
        <v>45976</v>
      </c>
      <c r="J464" s="268">
        <f ca="1">IFERROR(__xludf.DUMMYFUNCTION("IMPORTRANGE(""https://docs.google.com/spreadsheets/d/11923uPwbBZFjjGgGUA6NLw09EwE0CqkOc4q9oUmW1yo/edit?usp=sharing"",""นครสวรรค์!J359"")"),0)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IFERROR(__xludf.DUMMYFUNCTION("IMPORTRANGE(""https://docs.google.com/spreadsheets/d/11923uPwbBZFjjGgGUA6NLw09EwE0CqkOc4q9oUmW1yo/edit?usp=sharing"",""นครสวรรค์!I360"")"),45976)</f>
        <v>45976</v>
      </c>
      <c r="J465" s="422">
        <f ca="1">IFERROR(__xludf.DUMMYFUNCTION("IMPORTRANGE(""https://docs.google.com/spreadsheets/d/11923uPwbBZFjjGgGUA6NLw09EwE0CqkOc4q9oUmW1yo/edit?usp=sharing"",""นครสวรรค์!J360"")"),45977)</f>
        <v>45977</v>
      </c>
      <c r="K465" s="203">
        <f t="shared" ca="1" si="117"/>
        <v>100.00217504785105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IFERROR(__xludf.DUMMYFUNCTION("IMPORTRANGE(""https://docs.google.com/spreadsheets/d/11923uPwbBZFjjGgGUA6NLw09EwE0CqkOc4q9oUmW1yo/edit?usp=sharing"",""นครสวรรค์!I361"")"),3447)</f>
        <v>3447</v>
      </c>
      <c r="J466" s="422">
        <f ca="1">IFERROR(__xludf.DUMMYFUNCTION("IMPORTRANGE(""https://docs.google.com/spreadsheets/d/11923uPwbBZFjjGgGUA6NLw09EwE0CqkOc4q9oUmW1yo/edit?usp=sharing"",""นครสวรรค์!J361"")"),3447)</f>
        <v>3447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IFERROR(__xludf.DUMMYFUNCTION("IMPORTRANGE(""https://docs.google.com/spreadsheets/d/11923uPwbBZFjjGgGUA6NLw09EwE0CqkOc4q9oUmW1yo/edit?usp=sharing"",""นครสวรรค์!I362"")"),0)</f>
        <v>0</v>
      </c>
      <c r="J467" s="190">
        <f ca="1">IFERROR(__xludf.DUMMYFUNCTION("IMPORTRANGE(""https://docs.google.com/spreadsheets/d/11923uPwbBZFjjGgGUA6NLw09EwE0CqkOc4q9oUmW1yo/edit?usp=sharing"",""นครสวรรค์!J362"")"),33426)</f>
        <v>33426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IFERROR(__xludf.DUMMYFUNCTION("IMPORTRANGE(""https://docs.google.com/spreadsheets/d/11923uPwbBZFjjGgGUA6NLw09EwE0CqkOc4q9oUmW1yo/edit?usp=sharing"",""นครสวรรค์!I363"")"),0)</f>
        <v>0</v>
      </c>
      <c r="J468" s="190">
        <f ca="1">IFERROR(__xludf.DUMMYFUNCTION("IMPORTRANGE(""https://docs.google.com/spreadsheets/d/11923uPwbBZFjjGgGUA6NLw09EwE0CqkOc4q9oUmW1yo/edit?usp=sharing"",""นครสวรรค์!J363"")"),2614)</f>
        <v>2614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IFERROR(__xludf.DUMMYFUNCTION("IMPORTRANGE(""https://docs.google.com/spreadsheets/d/11923uPwbBZFjjGgGUA6NLw09EwE0CqkOc4q9oUmW1yo/edit?usp=sharing"",""นครสวรรค์!I364"")"),0)</f>
        <v>0</v>
      </c>
      <c r="J469" s="190">
        <f ca="1">IFERROR(__xludf.DUMMYFUNCTION("IMPORTRANGE(""https://docs.google.com/spreadsheets/d/11923uPwbBZFjjGgGUA6NLw09EwE0CqkOc4q9oUmW1yo/edit?usp=sharing"",""นครสวรรค์!J364"")"),11005)</f>
        <v>11005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IFERROR(__xludf.DUMMYFUNCTION("IMPORTRANGE(""https://docs.google.com/spreadsheets/d/11923uPwbBZFjjGgGUA6NLw09EwE0CqkOc4q9oUmW1yo/edit?usp=sharing"",""นครสวรรค์!I365"")"),0)</f>
        <v>0</v>
      </c>
      <c r="J470" s="190">
        <f ca="1">IFERROR(__xludf.DUMMYFUNCTION("IMPORTRANGE(""https://docs.google.com/spreadsheets/d/11923uPwbBZFjjGgGUA6NLw09EwE0CqkOc4q9oUmW1yo/edit?usp=sharing"",""นครสวรรค์!J365"")"),695)</f>
        <v>695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IFERROR(__xludf.DUMMYFUNCTION("IMPORTRANGE(""https://docs.google.com/spreadsheets/d/11923uPwbBZFjjGgGUA6NLw09EwE0CqkOc4q9oUmW1yo/edit?usp=sharing"",""นครสวรรค์!I366"")"),0)</f>
        <v>0</v>
      </c>
      <c r="J471" s="190">
        <f ca="1">IFERROR(__xludf.DUMMYFUNCTION("IMPORTRANGE(""https://docs.google.com/spreadsheets/d/11923uPwbBZFjjGgGUA6NLw09EwE0CqkOc4q9oUmW1yo/edit?usp=sharing"",""นครสวรรค์!J366"")"),1546)</f>
        <v>1546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IFERROR(__xludf.DUMMYFUNCTION("IMPORTRANGE(""https://docs.google.com/spreadsheets/d/11923uPwbBZFjjGgGUA6NLw09EwE0CqkOc4q9oUmW1yo/edit?usp=sharing"",""นครสวรรค์!I367"")"),0)</f>
        <v>0</v>
      </c>
      <c r="J472" s="190">
        <f ca="1">IFERROR(__xludf.DUMMYFUNCTION("IMPORTRANGE(""https://docs.google.com/spreadsheets/d/11923uPwbBZFjjGgGUA6NLw09EwE0CqkOc4q9oUmW1yo/edit?usp=sharing"",""นครสวรรค์!J367"")"),138)</f>
        <v>138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IFERROR(__xludf.DUMMYFUNCTION("IMPORTRANGE(""https://docs.google.com/spreadsheets/d/11923uPwbBZFjjGgGUA6NLw09EwE0CqkOc4q9oUmW1yo/edit?usp=sharing"",""นครสวรรค์!I368"")"),45976)</f>
        <v>45976</v>
      </c>
      <c r="J473" s="422">
        <f ca="1">IFERROR(__xludf.DUMMYFUNCTION("IMPORTRANGE(""https://docs.google.com/spreadsheets/d/11923uPwbBZFjjGgGUA6NLw09EwE0CqkOc4q9oUmW1yo/edit?usp=sharing"",""นครสวรรค์!J368"")"),45976.97)</f>
        <v>45976.97</v>
      </c>
      <c r="K473" s="203">
        <f t="shared" ca="1" si="117"/>
        <v>100.00210979641552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IFERROR(__xludf.DUMMYFUNCTION("IMPORTRANGE(""https://docs.google.com/spreadsheets/d/11923uPwbBZFjjGgGUA6NLw09EwE0CqkOc4q9oUmW1yo/edit?usp=sharing"",""นครสวรรค์!I369"")"),3447)</f>
        <v>3447</v>
      </c>
      <c r="J474" s="422">
        <f ca="1">IFERROR(__xludf.DUMMYFUNCTION("IMPORTRANGE(""https://docs.google.com/spreadsheets/d/11923uPwbBZFjjGgGUA6NLw09EwE0CqkOc4q9oUmW1yo/edit?usp=sharing"",""นครสวรรค์!J369"")"),3447)</f>
        <v>3447</v>
      </c>
      <c r="K474" s="203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IFERROR(__xludf.DUMMYFUNCTION("IMPORTRANGE(""https://docs.google.com/spreadsheets/d/11923uPwbBZFjjGgGUA6NLw09EwE0CqkOc4q9oUmW1yo/edit?usp=sharing"",""นครสวรรค์!I370"")"),0)</f>
        <v>0</v>
      </c>
      <c r="J475" s="190">
        <f ca="1">IFERROR(__xludf.DUMMYFUNCTION("IMPORTRANGE(""https://docs.google.com/spreadsheets/d/11923uPwbBZFjjGgGUA6NLw09EwE0CqkOc4q9oUmW1yo/edit?usp=sharing"",""นครสวรรค์!J370"")"),37277.22)</f>
        <v>37277.22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IFERROR(__xludf.DUMMYFUNCTION("IMPORTRANGE(""https://docs.google.com/spreadsheets/d/11923uPwbBZFjjGgGUA6NLw09EwE0CqkOc4q9oUmW1yo/edit?usp=sharing"",""นครสวรรค์!I371"")"),0)</f>
        <v>0</v>
      </c>
      <c r="J476" s="190">
        <f ca="1">IFERROR(__xludf.DUMMYFUNCTION("IMPORTRANGE(""https://docs.google.com/spreadsheets/d/11923uPwbBZFjjGgGUA6NLw09EwE0CqkOc4q9oUmW1yo/edit?usp=sharing"",""นครสวรรค์!J371"")"),2877)</f>
        <v>2877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IFERROR(__xludf.DUMMYFUNCTION("IMPORTRANGE(""https://docs.google.com/spreadsheets/d/11923uPwbBZFjjGgGUA6NLw09EwE0CqkOc4q9oUmW1yo/edit?usp=sharing"",""นครสวรรค์!I372"")"),0)</f>
        <v>0</v>
      </c>
      <c r="J477" s="190">
        <f ca="1">IFERROR(__xludf.DUMMYFUNCTION("IMPORTRANGE(""https://docs.google.com/spreadsheets/d/11923uPwbBZFjjGgGUA6NLw09EwE0CqkOc4q9oUmW1yo/edit?usp=sharing"",""นครสวรรค์!J372"")"),7556.46)</f>
        <v>7556.46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IFERROR(__xludf.DUMMYFUNCTION("IMPORTRANGE(""https://docs.google.com/spreadsheets/d/11923uPwbBZFjjGgGUA6NLw09EwE0CqkOc4q9oUmW1yo/edit?usp=sharing"",""นครสวรรค์!I373"")"),0)</f>
        <v>0</v>
      </c>
      <c r="J478" s="190">
        <f ca="1">IFERROR(__xludf.DUMMYFUNCTION("IMPORTRANGE(""https://docs.google.com/spreadsheets/d/11923uPwbBZFjjGgGUA6NLw09EwE0CqkOc4q9oUmW1yo/edit?usp=sharing"",""นครสวรรค์!J373"")"),463)</f>
        <v>463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IFERROR(__xludf.DUMMYFUNCTION("IMPORTRANGE(""https://docs.google.com/spreadsheets/d/11923uPwbBZFjjGgGUA6NLw09EwE0CqkOc4q9oUmW1yo/edit?usp=sharing"",""นครสวรรค์!I374"")"),0)</f>
        <v>0</v>
      </c>
      <c r="J479" s="190">
        <f ca="1">IFERROR(__xludf.DUMMYFUNCTION("IMPORTRANGE(""https://docs.google.com/spreadsheets/d/11923uPwbBZFjjGgGUA6NLw09EwE0CqkOc4q9oUmW1yo/edit?usp=sharing"",""นครสวรรค์!J374"")"),1143.29)</f>
        <v>1143.29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IFERROR(__xludf.DUMMYFUNCTION("IMPORTRANGE(""https://docs.google.com/spreadsheets/d/11923uPwbBZFjjGgGUA6NLw09EwE0CqkOc4q9oUmW1yo/edit?usp=sharing"",""นครสวรรค์!I375"")"),0)</f>
        <v>0</v>
      </c>
      <c r="J480" s="190">
        <f ca="1">IFERROR(__xludf.DUMMYFUNCTION("IMPORTRANGE(""https://docs.google.com/spreadsheets/d/11923uPwbBZFjjGgGUA6NLw09EwE0CqkOc4q9oUmW1yo/edit?usp=sharing"",""นครสวรรค์!J375"")"),107)</f>
        <v>107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IFERROR(__xludf.DUMMYFUNCTION("IMPORTRANGE(""https://docs.google.com/spreadsheets/d/11923uPwbBZFjjGgGUA6NLw09EwE0CqkOc4q9oUmW1yo/edit?usp=sharing"",""นครสวรรค์!I376"")"),45976)</f>
        <v>45976</v>
      </c>
      <c r="J481" s="422">
        <f ca="1">IFERROR(__xludf.DUMMYFUNCTION("IMPORTRANGE(""https://docs.google.com/spreadsheets/d/11923uPwbBZFjjGgGUA6NLw09EwE0CqkOc4q9oUmW1yo/edit?usp=sharing"",""นครสวรรค์!J376"")"),0)</f>
        <v>0</v>
      </c>
      <c r="K481" s="203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IFERROR(__xludf.DUMMYFUNCTION("IMPORTRANGE(""https://docs.google.com/spreadsheets/d/11923uPwbBZFjjGgGUA6NLw09EwE0CqkOc4q9oUmW1yo/edit?usp=sharing"",""นครสวรรค์!I377"")"),3447)</f>
        <v>3447</v>
      </c>
      <c r="J482" s="422">
        <f ca="1">IFERROR(__xludf.DUMMYFUNCTION("IMPORTRANGE(""https://docs.google.com/spreadsheets/d/11923uPwbBZFjjGgGUA6NLw09EwE0CqkOc4q9oUmW1yo/edit?usp=sharing"",""นครสวรรค์!J377"")"),0)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IFERROR(__xludf.DUMMYFUNCTION("IMPORTRANGE(""https://docs.google.com/spreadsheets/d/11923uPwbBZFjjGgGUA6NLw09EwE0CqkOc4q9oUmW1yo/edit?usp=sharing"",""นครสวรรค์!I378"")"),0)</f>
        <v>0</v>
      </c>
      <c r="J483" s="190">
        <f ca="1">IFERROR(__xludf.DUMMYFUNCTION("IMPORTRANGE(""https://docs.google.com/spreadsheets/d/11923uPwbBZFjjGgGUA6NLw09EwE0CqkOc4q9oUmW1yo/edit?usp=sharing"",""นครสวรรค์!J378"")"),0)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IFERROR(__xludf.DUMMYFUNCTION("IMPORTRANGE(""https://docs.google.com/spreadsheets/d/11923uPwbBZFjjGgGUA6NLw09EwE0CqkOc4q9oUmW1yo/edit?usp=sharing"",""นครสวรรค์!I379"")"),0)</f>
        <v>0</v>
      </c>
      <c r="J484" s="190">
        <f ca="1">IFERROR(__xludf.DUMMYFUNCTION("IMPORTRANGE(""https://docs.google.com/spreadsheets/d/11923uPwbBZFjjGgGUA6NLw09EwE0CqkOc4q9oUmW1yo/edit?usp=sharing"",""นครสวรรค์!J379"")"),0)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IFERROR(__xludf.DUMMYFUNCTION("IMPORTRANGE(""https://docs.google.com/spreadsheets/d/11923uPwbBZFjjGgGUA6NLw09EwE0CqkOc4q9oUmW1yo/edit?usp=sharing"",""นครสวรรค์!I380"")"),0)</f>
        <v>0</v>
      </c>
      <c r="J485" s="190">
        <f ca="1">IFERROR(__xludf.DUMMYFUNCTION("IMPORTRANGE(""https://docs.google.com/spreadsheets/d/11923uPwbBZFjjGgGUA6NLw09EwE0CqkOc4q9oUmW1yo/edit?usp=sharing"",""นครสวรรค์!J380"")"),0)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IFERROR(__xludf.DUMMYFUNCTION("IMPORTRANGE(""https://docs.google.com/spreadsheets/d/11923uPwbBZFjjGgGUA6NLw09EwE0CqkOc4q9oUmW1yo/edit?usp=sharing"",""นครสวรรค์!I381"")"),0)</f>
        <v>0</v>
      </c>
      <c r="J486" s="190">
        <f ca="1">IFERROR(__xludf.DUMMYFUNCTION("IMPORTRANGE(""https://docs.google.com/spreadsheets/d/11923uPwbBZFjjGgGUA6NLw09EwE0CqkOc4q9oUmW1yo/edit?usp=sharing"",""นครสวรรค์!J381"")"),0)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IFERROR(__xludf.DUMMYFUNCTION("IMPORTRANGE(""https://docs.google.com/spreadsheets/d/11923uPwbBZFjjGgGUA6NLw09EwE0CqkOc4q9oUmW1yo/edit?usp=sharing"",""นครสวรรค์!I382"")"),0)</f>
        <v>0</v>
      </c>
      <c r="J487" s="422">
        <f ca="1">IFERROR(__xludf.DUMMYFUNCTION("IMPORTRANGE(""https://docs.google.com/spreadsheets/d/11923uPwbBZFjjGgGUA6NLw09EwE0CqkOc4q9oUmW1yo/edit?usp=sharing"",""นครสวรรค์!J382"")"),0)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IFERROR(__xludf.DUMMYFUNCTION("IMPORTRANGE(""https://docs.google.com/spreadsheets/d/11923uPwbBZFjjGgGUA6NLw09EwE0CqkOc4q9oUmW1yo/edit?usp=sharing"",""นครสวรรค์!I383"")"),0)</f>
        <v>0</v>
      </c>
      <c r="J488" s="422">
        <f ca="1">IFERROR(__xludf.DUMMYFUNCTION("IMPORTRANGE(""https://docs.google.com/spreadsheets/d/11923uPwbBZFjjGgGUA6NLw09EwE0CqkOc4q9oUmW1yo/edit?usp=sharing"",""นครสวรรค์!J383"")"),0)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IFERROR(__xludf.DUMMYFUNCTION("IMPORTRANGE(""https://docs.google.com/spreadsheets/d/11923uPwbBZFjjGgGUA6NLw09EwE0CqkOc4q9oUmW1yo/edit?usp=sharing"",""นครสวรรค์!I384"")"),0)</f>
        <v>0</v>
      </c>
      <c r="J489" s="190">
        <f ca="1">IFERROR(__xludf.DUMMYFUNCTION("IMPORTRANGE(""https://docs.google.com/spreadsheets/d/11923uPwbBZFjjGgGUA6NLw09EwE0CqkOc4q9oUmW1yo/edit?usp=sharing"",""นครสวรรค์!J384"")"),0)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IFERROR(__xludf.DUMMYFUNCTION("IMPORTRANGE(""https://docs.google.com/spreadsheets/d/11923uPwbBZFjjGgGUA6NLw09EwE0CqkOc4q9oUmW1yo/edit?usp=sharing"",""นครสวรรค์!I385"")"),0)</f>
        <v>0</v>
      </c>
      <c r="J490" s="190">
        <f ca="1">IFERROR(__xludf.DUMMYFUNCTION("IMPORTRANGE(""https://docs.google.com/spreadsheets/d/11923uPwbBZFjjGgGUA6NLw09EwE0CqkOc4q9oUmW1yo/edit?usp=sharing"",""นครสวรรค์!J385"")"),0)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IFERROR(__xludf.DUMMYFUNCTION("IMPORTRANGE(""https://docs.google.com/spreadsheets/d/11923uPwbBZFjjGgGUA6NLw09EwE0CqkOc4q9oUmW1yo/edit?usp=sharing"",""นครสวรรค์!I386"")"),0)</f>
        <v>0</v>
      </c>
      <c r="J491" s="190">
        <f ca="1">IFERROR(__xludf.DUMMYFUNCTION("IMPORTRANGE(""https://docs.google.com/spreadsheets/d/11923uPwbBZFjjGgGUA6NLw09EwE0CqkOc4q9oUmW1yo/edit?usp=sharing"",""นครสวรรค์!J386"")"),0)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IFERROR(__xludf.DUMMYFUNCTION("IMPORTRANGE(""https://docs.google.com/spreadsheets/d/11923uPwbBZFjjGgGUA6NLw09EwE0CqkOc4q9oUmW1yo/edit?usp=sharing"",""นครสวรรค์!I387"")"),0)</f>
        <v>0</v>
      </c>
      <c r="J492" s="190">
        <f ca="1">IFERROR(__xludf.DUMMYFUNCTION("IMPORTRANGE(""https://docs.google.com/spreadsheets/d/11923uPwbBZFjjGgGUA6NLw09EwE0CqkOc4q9oUmW1yo/edit?usp=sharing"",""นครสวรรค์!J387"")"),0)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IFERROR(__xludf.DUMMYFUNCTION("IMPORTRANGE(""https://docs.google.com/spreadsheets/d/11923uPwbBZFjjGgGUA6NLw09EwE0CqkOc4q9oUmW1yo/edit?usp=sharing"",""นครสวรรค์!I388"")"),0)</f>
        <v>0</v>
      </c>
      <c r="J493" s="190">
        <f ca="1">IFERROR(__xludf.DUMMYFUNCTION("IMPORTRANGE(""https://docs.google.com/spreadsheets/d/11923uPwbBZFjjGgGUA6NLw09EwE0CqkOc4q9oUmW1yo/edit?usp=sharing"",""นครสวรรค์!J388"")"),0)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IFERROR(__xludf.DUMMYFUNCTION("IMPORTRANGE(""https://docs.google.com/spreadsheets/d/11923uPwbBZFjjGgGUA6NLw09EwE0CqkOc4q9oUmW1yo/edit?usp=sharing"",""นครสวรรค์!I389"")"),0)</f>
        <v>0</v>
      </c>
      <c r="J494" s="438">
        <f ca="1">IFERROR(__xludf.DUMMYFUNCTION("IMPORTRANGE(""https://docs.google.com/spreadsheets/d/11923uPwbBZFjjGgGUA6NLw09EwE0CqkOc4q9oUmW1yo/edit?usp=sharing"",""นครสวรรค์!J389"")"),0)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IFERROR(__xludf.DUMMYFUNCTION("IMPORTRANGE(""https://docs.google.com/spreadsheets/d/11923uPwbBZFjjGgGUA6NLw09EwE0CqkOc4q9oUmW1yo/edit?usp=sharing"",""นครสวรรค์!I390"")"),0)</f>
        <v>0</v>
      </c>
      <c r="J495" s="438">
        <f ca="1">IFERROR(__xludf.DUMMYFUNCTION("IMPORTRANGE(""https://docs.google.com/spreadsheets/d/11923uPwbBZFjjGgGUA6NLw09EwE0CqkOc4q9oUmW1yo/edit?usp=sharing"",""นครสวรรค์!J390"")"),0)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IFERROR(__xludf.DUMMYFUNCTION("IMPORTRANGE(""https://docs.google.com/spreadsheets/d/11923uPwbBZFjjGgGUA6NLw09EwE0CqkOc4q9oUmW1yo/edit?usp=sharing"",""นครสวรรค์!I391"")"),0)</f>
        <v>0</v>
      </c>
      <c r="J496" s="438">
        <f ca="1">IFERROR(__xludf.DUMMYFUNCTION("IMPORTRANGE(""https://docs.google.com/spreadsheets/d/11923uPwbBZFjjGgGUA6NLw09EwE0CqkOc4q9oUmW1yo/edit?usp=sharing"",""นครสวรรค์!J391"")"),0)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IFERROR(__xludf.DUMMYFUNCTION("IMPORTRANGE(""https://docs.google.com/spreadsheets/d/11923uPwbBZFjjGgGUA6NLw09EwE0CqkOc4q9oUmW1yo/edit?usp=sharing"",""นครสวรรค์!I392"")"),14261)</f>
        <v>14261</v>
      </c>
      <c r="J497" s="445">
        <f ca="1">IFERROR(__xludf.DUMMYFUNCTION("IMPORTRANGE(""https://docs.google.com/spreadsheets/d/11923uPwbBZFjjGgGUA6NLw09EwE0CqkOc4q9oUmW1yo/edit?usp=sharing"",""นครสวรรค์!J392"")"),0)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IFERROR(__xludf.DUMMYFUNCTION("IMPORTRANGE(""https://docs.google.com/spreadsheets/d/11923uPwbBZFjjGgGUA6NLw09EwE0CqkOc4q9oUmW1yo/edit?usp=sharing"",""นครสวรรค์!I393"")"),14261)</f>
        <v>14261</v>
      </c>
      <c r="J498" s="422">
        <f ca="1">IFERROR(__xludf.DUMMYFUNCTION("IMPORTRANGE(""https://docs.google.com/spreadsheets/d/11923uPwbBZFjjGgGUA6NLw09EwE0CqkOc4q9oUmW1yo/edit?usp=sharing"",""นครสวรรค์!J393"")"),0)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IFERROR(__xludf.DUMMYFUNCTION("IMPORTRANGE(""https://docs.google.com/spreadsheets/d/11923uPwbBZFjjGgGUA6NLw09EwE0CqkOc4q9oUmW1yo/edit?usp=sharing"",""นครสวรรค์!I394"")"),770)</f>
        <v>770</v>
      </c>
      <c r="J499" s="422">
        <f ca="1">IFERROR(__xludf.DUMMYFUNCTION("IMPORTRANGE(""https://docs.google.com/spreadsheets/d/11923uPwbBZFjjGgGUA6NLw09EwE0CqkOc4q9oUmW1yo/edit?usp=sharing"",""นครสวรรค์!J394"")"),0)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IFERROR(__xludf.DUMMYFUNCTION("IMPORTRANGE(""https://docs.google.com/spreadsheets/d/11923uPwbBZFjjGgGUA6NLw09EwE0CqkOc4q9oUmW1yo/edit?usp=sharing"",""นครสวรรค์!I395"")"),0)</f>
        <v>0</v>
      </c>
      <c r="J500" s="164">
        <f ca="1">IFERROR(__xludf.DUMMYFUNCTION("IMPORTRANGE(""https://docs.google.com/spreadsheets/d/11923uPwbBZFjjGgGUA6NLw09EwE0CqkOc4q9oUmW1yo/edit?usp=sharing"",""นครสวรรค์!J395"")"),0)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IFERROR(__xludf.DUMMYFUNCTION("IMPORTRANGE(""https://docs.google.com/spreadsheets/d/11923uPwbBZFjjGgGUA6NLw09EwE0CqkOc4q9oUmW1yo/edit?usp=sharing"",""นครสวรรค์!I396"")"),0)</f>
        <v>0</v>
      </c>
      <c r="J501" s="164">
        <f ca="1">IFERROR(__xludf.DUMMYFUNCTION("IMPORTRANGE(""https://docs.google.com/spreadsheets/d/11923uPwbBZFjjGgGUA6NLw09EwE0CqkOc4q9oUmW1yo/edit?usp=sharing"",""นครสวรรค์!J396"")"),0)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IFERROR(__xludf.DUMMYFUNCTION("IMPORTRANGE(""https://docs.google.com/spreadsheets/d/11923uPwbBZFjjGgGUA6NLw09EwE0CqkOc4q9oUmW1yo/edit?usp=sharing"",""นครสวรรค์!I397"")"),0)</f>
        <v>0</v>
      </c>
      <c r="J502" s="190">
        <f ca="1">IFERROR(__xludf.DUMMYFUNCTION("IMPORTRANGE(""https://docs.google.com/spreadsheets/d/11923uPwbBZFjjGgGUA6NLw09EwE0CqkOc4q9oUmW1yo/edit?usp=sharing"",""นครสวรรค์!J397"")"),0)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IFERROR(__xludf.DUMMYFUNCTION("IMPORTRANGE(""https://docs.google.com/spreadsheets/d/11923uPwbBZFjjGgGUA6NLw09EwE0CqkOc4q9oUmW1yo/edit?usp=sharing"",""นครสวรรค์!I398"")"),0)</f>
        <v>0</v>
      </c>
      <c r="J503" s="199">
        <f ca="1">IFERROR(__xludf.DUMMYFUNCTION("IMPORTRANGE(""https://docs.google.com/spreadsheets/d/11923uPwbBZFjjGgGUA6NLw09EwE0CqkOc4q9oUmW1yo/edit?usp=sharing"",""นครสวรรค์!J398"")"),0)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IFERROR(__xludf.DUMMYFUNCTION("IMPORTRANGE(""https://docs.google.com/spreadsheets/d/11923uPwbBZFjjGgGUA6NLw09EwE0CqkOc4q9oUmW1yo/edit?usp=sharing"",""นครสวรรค์!I399"")"),0)</f>
        <v>0</v>
      </c>
      <c r="J504" s="190">
        <f ca="1">IFERROR(__xludf.DUMMYFUNCTION("IMPORTRANGE(""https://docs.google.com/spreadsheets/d/11923uPwbBZFjjGgGUA6NLw09EwE0CqkOc4q9oUmW1yo/edit?usp=sharing"",""นครสวรรค์!J399"")"),0)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IFERROR(__xludf.DUMMYFUNCTION("IMPORTRANGE(""https://docs.google.com/spreadsheets/d/11923uPwbBZFjjGgGUA6NLw09EwE0CqkOc4q9oUmW1yo/edit?usp=sharing"",""นครสวรรค์!I400"")"),0)</f>
        <v>0</v>
      </c>
      <c r="J505" s="199">
        <f ca="1">IFERROR(__xludf.DUMMYFUNCTION("IMPORTRANGE(""https://docs.google.com/spreadsheets/d/11923uPwbBZFjjGgGUA6NLw09EwE0CqkOc4q9oUmW1yo/edit?usp=sharing"",""นครสวรรค์!J400"")"),0)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IFERROR(__xludf.DUMMYFUNCTION("IMPORTRANGE(""https://docs.google.com/spreadsheets/d/11923uPwbBZFjjGgGUA6NLw09EwE0CqkOc4q9oUmW1yo/edit?usp=sharing"",""นครสวรรค์!I401"")"),0)</f>
        <v>0</v>
      </c>
      <c r="J506" s="190">
        <f ca="1">IFERROR(__xludf.DUMMYFUNCTION("IMPORTRANGE(""https://docs.google.com/spreadsheets/d/11923uPwbBZFjjGgGUA6NLw09EwE0CqkOc4q9oUmW1yo/edit?usp=sharing"",""นครสวรรค์!J401"")"),0)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IFERROR(__xludf.DUMMYFUNCTION("IMPORTRANGE(""https://docs.google.com/spreadsheets/d/11923uPwbBZFjjGgGUA6NLw09EwE0CqkOc4q9oUmW1yo/edit?usp=sharing"",""นครสวรรค์!I402"")"),0)</f>
        <v>0</v>
      </c>
      <c r="J507" s="199">
        <f ca="1">IFERROR(__xludf.DUMMYFUNCTION("IMPORTRANGE(""https://docs.google.com/spreadsheets/d/11923uPwbBZFjjGgGUA6NLw09EwE0CqkOc4q9oUmW1yo/edit?usp=sharing"",""นครสวรรค์!J402"")"),0)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IFERROR(__xludf.DUMMYFUNCTION("IMPORTRANGE(""https://docs.google.com/spreadsheets/d/11923uPwbBZFjjGgGUA6NLw09EwE0CqkOc4q9oUmW1yo/edit?usp=sharing"",""นครสวรรค์!I403"")"),0)</f>
        <v>0</v>
      </c>
      <c r="J508" s="164">
        <f ca="1">IFERROR(__xludf.DUMMYFUNCTION("IMPORTRANGE(""https://docs.google.com/spreadsheets/d/11923uPwbBZFjjGgGUA6NLw09EwE0CqkOc4q9oUmW1yo/edit?usp=sharing"",""นครสวรรค์!J403"")"),0)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IFERROR(__xludf.DUMMYFUNCTION("IMPORTRANGE(""https://docs.google.com/spreadsheets/d/11923uPwbBZFjjGgGUA6NLw09EwE0CqkOc4q9oUmW1yo/edit?usp=sharing"",""นครสวรรค์!I404"")"),0)</f>
        <v>0</v>
      </c>
      <c r="J509" s="164">
        <f ca="1">IFERROR(__xludf.DUMMYFUNCTION("IMPORTRANGE(""https://docs.google.com/spreadsheets/d/11923uPwbBZFjjGgGUA6NLw09EwE0CqkOc4q9oUmW1yo/edit?usp=sharing"",""นครสวรรค์!J404"")"),0)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IFERROR(__xludf.DUMMYFUNCTION("IMPORTRANGE(""https://docs.google.com/spreadsheets/d/11923uPwbBZFjjGgGUA6NLw09EwE0CqkOc4q9oUmW1yo/edit?usp=sharing"",""นครสวรรค์!I405"")"),0)</f>
        <v>0</v>
      </c>
      <c r="J510" s="199">
        <f ca="1">IFERROR(__xludf.DUMMYFUNCTION("IMPORTRANGE(""https://docs.google.com/spreadsheets/d/11923uPwbBZFjjGgGUA6NLw09EwE0CqkOc4q9oUmW1yo/edit?usp=sharing"",""นครสวรรค์!J405"")"),0)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IFERROR(__xludf.DUMMYFUNCTION("IMPORTRANGE(""https://docs.google.com/spreadsheets/d/11923uPwbBZFjjGgGUA6NLw09EwE0CqkOc4q9oUmW1yo/edit?usp=sharing"",""นครสวรรค์!I406"")"),0)</f>
        <v>0</v>
      </c>
      <c r="J511" s="199">
        <f ca="1">IFERROR(__xludf.DUMMYFUNCTION("IMPORTRANGE(""https://docs.google.com/spreadsheets/d/11923uPwbBZFjjGgGUA6NLw09EwE0CqkOc4q9oUmW1yo/edit?usp=sharing"",""นครสวรรค์!J406"")"),0)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IFERROR(__xludf.DUMMYFUNCTION("IMPORTRANGE(""https://docs.google.com/spreadsheets/d/11923uPwbBZFjjGgGUA6NLw09EwE0CqkOc4q9oUmW1yo/edit?usp=sharing"",""นครสวรรค์!I407"")"),0)</f>
        <v>0</v>
      </c>
      <c r="J512" s="199">
        <f ca="1">IFERROR(__xludf.DUMMYFUNCTION("IMPORTRANGE(""https://docs.google.com/spreadsheets/d/11923uPwbBZFjjGgGUA6NLw09EwE0CqkOc4q9oUmW1yo/edit?usp=sharing"",""นครสวรรค์!J407"")"),0)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IFERROR(__xludf.DUMMYFUNCTION("IMPORTRANGE(""https://docs.google.com/spreadsheets/d/11923uPwbBZFjjGgGUA6NLw09EwE0CqkOc4q9oUmW1yo/edit?usp=sharing"",""นครสวรรค์!I408"")"),0)</f>
        <v>0</v>
      </c>
      <c r="J513" s="199">
        <f ca="1">IFERROR(__xludf.DUMMYFUNCTION("IMPORTRANGE(""https://docs.google.com/spreadsheets/d/11923uPwbBZFjjGgGUA6NLw09EwE0CqkOc4q9oUmW1yo/edit?usp=sharing"",""นครสวรรค์!J408"")"),0)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IFERROR(__xludf.DUMMYFUNCTION("IMPORTRANGE(""https://docs.google.com/spreadsheets/d/11923uPwbBZFjjGgGUA6NLw09EwE0CqkOc4q9oUmW1yo/edit?usp=sharing"",""นครสวรรค์!I409"")"),0)</f>
        <v>0</v>
      </c>
      <c r="J514" s="199">
        <f ca="1">IFERROR(__xludf.DUMMYFUNCTION("IMPORTRANGE(""https://docs.google.com/spreadsheets/d/11923uPwbBZFjjGgGUA6NLw09EwE0CqkOc4q9oUmW1yo/edit?usp=sharing"",""นครสวรรค์!J409"")"),0)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IFERROR(__xludf.DUMMYFUNCTION("IMPORTRANGE(""https://docs.google.com/spreadsheets/d/11923uPwbBZFjjGgGUA6NLw09EwE0CqkOc4q9oUmW1yo/edit?usp=sharing"",""นครสวรรค์!I410"")"),0)</f>
        <v>0</v>
      </c>
      <c r="J515" s="199">
        <f ca="1">IFERROR(__xludf.DUMMYFUNCTION("IMPORTRANGE(""https://docs.google.com/spreadsheets/d/11923uPwbBZFjjGgGUA6NLw09EwE0CqkOc4q9oUmW1yo/edit?usp=sharing"",""นครสวรรค์!J410"")"),0)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IFERROR(__xludf.DUMMYFUNCTION("IMPORTRANGE(""https://docs.google.com/spreadsheets/d/11923uPwbBZFjjGgGUA6NLw09EwE0CqkOc4q9oUmW1yo/edit?usp=sharing"",""นครสวรรค์!I411"")"),0)</f>
        <v>0</v>
      </c>
      <c r="J516" s="268">
        <f ca="1">IFERROR(__xludf.DUMMYFUNCTION("IMPORTRANGE(""https://docs.google.com/spreadsheets/d/11923uPwbBZFjjGgGUA6NLw09EwE0CqkOc4q9oUmW1yo/edit?usp=sharing"",""นครสวรรค์!J411"")"),0)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IFERROR(__xludf.DUMMYFUNCTION("IMPORTRANGE(""https://docs.google.com/spreadsheets/d/11923uPwbBZFjjGgGUA6NLw09EwE0CqkOc4q9oUmW1yo/edit?usp=sharing"",""นครสวรรค์!I412"")"),0)</f>
        <v>0</v>
      </c>
      <c r="J517" s="285">
        <f ca="1">IFERROR(__xludf.DUMMYFUNCTION("IMPORTRANGE(""https://docs.google.com/spreadsheets/d/11923uPwbBZFjjGgGUA6NLw09EwE0CqkOc4q9oUmW1yo/edit?usp=sharing"",""นครสวรรค์!J412"")"),0)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IFERROR(__xludf.DUMMYFUNCTION("IMPORTRANGE(""https://docs.google.com/spreadsheets/d/11923uPwbBZFjjGgGUA6NLw09EwE0CqkOc4q9oUmW1yo/edit?usp=sharing"",""นครสวรรค์!I413"")"),0)</f>
        <v>0</v>
      </c>
      <c r="J518" s="285">
        <f ca="1">IFERROR(__xludf.DUMMYFUNCTION("IMPORTRANGE(""https://docs.google.com/spreadsheets/d/11923uPwbBZFjjGgGUA6NLw09EwE0CqkOc4q9oUmW1yo/edit?usp=sharing"",""นครสวรรค์!J413"")"),0)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IFERROR(__xludf.DUMMYFUNCTION("IMPORTRANGE(""https://docs.google.com/spreadsheets/d/11923uPwbBZFjjGgGUA6NLw09EwE0CqkOc4q9oUmW1yo/edit?usp=sharing"",""นครสวรรค์!I414"")"),0)</f>
        <v>0</v>
      </c>
      <c r="J519" s="189">
        <f ca="1">IFERROR(__xludf.DUMMYFUNCTION("IMPORTRANGE(""https://docs.google.com/spreadsheets/d/11923uPwbBZFjjGgGUA6NLw09EwE0CqkOc4q9oUmW1yo/edit?usp=sharing"",""นครสวรรค์!J414"")"),0)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IFERROR(__xludf.DUMMYFUNCTION("IMPORTRANGE(""https://docs.google.com/spreadsheets/d/11923uPwbBZFjjGgGUA6NLw09EwE0CqkOc4q9oUmW1yo/edit?usp=sharing"",""นครสวรรค์!I415"")"),0)</f>
        <v>0</v>
      </c>
      <c r="J520" s="189">
        <f ca="1">IFERROR(__xludf.DUMMYFUNCTION("IMPORTRANGE(""https://docs.google.com/spreadsheets/d/11923uPwbBZFjjGgGUA6NLw09EwE0CqkOc4q9oUmW1yo/edit?usp=sharing"",""นครสวรรค์!J415"")"),0)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IFERROR(__xludf.DUMMYFUNCTION("IMPORTRANGE(""https://docs.google.com/spreadsheets/d/11923uPwbBZFjjGgGUA6NLw09EwE0CqkOc4q9oUmW1yo/edit?usp=sharing"",""นครสวรรค์!I416"")"),0)</f>
        <v>0</v>
      </c>
      <c r="J521" s="189">
        <f ca="1">IFERROR(__xludf.DUMMYFUNCTION("IMPORTRANGE(""https://docs.google.com/spreadsheets/d/11923uPwbBZFjjGgGUA6NLw09EwE0CqkOc4q9oUmW1yo/edit?usp=sharing"",""นครสวรรค์!J416"")"),0)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IFERROR(__xludf.DUMMYFUNCTION("IMPORTRANGE(""https://docs.google.com/spreadsheets/d/11923uPwbBZFjjGgGUA6NLw09EwE0CqkOc4q9oUmW1yo/edit?usp=sharing"",""นครสวรรค์!I417"")"),0)</f>
        <v>0</v>
      </c>
      <c r="J522" s="189">
        <f ca="1">IFERROR(__xludf.DUMMYFUNCTION("IMPORTRANGE(""https://docs.google.com/spreadsheets/d/11923uPwbBZFjjGgGUA6NLw09EwE0CqkOc4q9oUmW1yo/edit?usp=sharing"",""นครสวรรค์!J417"")"),0)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IFERROR(__xludf.DUMMYFUNCTION("IMPORTRANGE(""https://docs.google.com/spreadsheets/d/11923uPwbBZFjjGgGUA6NLw09EwE0CqkOc4q9oUmW1yo/edit?usp=sharing"",""นครสวรรค์!I418"")"),0)</f>
        <v>0</v>
      </c>
      <c r="J523" s="189">
        <f ca="1">IFERROR(__xludf.DUMMYFUNCTION("IMPORTRANGE(""https://docs.google.com/spreadsheets/d/11923uPwbBZFjjGgGUA6NLw09EwE0CqkOc4q9oUmW1yo/edit?usp=sharing"",""นครสวรรค์!J418"")"),307)</f>
        <v>307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IFERROR(__xludf.DUMMYFUNCTION("IMPORTRANGE(""https://docs.google.com/spreadsheets/d/11923uPwbBZFjjGgGUA6NLw09EwE0CqkOc4q9oUmW1yo/edit?usp=sharing"",""นครสวรรค์!I419"")"),0)</f>
        <v>0</v>
      </c>
      <c r="J524" s="189">
        <f ca="1">IFERROR(__xludf.DUMMYFUNCTION("IMPORTRANGE(""https://docs.google.com/spreadsheets/d/11923uPwbBZFjjGgGUA6NLw09EwE0CqkOc4q9oUmW1yo/edit?usp=sharing"",""นครสวรรค์!J419"")"),26)</f>
        <v>26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IFERROR(__xludf.DUMMYFUNCTION("IMPORTRANGE(""https://docs.google.com/spreadsheets/d/11923uPwbBZFjjGgGUA6NLw09EwE0CqkOc4q9oUmW1yo/edit?usp=sharing"",""นครสวรรค์!I420"")"),307)</f>
        <v>307</v>
      </c>
      <c r="J525" s="285">
        <f ca="1">IFERROR(__xludf.DUMMYFUNCTION("IMPORTRANGE(""https://docs.google.com/spreadsheets/d/11923uPwbBZFjjGgGUA6NLw09EwE0CqkOc4q9oUmW1yo/edit?usp=sharing"",""นครสวรรค์!J420"")"),0)</f>
        <v>0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IFERROR(__xludf.DUMMYFUNCTION("IMPORTRANGE(""https://docs.google.com/spreadsheets/d/11923uPwbBZFjjGgGUA6NLw09EwE0CqkOc4q9oUmW1yo/edit?usp=sharing"",""นครสวรรค์!I421"")"),26)</f>
        <v>26</v>
      </c>
      <c r="J526" s="285">
        <f ca="1">IFERROR(__xludf.DUMMYFUNCTION("IMPORTRANGE(""https://docs.google.com/spreadsheets/d/11923uPwbBZFjjGgGUA6NLw09EwE0CqkOc4q9oUmW1yo/edit?usp=sharing"",""นครสวรรค์!J421"")"),0)</f>
        <v>0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IFERROR(__xludf.DUMMYFUNCTION("IMPORTRANGE(""https://docs.google.com/spreadsheets/d/11923uPwbBZFjjGgGUA6NLw09EwE0CqkOc4q9oUmW1yo/edit?usp=sharing"",""นครสวรรค์!I422"")"),0)</f>
        <v>0</v>
      </c>
      <c r="J527" s="199">
        <f ca="1">IFERROR(__xludf.DUMMYFUNCTION("IMPORTRANGE(""https://docs.google.com/spreadsheets/d/11923uPwbBZFjjGgGUA6NLw09EwE0CqkOc4q9oUmW1yo/edit?usp=sharing"",""นครสวรรค์!J422"")"),0)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IFERROR(__xludf.DUMMYFUNCTION("IMPORTRANGE(""https://docs.google.com/spreadsheets/d/11923uPwbBZFjjGgGUA6NLw09EwE0CqkOc4q9oUmW1yo/edit?usp=sharing"",""นครสวรรค์!I423"")"),0)</f>
        <v>0</v>
      </c>
      <c r="J528" s="199">
        <f ca="1">IFERROR(__xludf.DUMMYFUNCTION("IMPORTRANGE(""https://docs.google.com/spreadsheets/d/11923uPwbBZFjjGgGUA6NLw09EwE0CqkOc4q9oUmW1yo/edit?usp=sharing"",""นครสวรรค์!J423"")"),0)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IFERROR(__xludf.DUMMYFUNCTION("IMPORTRANGE(""https://docs.google.com/spreadsheets/d/11923uPwbBZFjjGgGUA6NLw09EwE0CqkOc4q9oUmW1yo/edit?usp=sharing"",""นครสวรรค์!I424"")"),0)</f>
        <v>0</v>
      </c>
      <c r="J529" s="199">
        <f ca="1">IFERROR(__xludf.DUMMYFUNCTION("IMPORTRANGE(""https://docs.google.com/spreadsheets/d/11923uPwbBZFjjGgGUA6NLw09EwE0CqkOc4q9oUmW1yo/edit?usp=sharing"",""นครสวรรค์!J424"")"),0)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IFERROR(__xludf.DUMMYFUNCTION("IMPORTRANGE(""https://docs.google.com/spreadsheets/d/11923uPwbBZFjjGgGUA6NLw09EwE0CqkOc4q9oUmW1yo/edit?usp=sharing"",""นครสวรรค์!I425"")"),0)</f>
        <v>0</v>
      </c>
      <c r="J530" s="199">
        <f ca="1">IFERROR(__xludf.DUMMYFUNCTION("IMPORTRANGE(""https://docs.google.com/spreadsheets/d/11923uPwbBZFjjGgGUA6NLw09EwE0CqkOc4q9oUmW1yo/edit?usp=sharing"",""นครสวรรค์!J425"")"),0)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IFERROR(__xludf.DUMMYFUNCTION("IMPORTRANGE(""https://docs.google.com/spreadsheets/d/11923uPwbBZFjjGgGUA6NLw09EwE0CqkOc4q9oUmW1yo/edit?usp=sharing"",""นครสวรรค์!I426"")"),0)</f>
        <v>0</v>
      </c>
      <c r="J531" s="199">
        <f ca="1">IFERROR(__xludf.DUMMYFUNCTION("IMPORTRANGE(""https://docs.google.com/spreadsheets/d/11923uPwbBZFjjGgGUA6NLw09EwE0CqkOc4q9oUmW1yo/edit?usp=sharing"",""นครสวรรค์!J426"")"),0)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IFERROR(__xludf.DUMMYFUNCTION("IMPORTRANGE(""https://docs.google.com/spreadsheets/d/11923uPwbBZFjjGgGUA6NLw09EwE0CqkOc4q9oUmW1yo/edit?usp=sharing"",""นครสวรรค์!I427"")"),0)</f>
        <v>0</v>
      </c>
      <c r="J532" s="468">
        <f ca="1">IFERROR(__xludf.DUMMYFUNCTION("IMPORTRANGE(""https://docs.google.com/spreadsheets/d/11923uPwbBZFjjGgGUA6NLw09EwE0CqkOc4q9oUmW1yo/edit?usp=sharing"",""นครสวรรค์!J427"")"),0)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IFERROR(__xludf.DUMMYFUNCTION("IMPORTRANGE(""https://docs.google.com/spreadsheets/d/11923uPwbBZFjjGgGUA6NLw09EwE0CqkOc4q9oUmW1yo/edit?usp=sharing"",""นครสวรรค์!I428"")"),22)</f>
        <v>22</v>
      </c>
      <c r="J533" s="411">
        <f ca="1">IFERROR(__xludf.DUMMYFUNCTION("IMPORTRANGE(""https://docs.google.com/spreadsheets/d/11923uPwbBZFjjGgGUA6NLw09EwE0CqkOc4q9oUmW1yo/edit?usp=sharing"",""นครสวรรค์!J428"")"),22)</f>
        <v>22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IFERROR(__xludf.DUMMYFUNCTION("IMPORTRANGE(""https://docs.google.com/spreadsheets/d/11923uPwbBZFjjGgGUA6NLw09EwE0CqkOc4q9oUmW1yo/edit?usp=sharing"",""นครสวรรค์!L428"")"),34340)</f>
        <v>34340</v>
      </c>
      <c r="M533" s="413"/>
      <c r="N533" s="413">
        <f ca="1">IFERROR(__xludf.DUMMYFUNCTION("IMPORTRANGE(""https://docs.google.com/spreadsheets/d/11923uPwbBZFjjGgGUA6NLw09EwE0CqkOc4q9oUmW1yo/edit?usp=sharing"",""นครสวรรค์!M428"")"),20765)</f>
        <v>20765</v>
      </c>
      <c r="O533" s="413">
        <f t="shared" ref="O533:O537" ca="1" si="118">+IF(L533&gt;0,N533*100/L533,0)</f>
        <v>60.468841001747236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IFERROR(__xludf.DUMMYFUNCTION("IMPORTRANGE(""https://docs.google.com/spreadsheets/d/11923uPwbBZFjjGgGUA6NLw09EwE0CqkOc4q9oUmW1yo/edit?usp=sharing"",""นครสวรรค์!L429"")"),0)</f>
        <v>0</v>
      </c>
      <c r="M534" s="166"/>
      <c r="N534" s="170">
        <f ca="1">IFERROR(__xludf.DUMMYFUNCTION("IMPORTRANGE(""https://docs.google.com/spreadsheets/d/11923uPwbBZFjjGgGUA6NLw09EwE0CqkOc4q9oUmW1yo/edit?usp=sharing"",""นครสวรรค์!M429"")"),0)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IFERROR(__xludf.DUMMYFUNCTION("IMPORTRANGE(""https://docs.google.com/spreadsheets/d/11923uPwbBZFjjGgGUA6NLw09EwE0CqkOc4q9oUmW1yo/edit?usp=sharing"",""นครสวรรค์!L430"")"),34340)</f>
        <v>34340</v>
      </c>
      <c r="M535" s="167"/>
      <c r="N535" s="170">
        <f ca="1">IFERROR(__xludf.DUMMYFUNCTION("IMPORTRANGE(""https://docs.google.com/spreadsheets/d/11923uPwbBZFjjGgGUA6NLw09EwE0CqkOc4q9oUmW1yo/edit?usp=sharing"",""นครสวรรค์!M430"")"),20765)</f>
        <v>20765</v>
      </c>
      <c r="O535" s="170">
        <f t="shared" ca="1" si="118"/>
        <v>60.468841001747236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IFERROR(__xludf.DUMMYFUNCTION("IMPORTRANGE(""https://docs.google.com/spreadsheets/d/11923uPwbBZFjjGgGUA6NLw09EwE0CqkOc4q9oUmW1yo/edit?usp=sharing"",""นครสวรรค์!L431"")"),0)</f>
        <v>0</v>
      </c>
      <c r="M536" s="170"/>
      <c r="N536" s="170">
        <f ca="1">IFERROR(__xludf.DUMMYFUNCTION("IMPORTRANGE(""https://docs.google.com/spreadsheets/d/11923uPwbBZFjjGgGUA6NLw09EwE0CqkOc4q9oUmW1yo/edit?usp=sharing"",""นครสวรรค์!M431"")"),0)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IFERROR(__xludf.DUMMYFUNCTION("IMPORTRANGE(""https://docs.google.com/spreadsheets/d/11923uPwbBZFjjGgGUA6NLw09EwE0CqkOc4q9oUmW1yo/edit?usp=sharing"",""นครสวรรค์!L432"")"),34340)</f>
        <v>34340</v>
      </c>
      <c r="M537" s="170"/>
      <c r="N537" s="170">
        <f ca="1">IFERROR(__xludf.DUMMYFUNCTION("IMPORTRANGE(""https://docs.google.com/spreadsheets/d/11923uPwbBZFjjGgGUA6NLw09EwE0CqkOc4q9oUmW1yo/edit?usp=sharing"",""นครสวรรค์!M432"")"),20765)</f>
        <v>20765</v>
      </c>
      <c r="O537" s="170">
        <f t="shared" ca="1" si="118"/>
        <v>60.468841001747236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IFERROR(__xludf.DUMMYFUNCTION("IMPORTRANGE(""https://docs.google.com/spreadsheets/d/11923uPwbBZFjjGgGUA6NLw09EwE0CqkOc4q9oUmW1yo/edit?usp=sharing"",""นครสวรรค์!M433"")"),18740)</f>
        <v>18740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IFERROR(__xludf.DUMMYFUNCTION("IMPORTRANGE(""https://docs.google.com/spreadsheets/d/11923uPwbBZFjjGgGUA6NLw09EwE0CqkOc4q9oUmW1yo/edit?usp=sharing"",""นครสวรรค์!M434"")"),0)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IFERROR(__xludf.DUMMYFUNCTION("IMPORTRANGE(""https://docs.google.com/spreadsheets/d/11923uPwbBZFjjGgGUA6NLw09EwE0CqkOc4q9oUmW1yo/edit?usp=sharing"",""นครสวรรค์!M435"")"),0)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IFERROR(__xludf.DUMMYFUNCTION("IMPORTRANGE(""https://docs.google.com/spreadsheets/d/11923uPwbBZFjjGgGUA6NLw09EwE0CqkOc4q9oUmW1yo/edit?usp=sharing"",""นครสวรรค์!M436"")"),2025)</f>
        <v>2025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IFERROR(__xludf.DUMMYFUNCTION("IMPORTRANGE(""https://docs.google.com/spreadsheets/d/11923uPwbBZFjjGgGUA6NLw09EwE0CqkOc4q9oUmW1yo/edit?usp=sharing"",""นครสวรรค์!J438"")"),0)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IFERROR(__xludf.DUMMYFUNCTION("IMPORTRANGE(""https://docs.google.com/spreadsheets/d/11923uPwbBZFjjGgGUA6NLw09EwE0CqkOc4q9oUmW1yo/edit?usp=sharing"",""นครสวรรค์!J439"")"),1)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IFERROR(__xludf.DUMMYFUNCTION("IMPORTRANGE(""https://docs.google.com/spreadsheets/d/11923uPwbBZFjjGgGUA6NLw09EwE0CqkOc4q9oUmW1yo/edit?usp=sharing"",""นครสวรรค์!J440"")"),1)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IFERROR(__xludf.DUMMYFUNCTION("IMPORTRANGE(""https://docs.google.com/spreadsheets/d/11923uPwbBZFjjGgGUA6NLw09EwE0CqkOc4q9oUmW1yo/edit?usp=sharing"",""นครสวรรค์!J441"")"),1)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IFERROR(__xludf.DUMMYFUNCTION("IMPORTRANGE(""https://docs.google.com/spreadsheets/d/11923uPwbBZFjjGgGUA6NLw09EwE0CqkOc4q9oUmW1yo/edit?usp=sharing"",""นครสวรรค์!I442"")"),22)</f>
        <v>22</v>
      </c>
      <c r="J547" s="190">
        <f ca="1">IFERROR(__xludf.DUMMYFUNCTION("IMPORTRANGE(""https://docs.google.com/spreadsheets/d/11923uPwbBZFjjGgGUA6NLw09EwE0CqkOc4q9oUmW1yo/edit?usp=sharing"",""นครสวรรค์!J442"")"),22)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IFERROR(__xludf.DUMMYFUNCTION("IMPORTRANGE(""https://docs.google.com/spreadsheets/d/11923uPwbBZFjjGgGUA6NLw09EwE0CqkOc4q9oUmW1yo/edit?usp=sharing"",""นครสวรรค์!J166"")"),0)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IFERROR(__xludf.DUMMYFUNCTION("IMPORTRANGE(""https://docs.google.com/spreadsheets/d/11923uPwbBZFjjGgGUA6NLw09EwE0CqkOc4q9oUmW1yo/edit?usp=sharing"",""นครสวรรค์!J444"")"),0)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IFERROR(__xludf.DUMMYFUNCTION("IMPORTRANGE(""https://docs.google.com/spreadsheets/d/11923uPwbBZFjjGgGUA6NLw09EwE0CqkOc4q9oUmW1yo/edit?usp=sharing"",""นครสวรรค์!J445"")"),0)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IFERROR(__xludf.DUMMYFUNCTION("IMPORTRANGE(""https://docs.google.com/spreadsheets/d/11923uPwbBZFjjGgGUA6NLw09EwE0CqkOc4q9oUmW1yo/edit?usp=sharing"",""นครสวรรค์!I446"")"),0)</f>
        <v>0</v>
      </c>
      <c r="J551" s="411">
        <f ca="1">IFERROR(__xludf.DUMMYFUNCTION("IMPORTRANGE(""https://docs.google.com/spreadsheets/d/11923uPwbBZFjjGgGUA6NLw09EwE0CqkOc4q9oUmW1yo/edit?usp=sharing"",""นครสวรรค์!J446"")"),0)</f>
        <v>0</v>
      </c>
      <c r="K551" s="412">
        <f ca="1">IF(I551&gt;0,J551*100/I551,0)</f>
        <v>0</v>
      </c>
      <c r="L551" s="413">
        <f ca="1">IFERROR(__xludf.DUMMYFUNCTION("IMPORTRANGE(""https://docs.google.com/spreadsheets/d/11923uPwbBZFjjGgGUA6NLw09EwE0CqkOc4q9oUmW1yo/edit?usp=sharing"",""นครสวรรค์!L446"")"),0)</f>
        <v>0</v>
      </c>
      <c r="M551" s="413"/>
      <c r="N551" s="413">
        <f ca="1">IFERROR(__xludf.DUMMYFUNCTION("IMPORTRANGE(""https://docs.google.com/spreadsheets/d/11923uPwbBZFjjGgGUA6NLw09EwE0CqkOc4q9oUmW1yo/edit?usp=sharing"",""นครสวรรค์!M446"")"),0)</f>
        <v>0</v>
      </c>
      <c r="O551" s="413">
        <f t="shared" ref="O551:O555" ca="1" si="120">+IF(L551&gt;0,N551*100/L551,0)</f>
        <v>0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IFERROR(__xludf.DUMMYFUNCTION("IMPORTRANGE(""https://docs.google.com/spreadsheets/d/11923uPwbBZFjjGgGUA6NLw09EwE0CqkOc4q9oUmW1yo/edit?usp=sharing"",""นครสวรรค์!L447"")"),0)</f>
        <v>0</v>
      </c>
      <c r="M552" s="166"/>
      <c r="N552" s="170">
        <f ca="1">IFERROR(__xludf.DUMMYFUNCTION("IMPORTRANGE(""https://docs.google.com/spreadsheets/d/11923uPwbBZFjjGgGUA6NLw09EwE0CqkOc4q9oUmW1yo/edit?usp=sharing"",""นครสวรรค์!M447"")"),0)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IFERROR(__xludf.DUMMYFUNCTION("IMPORTRANGE(""https://docs.google.com/spreadsheets/d/11923uPwbBZFjjGgGUA6NLw09EwE0CqkOc4q9oUmW1yo/edit?usp=sharing"",""นครสวรรค์!L448"")"),0)</f>
        <v>0</v>
      </c>
      <c r="M553" s="167"/>
      <c r="N553" s="170">
        <f ca="1">IFERROR(__xludf.DUMMYFUNCTION("IMPORTRANGE(""https://docs.google.com/spreadsheets/d/11923uPwbBZFjjGgGUA6NLw09EwE0CqkOc4q9oUmW1yo/edit?usp=sharing"",""นครสวรรค์!M448"")"),0)</f>
        <v>0</v>
      </c>
      <c r="O553" s="170">
        <f t="shared" ca="1" si="120"/>
        <v>0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IFERROR(__xludf.DUMMYFUNCTION("IMPORTRANGE(""https://docs.google.com/spreadsheets/d/11923uPwbBZFjjGgGUA6NLw09EwE0CqkOc4q9oUmW1yo/edit?usp=sharing"",""นครสวรรค์!L449"")"),0)</f>
        <v>0</v>
      </c>
      <c r="M554" s="170"/>
      <c r="N554" s="170">
        <f ca="1">IFERROR(__xludf.DUMMYFUNCTION("IMPORTRANGE(""https://docs.google.com/spreadsheets/d/11923uPwbBZFjjGgGUA6NLw09EwE0CqkOc4q9oUmW1yo/edit?usp=sharing"",""นครสวรรค์!M449"")"),0)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IFERROR(__xludf.DUMMYFUNCTION("IMPORTRANGE(""https://docs.google.com/spreadsheets/d/11923uPwbBZFjjGgGUA6NLw09EwE0CqkOc4q9oUmW1yo/edit?usp=sharing"",""นครสวรรค์!L450"")"),0)</f>
        <v>0</v>
      </c>
      <c r="M555" s="170"/>
      <c r="N555" s="170">
        <f ca="1">IFERROR(__xludf.DUMMYFUNCTION("IMPORTRANGE(""https://docs.google.com/spreadsheets/d/11923uPwbBZFjjGgGUA6NLw09EwE0CqkOc4q9oUmW1yo/edit?usp=sharing"",""นครสวรรค์!M450"")"),0)</f>
        <v>0</v>
      </c>
      <c r="O555" s="170">
        <f t="shared" ca="1" si="120"/>
        <v>0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IFERROR(__xludf.DUMMYFUNCTION("IMPORTRANGE(""https://docs.google.com/spreadsheets/d/11923uPwbBZFjjGgGUA6NLw09EwE0CqkOc4q9oUmW1yo/edit?usp=sharing"",""นครสวรรค์!M451"")"),0)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IFERROR(__xludf.DUMMYFUNCTION("IMPORTRANGE(""https://docs.google.com/spreadsheets/d/11923uPwbBZFjjGgGUA6NLw09EwE0CqkOc4q9oUmW1yo/edit?usp=sharing"",""นครสวรรค์!M452"")"),0)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IFERROR(__xludf.DUMMYFUNCTION("IMPORTRANGE(""https://docs.google.com/spreadsheets/d/11923uPwbBZFjjGgGUA6NLw09EwE0CqkOc4q9oUmW1yo/edit?usp=sharing"",""นครสวรรค์!M453"")"),0)</f>
        <v>0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IFERROR(__xludf.DUMMYFUNCTION("IMPORTRANGE(""https://docs.google.com/spreadsheets/d/11923uPwbBZFjjGgGUA6NLw09EwE0CqkOc4q9oUmW1yo/edit?usp=sharing"",""นครสวรรค์!M454"")"),0)</f>
        <v>0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IFERROR(__xludf.DUMMYFUNCTION("IMPORTRANGE(""https://docs.google.com/spreadsheets/d/11923uPwbBZFjjGgGUA6NLw09EwE0CqkOc4q9oUmW1yo/edit?usp=sharing"",""นครสวรรค์!I455"")"),0)</f>
        <v>0</v>
      </c>
      <c r="J560" s="164">
        <f ca="1">IFERROR(__xludf.DUMMYFUNCTION("IMPORTRANGE(""https://docs.google.com/spreadsheets/d/11923uPwbBZFjjGgGUA6NLw09EwE0CqkOc4q9oUmW1yo/edit?usp=sharing"",""นครสวรรค์!J455"")"),0)</f>
        <v>0</v>
      </c>
      <c r="K560" s="225">
        <f t="shared" ref="K560:K561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IFERROR(__xludf.DUMMYFUNCTION("IMPORTRANGE(""https://docs.google.com/spreadsheets/d/11923uPwbBZFjjGgGUA6NLw09EwE0CqkOc4q9oUmW1yo/edit?usp=sharing"",""นครสวรรค์!I456"")"),0)</f>
        <v>0</v>
      </c>
      <c r="J561" s="205">
        <f ca="1">IFERROR(__xludf.DUMMYFUNCTION("IMPORTRANGE(""https://docs.google.com/spreadsheets/d/11923uPwbBZFjjGgGUA6NLw09EwE0CqkOc4q9oUmW1yo/edit?usp=sharing"",""นครสวรรค์!J456"")"),0)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IFERROR(__xludf.DUMMYFUNCTION("IMPORTRANGE(""https://docs.google.com/spreadsheets/d/11923uPwbBZFjjGgGUA6NLw09EwE0CqkOc4q9oUmW1yo/edit?usp=sharing"",""นครสวรรค์!I459"")"),2750)</f>
        <v>2750</v>
      </c>
      <c r="J564" s="372">
        <f ca="1">IFERROR(__xludf.DUMMYFUNCTION("IMPORTRANGE(""https://docs.google.com/spreadsheets/d/11923uPwbBZFjjGgGUA6NLw09EwE0CqkOc4q9oUmW1yo/edit?usp=sharing"",""นครสวรรค์!J459"")"),1656)</f>
        <v>1656</v>
      </c>
      <c r="K564" s="373">
        <f ca="1">IF(I564&gt;0,J564*100/I564,0)</f>
        <v>60.218181818181819</v>
      </c>
      <c r="L564" s="374">
        <f ca="1">IFERROR(__xludf.DUMMYFUNCTION("IMPORTRANGE(""https://docs.google.com/spreadsheets/d/11923uPwbBZFjjGgGUA6NLw09EwE0CqkOc4q9oUmW1yo/edit?usp=sharing"",""นครสวรรค์!L459"")"),140160)</f>
        <v>140160</v>
      </c>
      <c r="M564" s="374"/>
      <c r="N564" s="374">
        <f ca="1">IFERROR(__xludf.DUMMYFUNCTION("IMPORTRANGE(""https://docs.google.com/spreadsheets/d/11923uPwbBZFjjGgGUA6NLw09EwE0CqkOc4q9oUmW1yo/edit?usp=sharing"",""นครสวรรค์!M459"")"),75247)</f>
        <v>75247</v>
      </c>
      <c r="O564" s="374">
        <f t="shared" ref="O564:O568" ca="1" si="122">+IF(L564&gt;0,N564*100/L564,0)</f>
        <v>53.686501141552512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IFERROR(__xludf.DUMMYFUNCTION("IMPORTRANGE(""https://docs.google.com/spreadsheets/d/11923uPwbBZFjjGgGUA6NLw09EwE0CqkOc4q9oUmW1yo/edit?usp=sharing"",""นครสวรรค์!L460"")"),0)</f>
        <v>0</v>
      </c>
      <c r="M565" s="166"/>
      <c r="N565" s="170">
        <f ca="1">IFERROR(__xludf.DUMMYFUNCTION("IMPORTRANGE(""https://docs.google.com/spreadsheets/d/11923uPwbBZFjjGgGUA6NLw09EwE0CqkOc4q9oUmW1yo/edit?usp=sharing"",""นครสวรรค์!M460"")"),0)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IFERROR(__xludf.DUMMYFUNCTION("IMPORTRANGE(""https://docs.google.com/spreadsheets/d/11923uPwbBZFjjGgGUA6NLw09EwE0CqkOc4q9oUmW1yo/edit?usp=sharing"",""นครสวรรค์!L461"")"),140160)</f>
        <v>140160</v>
      </c>
      <c r="M566" s="167"/>
      <c r="N566" s="170">
        <f ca="1">IFERROR(__xludf.DUMMYFUNCTION("IMPORTRANGE(""https://docs.google.com/spreadsheets/d/11923uPwbBZFjjGgGUA6NLw09EwE0CqkOc4q9oUmW1yo/edit?usp=sharing"",""นครสวรรค์!M461"")"),75247)</f>
        <v>75247</v>
      </c>
      <c r="O566" s="170">
        <f t="shared" ca="1" si="122"/>
        <v>53.686501141552512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IFERROR(__xludf.DUMMYFUNCTION("IMPORTRANGE(""https://docs.google.com/spreadsheets/d/11923uPwbBZFjjGgGUA6NLw09EwE0CqkOc4q9oUmW1yo/edit?usp=sharing"",""นครสวรรค์!L462"")"),0)</f>
        <v>0</v>
      </c>
      <c r="M567" s="170"/>
      <c r="N567" s="170">
        <f ca="1">IFERROR(__xludf.DUMMYFUNCTION("IMPORTRANGE(""https://docs.google.com/spreadsheets/d/11923uPwbBZFjjGgGUA6NLw09EwE0CqkOc4q9oUmW1yo/edit?usp=sharing"",""นครสวรรค์!M462"")"),0)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IFERROR(__xludf.DUMMYFUNCTION("IMPORTRANGE(""https://docs.google.com/spreadsheets/d/11923uPwbBZFjjGgGUA6NLw09EwE0CqkOc4q9oUmW1yo/edit?usp=sharing"",""นครสวรรค์!L463"")"),140160)</f>
        <v>140160</v>
      </c>
      <c r="M568" s="170"/>
      <c r="N568" s="170">
        <f ca="1">IFERROR(__xludf.DUMMYFUNCTION("IMPORTRANGE(""https://docs.google.com/spreadsheets/d/11923uPwbBZFjjGgGUA6NLw09EwE0CqkOc4q9oUmW1yo/edit?usp=sharing"",""นครสวรรค์!M463"")"),75247)</f>
        <v>75247</v>
      </c>
      <c r="O568" s="170">
        <f t="shared" ca="1" si="122"/>
        <v>53.686501141552512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IFERROR(__xludf.DUMMYFUNCTION("IMPORTRANGE(""https://docs.google.com/spreadsheets/d/11923uPwbBZFjjGgGUA6NLw09EwE0CqkOc4q9oUmW1yo/edit?usp=sharing"",""นครสวรรค์!M464"")"),0)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IFERROR(__xludf.DUMMYFUNCTION("IMPORTRANGE(""https://docs.google.com/spreadsheets/d/11923uPwbBZFjjGgGUA6NLw09EwE0CqkOc4q9oUmW1yo/edit?usp=sharing"",""นครสวรรค์!M465"")"),0)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IFERROR(__xludf.DUMMYFUNCTION("IMPORTRANGE(""https://docs.google.com/spreadsheets/d/11923uPwbBZFjjGgGUA6NLw09EwE0CqkOc4q9oUmW1yo/edit?usp=sharing"",""นครสวรรค์!M466"")"),52798)</f>
        <v>52798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IFERROR(__xludf.DUMMYFUNCTION("IMPORTRANGE(""https://docs.google.com/spreadsheets/d/11923uPwbBZFjjGgGUA6NLw09EwE0CqkOc4q9oUmW1yo/edit?usp=sharing"",""นครสวรรค์!M467"")"),22449)</f>
        <v>22449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IFERROR(__xludf.DUMMYFUNCTION("IMPORTRANGE(""https://docs.google.com/spreadsheets/d/11923uPwbBZFjjGgGUA6NLw09EwE0CqkOc4q9oUmW1yo/edit?usp=sharing"",""นครสวรรค์!I468"")"),2750)</f>
        <v>2750</v>
      </c>
      <c r="J573" s="422">
        <f ca="1">IFERROR(__xludf.DUMMYFUNCTION("IMPORTRANGE(""https://docs.google.com/spreadsheets/d/11923uPwbBZFjjGgGUA6NLw09EwE0CqkOc4q9oUmW1yo/edit?usp=sharing"",""นครสวรรค์!J468"")"),1656)</f>
        <v>1656</v>
      </c>
      <c r="K573" s="203">
        <f ca="1">IF(I573&gt;0,J573*100/I573,0)</f>
        <v>60.218181818181819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IFERROR(__xludf.DUMMYFUNCTION("IMPORTRANGE(""https://docs.google.com/spreadsheets/d/11923uPwbBZFjjGgGUA6NLw09EwE0CqkOc4q9oUmW1yo/edit?usp=sharing"",""นครสวรรค์!I470"")"),0)</f>
        <v>0</v>
      </c>
      <c r="J575" s="199">
        <f ca="1">IFERROR(__xludf.DUMMYFUNCTION("IMPORTRANGE(""https://docs.google.com/spreadsheets/d/11923uPwbBZFjjGgGUA6NLw09EwE0CqkOc4q9oUmW1yo/edit?usp=sharing"",""นครสวรรค์!J470"")"),7)</f>
        <v>7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IFERROR(__xludf.DUMMYFUNCTION("IMPORTRANGE(""https://docs.google.com/spreadsheets/d/11923uPwbBZFjjGgGUA6NLw09EwE0CqkOc4q9oUmW1yo/edit?usp=sharing"",""นครสวรรค์!I471"")"),0)</f>
        <v>0</v>
      </c>
      <c r="J576" s="199">
        <f ca="1">IFERROR(__xludf.DUMMYFUNCTION("IMPORTRANGE(""https://docs.google.com/spreadsheets/d/11923uPwbBZFjjGgGUA6NLw09EwE0CqkOc4q9oUmW1yo/edit?usp=sharing"",""นครสวรรค์!J471"")"),316)</f>
        <v>316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IFERROR(__xludf.DUMMYFUNCTION("IMPORTRANGE(""https://docs.google.com/spreadsheets/d/11923uPwbBZFjjGgGUA6NLw09EwE0CqkOc4q9oUmW1yo/edit?usp=sharing"",""นครสวรรค์!I472"")"),0)</f>
        <v>0</v>
      </c>
      <c r="J577" s="190">
        <f ca="1">IFERROR(__xludf.DUMMYFUNCTION("IMPORTRANGE(""https://docs.google.com/spreadsheets/d/11923uPwbBZFjjGgGUA6NLw09EwE0CqkOc4q9oUmW1yo/edit?usp=sharing"",""นครสวรรค์!J472"")"),1332)</f>
        <v>1332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IFERROR(__xludf.DUMMYFUNCTION("IMPORTRANGE(""https://docs.google.com/spreadsheets/d/11923uPwbBZFjjGgGUA6NLw09EwE0CqkOc4q9oUmW1yo/edit?usp=sharing"",""นครสวรรค์!I473"")"),0)</f>
        <v>0</v>
      </c>
      <c r="J578" s="199">
        <f ca="1">IFERROR(__xludf.DUMMYFUNCTION("IMPORTRANGE(""https://docs.google.com/spreadsheets/d/11923uPwbBZFjjGgGUA6NLw09EwE0CqkOc4q9oUmW1yo/edit?usp=sharing"",""นครสวรรค์!J473"")"),8)</f>
        <v>8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IFERROR(__xludf.DUMMYFUNCTION("IMPORTRANGE(""https://docs.google.com/spreadsheets/d/11923uPwbBZFjjGgGUA6NLw09EwE0CqkOc4q9oUmW1yo/edit?usp=sharing"",""นครสวรรค์!I474"")"),0)</f>
        <v>0</v>
      </c>
      <c r="J579" s="199">
        <f ca="1">IFERROR(__xludf.DUMMYFUNCTION("IMPORTRANGE(""https://docs.google.com/spreadsheets/d/11923uPwbBZFjjGgGUA6NLw09EwE0CqkOc4q9oUmW1yo/edit?usp=sharing"",""นครสวรรค์!J474"")"),0)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IFERROR(__xludf.DUMMYFUNCTION("IMPORTRANGE(""https://docs.google.com/spreadsheets/d/11923uPwbBZFjjGgGUA6NLw09EwE0CqkOc4q9oUmW1yo/edit?usp=sharing"",""นครสวรรค์!I475"")"),0)</f>
        <v>0</v>
      </c>
      <c r="J580" s="372">
        <f ca="1">IFERROR(__xludf.DUMMYFUNCTION("IMPORTRANGE(""https://docs.google.com/spreadsheets/d/11923uPwbBZFjjGgGUA6NLw09EwE0CqkOc4q9oUmW1yo/edit?usp=sharing"",""นครสวรรค์!J475"")"),0)</f>
        <v>0</v>
      </c>
      <c r="K580" s="373">
        <f ca="1">IF(I580&gt;0,J580*100/I580,0)</f>
        <v>0</v>
      </c>
      <c r="L580" s="374">
        <f ca="1">IFERROR(__xludf.DUMMYFUNCTION("IMPORTRANGE(""https://docs.google.com/spreadsheets/d/11923uPwbBZFjjGgGUA6NLw09EwE0CqkOc4q9oUmW1yo/edit?usp=sharing"",""นครสวรรค์!L475"")"),0)</f>
        <v>0</v>
      </c>
      <c r="M580" s="374"/>
      <c r="N580" s="374">
        <f ca="1">IFERROR(__xludf.DUMMYFUNCTION("IMPORTRANGE(""https://docs.google.com/spreadsheets/d/11923uPwbBZFjjGgGUA6NLw09EwE0CqkOc4q9oUmW1yo/edit?usp=sharing"",""นครสวรรค์!M475"")"),0)</f>
        <v>0</v>
      </c>
      <c r="O580" s="374">
        <f t="shared" ref="O580:O584" ca="1" si="124">+IF(L580&gt;0,N580*100/L580,0)</f>
        <v>0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IFERROR(__xludf.DUMMYFUNCTION("IMPORTRANGE(""https://docs.google.com/spreadsheets/d/11923uPwbBZFjjGgGUA6NLw09EwE0CqkOc4q9oUmW1yo/edit?usp=sharing"",""นครสวรรค์!L476"")"),0)</f>
        <v>0</v>
      </c>
      <c r="M581" s="166"/>
      <c r="N581" s="170">
        <f ca="1">IFERROR(__xludf.DUMMYFUNCTION("IMPORTRANGE(""https://docs.google.com/spreadsheets/d/11923uPwbBZFjjGgGUA6NLw09EwE0CqkOc4q9oUmW1yo/edit?usp=sharing"",""นครสวรรค์!M476"")"),0)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IFERROR(__xludf.DUMMYFUNCTION("IMPORTRANGE(""https://docs.google.com/spreadsheets/d/11923uPwbBZFjjGgGUA6NLw09EwE0CqkOc4q9oUmW1yo/edit?usp=sharing"",""นครสวรรค์!L477"")"),0)</f>
        <v>0</v>
      </c>
      <c r="M582" s="167"/>
      <c r="N582" s="170">
        <f ca="1">IFERROR(__xludf.DUMMYFUNCTION("IMPORTRANGE(""https://docs.google.com/spreadsheets/d/11923uPwbBZFjjGgGUA6NLw09EwE0CqkOc4q9oUmW1yo/edit?usp=sharing"",""นครสวรรค์!M477"")"),0)</f>
        <v>0</v>
      </c>
      <c r="O582" s="170">
        <f t="shared" ca="1" si="124"/>
        <v>0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IFERROR(__xludf.DUMMYFUNCTION("IMPORTRANGE(""https://docs.google.com/spreadsheets/d/11923uPwbBZFjjGgGUA6NLw09EwE0CqkOc4q9oUmW1yo/edit?usp=sharing"",""นครสวรรค์!L478"")"),0)</f>
        <v>0</v>
      </c>
      <c r="M583" s="170"/>
      <c r="N583" s="170">
        <f ca="1">IFERROR(__xludf.DUMMYFUNCTION("IMPORTRANGE(""https://docs.google.com/spreadsheets/d/11923uPwbBZFjjGgGUA6NLw09EwE0CqkOc4q9oUmW1yo/edit?usp=sharing"",""นครสวรรค์!M478"")"),0)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IFERROR(__xludf.DUMMYFUNCTION("IMPORTRANGE(""https://docs.google.com/spreadsheets/d/11923uPwbBZFjjGgGUA6NLw09EwE0CqkOc4q9oUmW1yo/edit?usp=sharing"",""นครสวรรค์!L479"")"),0)</f>
        <v>0</v>
      </c>
      <c r="M584" s="170"/>
      <c r="N584" s="170">
        <f ca="1">IFERROR(__xludf.DUMMYFUNCTION("IMPORTRANGE(""https://docs.google.com/spreadsheets/d/11923uPwbBZFjjGgGUA6NLw09EwE0CqkOc4q9oUmW1yo/edit?usp=sharing"",""นครสวรรค์!M479"")"),0)</f>
        <v>0</v>
      </c>
      <c r="O584" s="170">
        <f t="shared" ca="1" si="124"/>
        <v>0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IFERROR(__xludf.DUMMYFUNCTION("IMPORTRANGE(""https://docs.google.com/spreadsheets/d/11923uPwbBZFjjGgGUA6NLw09EwE0CqkOc4q9oUmW1yo/edit?usp=sharing"",""นครสวรรค์!M480"")"),0)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IFERROR(__xludf.DUMMYFUNCTION("IMPORTRANGE(""https://docs.google.com/spreadsheets/d/11923uPwbBZFjjGgGUA6NLw09EwE0CqkOc4q9oUmW1yo/edit?usp=sharing"",""นครสวรรค์!M481"")"),0)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IFERROR(__xludf.DUMMYFUNCTION("IMPORTRANGE(""https://docs.google.com/spreadsheets/d/11923uPwbBZFjjGgGUA6NLw09EwE0CqkOc4q9oUmW1yo/edit?usp=sharing"",""นครสวรรค์!M482"")"),0)</f>
        <v>0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IFERROR(__xludf.DUMMYFUNCTION("IMPORTRANGE(""https://docs.google.com/spreadsheets/d/11923uPwbBZFjjGgGUA6NLw09EwE0CqkOc4q9oUmW1yo/edit?usp=sharing"",""นครสวรรค์!M483"")"),0)</f>
        <v>0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IFERROR(__xludf.DUMMYFUNCTION("IMPORTRANGE(""https://docs.google.com/spreadsheets/d/11923uPwbBZFjjGgGUA6NLw09EwE0CqkOc4q9oUmW1yo/edit?usp=sharing"",""นครสวรรค์!I484"")"),0)</f>
        <v>0</v>
      </c>
      <c r="J589" s="189">
        <f ca="1">IFERROR(__xludf.DUMMYFUNCTION("IMPORTRANGE(""https://docs.google.com/spreadsheets/d/11923uPwbBZFjjGgGUA6NLw09EwE0CqkOc4q9oUmW1yo/edit?usp=sharing"",""นครสวรรค์!J484"")"),0)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IFERROR(__xludf.DUMMYFUNCTION("IMPORTRANGE(""https://docs.google.com/spreadsheets/d/11923uPwbBZFjjGgGUA6NLw09EwE0CqkOc4q9oUmW1yo/edit?usp=sharing"",""นครสวรรค์!I485"")"),0)</f>
        <v>0</v>
      </c>
      <c r="J590" s="189">
        <f ca="1">IFERROR(__xludf.DUMMYFUNCTION("IMPORTRANGE(""https://docs.google.com/spreadsheets/d/11923uPwbBZFjjGgGUA6NLw09EwE0CqkOc4q9oUmW1yo/edit?usp=sharing"",""นครสวรรค์!J485"")"),0)</f>
        <v>0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IFERROR(__xludf.DUMMYFUNCTION("IMPORTRANGE(""https://docs.google.com/spreadsheets/d/11923uPwbBZFjjGgGUA6NLw09EwE0CqkOc4q9oUmW1yo/edit?usp=sharing"",""นครสวรรค์!I486"")"),0)</f>
        <v>0</v>
      </c>
      <c r="J591" s="189">
        <f ca="1">IFERROR(__xludf.DUMMYFUNCTION("IMPORTRANGE(""https://docs.google.com/spreadsheets/d/11923uPwbBZFjjGgGUA6NLw09EwE0CqkOc4q9oUmW1yo/edit?usp=sharing"",""นครสวรรค์!J486"")"),0)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IFERROR(__xludf.DUMMYFUNCTION("IMPORTRANGE(""https://docs.google.com/spreadsheets/d/11923uPwbBZFjjGgGUA6NLw09EwE0CqkOc4q9oUmW1yo/edit?usp=sharing"",""นครสวรรค์!I487"")"),0)</f>
        <v>0</v>
      </c>
      <c r="J592" s="189">
        <f ca="1">IFERROR(__xludf.DUMMYFUNCTION("IMPORTRANGE(""https://docs.google.com/spreadsheets/d/11923uPwbBZFjjGgGUA6NLw09EwE0CqkOc4q9oUmW1yo/edit?usp=sharing"",""นครสวรรค์!J487"")"),0)</f>
        <v>0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IFERROR(__xludf.DUMMYFUNCTION("IMPORTRANGE(""https://docs.google.com/spreadsheets/d/11923uPwbBZFjjGgGUA6NLw09EwE0CqkOc4q9oUmW1yo/edit?usp=sharing"",""นครสวรรค์!I488"")"),0)</f>
        <v>0</v>
      </c>
      <c r="J593" s="189">
        <f ca="1">IFERROR(__xludf.DUMMYFUNCTION("IMPORTRANGE(""https://docs.google.com/spreadsheets/d/11923uPwbBZFjjGgGUA6NLw09EwE0CqkOc4q9oUmW1yo/edit?usp=sharing"",""นครสวรรค์!J488"")"),0)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IFERROR(__xludf.DUMMYFUNCTION("IMPORTRANGE(""https://docs.google.com/spreadsheets/d/11923uPwbBZFjjGgGUA6NLw09EwE0CqkOc4q9oUmW1yo/edit?usp=sharing"",""นครสวรรค์!I489"")"),0)</f>
        <v>0</v>
      </c>
      <c r="J594" s="189">
        <f ca="1">IFERROR(__xludf.DUMMYFUNCTION("IMPORTRANGE(""https://docs.google.com/spreadsheets/d/11923uPwbBZFjjGgGUA6NLw09EwE0CqkOc4q9oUmW1yo/edit?usp=sharing"",""นครสวรรค์!J489"")"),0)</f>
        <v>0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IFERROR(__xludf.DUMMYFUNCTION("IMPORTRANGE(""https://docs.google.com/spreadsheets/d/11923uPwbBZFjjGgGUA6NLw09EwE0CqkOc4q9oUmW1yo/edit?usp=sharing"",""นครสวรรค์!I490"")"),0)</f>
        <v>0</v>
      </c>
      <c r="J595" s="189">
        <f ca="1">IFERROR(__xludf.DUMMYFUNCTION("IMPORTRANGE(""https://docs.google.com/spreadsheets/d/11923uPwbBZFjjGgGUA6NLw09EwE0CqkOc4q9oUmW1yo/edit?usp=sharing"",""นครสวรรค์!J490"")"),0)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IFERROR(__xludf.DUMMYFUNCTION("IMPORTRANGE(""https://docs.google.com/spreadsheets/d/11923uPwbBZFjjGgGUA6NLw09EwE0CqkOc4q9oUmW1yo/edit?usp=sharing"",""นครสวรรค์!I491"")"),0)</f>
        <v>0</v>
      </c>
      <c r="J596" s="242">
        <f ca="1">IFERROR(__xludf.DUMMYFUNCTION("IMPORTRANGE(""https://docs.google.com/spreadsheets/d/11923uPwbBZFjjGgGUA6NLw09EwE0CqkOc4q9oUmW1yo/edit?usp=sharing"",""นครสวรรค์!J491"")"),0)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IFERROR(__xludf.DUMMYFUNCTION("IMPORTRANGE(""https://docs.google.com/spreadsheets/d/11923uPwbBZFjjGgGUA6NLw09EwE0CqkOc4q9oUmW1yo/edit?usp=sharing"",""นครสวรรค์!I492"")"),50)</f>
        <v>50</v>
      </c>
      <c r="J597" s="489">
        <f ca="1">IFERROR(__xludf.DUMMYFUNCTION("IMPORTRANGE(""https://docs.google.com/spreadsheets/d/11923uPwbBZFjjGgGUA6NLw09EwE0CqkOc4q9oUmW1yo/edit?usp=sharing"",""นครสวรรค์!J492"")"),0)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IFERROR(__xludf.DUMMYFUNCTION("IMPORTRANGE(""https://docs.google.com/spreadsheets/d/11923uPwbBZFjjGgGUA6NLw09EwE0CqkOc4q9oUmW1yo/edit?usp=sharing"",""นครสวรรค์!L492"")"),5350)</f>
        <v>5350</v>
      </c>
      <c r="M597" s="413"/>
      <c r="N597" s="413">
        <f ca="1">IFERROR(__xludf.DUMMYFUNCTION("IMPORTRANGE(""https://docs.google.com/spreadsheets/d/11923uPwbBZFjjGgGUA6NLw09EwE0CqkOc4q9oUmW1yo/edit?usp=sharing"",""นครสวรรค์!M492"")"),800)</f>
        <v>800</v>
      </c>
      <c r="O597" s="413">
        <f t="shared" ref="O597:O601" ca="1" si="126">+IF(L597&gt;0,N597*100/L597,0)</f>
        <v>14.953271028037383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IFERROR(__xludf.DUMMYFUNCTION("IMPORTRANGE(""https://docs.google.com/spreadsheets/d/11923uPwbBZFjjGgGUA6NLw09EwE0CqkOc4q9oUmW1yo/edit?usp=sharing"",""นครสวรรค์!L493"")"),0)</f>
        <v>0</v>
      </c>
      <c r="M598" s="166"/>
      <c r="N598" s="170">
        <f ca="1">IFERROR(__xludf.DUMMYFUNCTION("IMPORTRANGE(""https://docs.google.com/spreadsheets/d/11923uPwbBZFjjGgGUA6NLw09EwE0CqkOc4q9oUmW1yo/edit?usp=sharing"",""นครสวรรค์!M493"")"),0)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IFERROR(__xludf.DUMMYFUNCTION("IMPORTRANGE(""https://docs.google.com/spreadsheets/d/11923uPwbBZFjjGgGUA6NLw09EwE0CqkOc4q9oUmW1yo/edit?usp=sharing"",""นครสวรรค์!L494"")"),5350)</f>
        <v>5350</v>
      </c>
      <c r="M599" s="167"/>
      <c r="N599" s="170">
        <f ca="1">IFERROR(__xludf.DUMMYFUNCTION("IMPORTRANGE(""https://docs.google.com/spreadsheets/d/11923uPwbBZFjjGgGUA6NLw09EwE0CqkOc4q9oUmW1yo/edit?usp=sharing"",""นครสวรรค์!M494"")"),800)</f>
        <v>800</v>
      </c>
      <c r="O599" s="170">
        <f t="shared" ca="1" si="126"/>
        <v>14.953271028037383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IFERROR(__xludf.DUMMYFUNCTION("IMPORTRANGE(""https://docs.google.com/spreadsheets/d/11923uPwbBZFjjGgGUA6NLw09EwE0CqkOc4q9oUmW1yo/edit?usp=sharing"",""นครสวรรค์!L495"")"),0)</f>
        <v>0</v>
      </c>
      <c r="M600" s="170"/>
      <c r="N600" s="170">
        <f ca="1">IFERROR(__xludf.DUMMYFUNCTION("IMPORTRANGE(""https://docs.google.com/spreadsheets/d/11923uPwbBZFjjGgGUA6NLw09EwE0CqkOc4q9oUmW1yo/edit?usp=sharing"",""นครสวรรค์!M495"")"),0)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IFERROR(__xludf.DUMMYFUNCTION("IMPORTRANGE(""https://docs.google.com/spreadsheets/d/11923uPwbBZFjjGgGUA6NLw09EwE0CqkOc4q9oUmW1yo/edit?usp=sharing"",""นครสวรรค์!L496"")"),5350)</f>
        <v>5350</v>
      </c>
      <c r="M601" s="170"/>
      <c r="N601" s="170">
        <f ca="1">IFERROR(__xludf.DUMMYFUNCTION("IMPORTRANGE(""https://docs.google.com/spreadsheets/d/11923uPwbBZFjjGgGUA6NLw09EwE0CqkOc4q9oUmW1yo/edit?usp=sharing"",""นครสวรรค์!M496"")"),800)</f>
        <v>800</v>
      </c>
      <c r="O601" s="170">
        <f t="shared" ca="1" si="126"/>
        <v>14.953271028037383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IFERROR(__xludf.DUMMYFUNCTION("IMPORTRANGE(""https://docs.google.com/spreadsheets/d/11923uPwbBZFjjGgGUA6NLw09EwE0CqkOc4q9oUmW1yo/edit?usp=sharing"",""นครสวรรค์!M497"")"),0)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IFERROR(__xludf.DUMMYFUNCTION("IMPORTRANGE(""https://docs.google.com/spreadsheets/d/11923uPwbBZFjjGgGUA6NLw09EwE0CqkOc4q9oUmW1yo/edit?usp=sharing"",""นครสวรรค์!M498"")"),0)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IFERROR(__xludf.DUMMYFUNCTION("IMPORTRANGE(""https://docs.google.com/spreadsheets/d/11923uPwbBZFjjGgGUA6NLw09EwE0CqkOc4q9oUmW1yo/edit?usp=sharing"",""นครสวรรค์!M499"")"),0)</f>
        <v>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IFERROR(__xludf.DUMMYFUNCTION("IMPORTRANGE(""https://docs.google.com/spreadsheets/d/11923uPwbBZFjjGgGUA6NLw09EwE0CqkOc4q9oUmW1yo/edit?usp=sharing"",""นครสวรรค์!M500"")"),800)</f>
        <v>800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IFERROR(__xludf.DUMMYFUNCTION("IMPORTRANGE(""https://docs.google.com/spreadsheets/d/11923uPwbBZFjjGgGUA6NLw09EwE0CqkOc4q9oUmW1yo/edit?usp=sharing"",""นครสวรรค์!J502"")"),0)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IFERROR(__xludf.DUMMYFUNCTION("IMPORTRANGE(""https://docs.google.com/spreadsheets/d/11923uPwbBZFjjGgGUA6NLw09EwE0CqkOc4q9oUmW1yo/edit?usp=sharing"",""นครสวรรค์!J503"")"),1)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IFERROR(__xludf.DUMMYFUNCTION("IMPORTRANGE(""https://docs.google.com/spreadsheets/d/11923uPwbBZFjjGgGUA6NLw09EwE0CqkOc4q9oUmW1yo/edit?usp=sharing"",""นครสวรรค์!J166"")"),0)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IFERROR(__xludf.DUMMYFUNCTION("IMPORTRANGE(""https://docs.google.com/spreadsheets/d/11923uPwbBZFjjGgGUA6NLw09EwE0CqkOc4q9oUmW1yo/edit?usp=sharing"",""นครสวรรค์!J166"")"),0)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IFERROR(__xludf.DUMMYFUNCTION("IMPORTRANGE(""https://docs.google.com/spreadsheets/d/11923uPwbBZFjjGgGUA6NLw09EwE0CqkOc4q9oUmW1yo/edit?usp=sharing"",""นครสวรรค์!I506"")"),50)</f>
        <v>50</v>
      </c>
      <c r="J611" s="164">
        <f ca="1">IFERROR(__xludf.DUMMYFUNCTION("IMPORTRANGE(""https://docs.google.com/spreadsheets/d/11923uPwbBZFjjGgGUA6NLw09EwE0CqkOc4q9oUmW1yo/edit?usp=sharing"",""นครสวรรค์!J506"")"),0)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IFERROR(__xludf.DUMMYFUNCTION("IMPORTRANGE(""https://docs.google.com/spreadsheets/d/11923uPwbBZFjjGgGUA6NLw09EwE0CqkOc4q9oUmW1yo/edit?usp=sharing"",""นครสวรรค์!I507"")"),0)</f>
        <v>0</v>
      </c>
      <c r="J612" s="199">
        <f ca="1">IFERROR(__xludf.DUMMYFUNCTION("IMPORTRANGE(""https://docs.google.com/spreadsheets/d/11923uPwbBZFjjGgGUA6NLw09EwE0CqkOc4q9oUmW1yo/edit?usp=sharing"",""นครสวรรค์!J507"")"),14)</f>
        <v>14</v>
      </c>
      <c r="K612" s="165">
        <f t="shared" ca="1" si="127"/>
        <v>28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IFERROR(__xludf.DUMMYFUNCTION("IMPORTRANGE(""https://docs.google.com/spreadsheets/d/11923uPwbBZFjjGgGUA6NLw09EwE0CqkOc4q9oUmW1yo/edit?usp=sharing"",""นครสวรรค์!I508"")"),0)</f>
        <v>0</v>
      </c>
      <c r="J613" s="199">
        <f ca="1">IFERROR(__xludf.DUMMYFUNCTION("IMPORTRANGE(""https://docs.google.com/spreadsheets/d/11923uPwbBZFjjGgGUA6NLw09EwE0CqkOc4q9oUmW1yo/edit?usp=sharing"",""นครสวรรค์!J508"")"),0)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IFERROR(__xludf.DUMMYFUNCTION("IMPORTRANGE(""https://docs.google.com/spreadsheets/d/11923uPwbBZFjjGgGUA6NLw09EwE0CqkOc4q9oUmW1yo/edit?usp=sharing"",""นครสวรรค์!I509"")"),0)</f>
        <v>0</v>
      </c>
      <c r="J614" s="199">
        <f ca="1">IFERROR(__xludf.DUMMYFUNCTION("IMPORTRANGE(""https://docs.google.com/spreadsheets/d/11923uPwbBZFjjGgGUA6NLw09EwE0CqkOc4q9oUmW1yo/edit?usp=sharing"",""นครสวรรค์!J509"")"),0)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IFERROR(__xludf.DUMMYFUNCTION("IMPORTRANGE(""https://docs.google.com/spreadsheets/d/11923uPwbBZFjjGgGUA6NLw09EwE0CqkOc4q9oUmW1yo/edit?usp=sharing"",""นครสวรรค์!I510"")"),0)</f>
        <v>0</v>
      </c>
      <c r="J615" s="199">
        <f ca="1">IFERROR(__xludf.DUMMYFUNCTION("IMPORTRANGE(""https://docs.google.com/spreadsheets/d/11923uPwbBZFjjGgGUA6NLw09EwE0CqkOc4q9oUmW1yo/edit?usp=sharing"",""นครสวรรค์!J510"")"),0)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IFERROR(__xludf.DUMMYFUNCTION("IMPORTRANGE(""https://docs.google.com/spreadsheets/d/11923uPwbBZFjjGgGUA6NLw09EwE0CqkOc4q9oUmW1yo/edit?usp=sharing"",""นครสวรรค์!I511"")"),0)</f>
        <v>0</v>
      </c>
      <c r="J616" s="199">
        <f ca="1">IFERROR(__xludf.DUMMYFUNCTION("IMPORTRANGE(""https://docs.google.com/spreadsheets/d/11923uPwbBZFjjGgGUA6NLw09EwE0CqkOc4q9oUmW1yo/edit?usp=sharing"",""นครสวรรค์!J511"")"),0)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IFERROR(__xludf.DUMMYFUNCTION("IMPORTRANGE(""https://docs.google.com/spreadsheets/d/11923uPwbBZFjjGgGUA6NLw09EwE0CqkOc4q9oUmW1yo/edit?usp=sharing"",""นครสวรรค์!I512"")"),0)</f>
        <v>0</v>
      </c>
      <c r="J617" s="189">
        <f ca="1">IFERROR(__xludf.DUMMYFUNCTION("IMPORTRANGE(""https://docs.google.com/spreadsheets/d/11923uPwbBZFjjGgGUA6NLw09EwE0CqkOc4q9oUmW1yo/edit?usp=sharing"",""นครสวรรค์!J512"")"),0)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IFERROR(__xludf.DUMMYFUNCTION("IMPORTRANGE(""https://docs.google.com/spreadsheets/d/11923uPwbBZFjjGgGUA6NLw09EwE0CqkOc4q9oUmW1yo/edit?usp=sharing"",""นครสวรรค์!I513"")"),0)</f>
        <v>0</v>
      </c>
      <c r="J618" s="190">
        <f ca="1">IFERROR(__xludf.DUMMYFUNCTION("IMPORTRANGE(""https://docs.google.com/spreadsheets/d/11923uPwbBZFjjGgGUA6NLw09EwE0CqkOc4q9oUmW1yo/edit?usp=sharing"",""นครสวรรค์!J513"")"),0)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IFERROR(__xludf.DUMMYFUNCTION("IMPORTRANGE(""https://docs.google.com/spreadsheets/d/11923uPwbBZFjjGgGUA6NLw09EwE0CqkOc4q9oUmW1yo/edit?usp=sharing"",""นครสวรรค์!I514"")"),0)</f>
        <v>0</v>
      </c>
      <c r="J619" s="190">
        <f ca="1">IFERROR(__xludf.DUMMYFUNCTION("IMPORTRANGE(""https://docs.google.com/spreadsheets/d/11923uPwbBZFjjGgGUA6NLw09EwE0CqkOc4q9oUmW1yo/edit?usp=sharing"",""นครสวรรค์!J514"")"),0)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IFERROR(__xludf.DUMMYFUNCTION("IMPORTRANGE(""https://docs.google.com/spreadsheets/d/11923uPwbBZFjjGgGUA6NLw09EwE0CqkOc4q9oUmW1yo/edit?usp=sharing"",""นครสวรรค์!I515"")"),0)</f>
        <v>0</v>
      </c>
      <c r="J620" s="204">
        <f ca="1">IFERROR(__xludf.DUMMYFUNCTION("IMPORTRANGE(""https://docs.google.com/spreadsheets/d/11923uPwbBZFjjGgGUA6NLw09EwE0CqkOc4q9oUmW1yo/edit?usp=sharing"",""นครสวรรค์!J515"")"),0)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IFERROR(__xludf.DUMMYFUNCTION("IMPORTRANGE(""https://docs.google.com/spreadsheets/d/11923uPwbBZFjjGgGUA6NLw09EwE0CqkOc4q9oUmW1yo/edit?usp=sharing"",""นครสวรรค์!I516"")"),0)</f>
        <v>0</v>
      </c>
      <c r="J621" s="204">
        <f ca="1">IFERROR(__xludf.DUMMYFUNCTION("IMPORTRANGE(""https://docs.google.com/spreadsheets/d/11923uPwbBZFjjGgGUA6NLw09EwE0CqkOc4q9oUmW1yo/edit?usp=sharing"",""นครสวรรค์!J516"")"),0)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IFERROR(__xludf.DUMMYFUNCTION("IMPORTRANGE(""https://docs.google.com/spreadsheets/d/11923uPwbBZFjjGgGUA6NLw09EwE0CqkOc4q9oUmW1yo/edit?usp=sharing"",""นครสวรรค์!I517"")"),0)</f>
        <v>0</v>
      </c>
      <c r="J622" s="190">
        <f ca="1">IFERROR(__xludf.DUMMYFUNCTION("IMPORTRANGE(""https://docs.google.com/spreadsheets/d/11923uPwbBZFjjGgGUA6NLw09EwE0CqkOc4q9oUmW1yo/edit?usp=sharing"",""นครสวรรค์!J517"")"),0)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IFERROR(__xludf.DUMMYFUNCTION("IMPORTRANGE(""https://docs.google.com/spreadsheets/d/11923uPwbBZFjjGgGUA6NLw09EwE0CqkOc4q9oUmW1yo/edit?usp=sharing"",""นครสวรรค์!I518"")"),0)</f>
        <v>0</v>
      </c>
      <c r="J623" s="190">
        <f ca="1">IFERROR(__xludf.DUMMYFUNCTION("IMPORTRANGE(""https://docs.google.com/spreadsheets/d/11923uPwbBZFjjGgGUA6NLw09EwE0CqkOc4q9oUmW1yo/edit?usp=sharing"",""นครสวรรค์!J518"")"),0)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IFERROR(__xludf.DUMMYFUNCTION("IMPORTRANGE(""https://docs.google.com/spreadsheets/d/11923uPwbBZFjjGgGUA6NLw09EwE0CqkOc4q9oUmW1yo/edit?usp=sharing"",""นครสวรรค์!I519"")"),0)</f>
        <v>0</v>
      </c>
      <c r="J624" s="189">
        <f ca="1">IFERROR(__xludf.DUMMYFUNCTION("IMPORTRANGE(""https://docs.google.com/spreadsheets/d/11923uPwbBZFjjGgGUA6NLw09EwE0CqkOc4q9oUmW1yo/edit?usp=sharing"",""นครสวรรค์!J519"")"),0)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IFERROR(__xludf.DUMMYFUNCTION("IMPORTRANGE(""https://docs.google.com/spreadsheets/d/11923uPwbBZFjjGgGUA6NLw09EwE0CqkOc4q9oUmW1yo/edit?usp=sharing"",""นครสวรรค์!I520"")"),0)</f>
        <v>0</v>
      </c>
      <c r="J625" s="190">
        <f ca="1">IFERROR(__xludf.DUMMYFUNCTION("IMPORTRANGE(""https://docs.google.com/spreadsheets/d/11923uPwbBZFjjGgGUA6NLw09EwE0CqkOc4q9oUmW1yo/edit?usp=sharing"",""นครสวรรค์!J520"")"),0)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IFERROR(__xludf.DUMMYFUNCTION("IMPORTRANGE(""https://docs.google.com/spreadsheets/d/11923uPwbBZFjjGgGUA6NLw09EwE0CqkOc4q9oUmW1yo/edit?usp=sharing"",""นครสวรรค์!I521"")"),0)</f>
        <v>0</v>
      </c>
      <c r="J626" s="190">
        <f ca="1">IFERROR(__xludf.DUMMYFUNCTION("IMPORTRANGE(""https://docs.google.com/spreadsheets/d/11923uPwbBZFjjGgGUA6NLw09EwE0CqkOc4q9oUmW1yo/edit?usp=sharing"",""นครสวรรค์!J521"")"),0)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IFERROR(__xludf.DUMMYFUNCTION("IMPORTRANGE(""https://docs.google.com/spreadsheets/d/11923uPwbBZFjjGgGUA6NLw09EwE0CqkOc4q9oUmW1yo/edit?usp=sharing"",""นครสวรรค์!I523"")"),1200000)</f>
        <v>1200000</v>
      </c>
      <c r="J628" s="342">
        <f ca="1">IFERROR(__xludf.DUMMYFUNCTION("IMPORTRANGE(""https://docs.google.com/spreadsheets/d/11923uPwbBZFjjGgGUA6NLw09EwE0CqkOc4q9oUmW1yo/edit?usp=sharing"",""นครสวรรค์!J523"")"),1200000)</f>
        <v>1200000</v>
      </c>
      <c r="K628" s="343">
        <f t="shared" ref="K628:K635" ca="1" si="129">IF(I628&gt;0,J628*100/I628,0)</f>
        <v>100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IFERROR(__xludf.DUMMYFUNCTION("IMPORTRANGE(""https://docs.google.com/spreadsheets/d/11923uPwbBZFjjGgGUA6NLw09EwE0CqkOc4q9oUmW1yo/edit?usp=sharing"",""นครสวรรค์!I524"")"),60)</f>
        <v>60</v>
      </c>
      <c r="J629" s="342">
        <f ca="1">IFERROR(__xludf.DUMMYFUNCTION("IMPORTRANGE(""https://docs.google.com/spreadsheets/d/11923uPwbBZFjjGgGUA6NLw09EwE0CqkOc4q9oUmW1yo/edit?usp=sharing"",""นครสวรรค์!J524"")"),60)</f>
        <v>60</v>
      </c>
      <c r="K629" s="343">
        <f t="shared" ca="1" si="129"/>
        <v>100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42">
        <f ca="1">IFERROR(__xludf.DUMMYFUNCTION("IMPORTRANGE(""https://docs.google.com/spreadsheets/d/11923uPwbBZFjjGgGUA6NLw09EwE0CqkOc4q9oUmW1yo/edit?usp=sharing"",""นครสวรรค์!J525"")"),564456.45)</f>
        <v>564456.44999999995</v>
      </c>
      <c r="K630" s="343">
        <f t="shared" ca="1" si="129"/>
        <v>11.322111420133767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IFERROR(__xludf.DUMMYFUNCTION("IMPORTRANGE(""https://docs.google.com/spreadsheets/d/11923uPwbBZFjjGgGUA6NLw09EwE0CqkOc4q9oUmW1yo/edit?usp=sharing"",""นครสวรรค์!I526"")"),266)</f>
        <v>266</v>
      </c>
      <c r="J631" s="342">
        <f ca="1">IFERROR(__xludf.DUMMYFUNCTION("IMPORTRANGE(""https://docs.google.com/spreadsheets/d/11923uPwbBZFjjGgGUA6NLw09EwE0CqkOc4q9oUmW1yo/edit?usp=sharing"",""นครสวรรค์!J526"")"),206)</f>
        <v>206</v>
      </c>
      <c r="K631" s="343">
        <f t="shared" ca="1" si="129"/>
        <v>77.443609022556387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42">
        <f ca="1">IFERROR(__xludf.DUMMYFUNCTION("IMPORTRANGE(""https://docs.google.com/spreadsheets/d/11923uPwbBZFjjGgGUA6NLw09EwE0CqkOc4q9oUmW1yo/edit?usp=sharing"",""นครสวรรค์!J527"")"),13550174.33)</f>
        <v>13550174.33</v>
      </c>
      <c r="K632" s="343">
        <f t="shared" ca="1" si="129"/>
        <v>26.371246730990546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IFERROR(__xludf.DUMMYFUNCTION("IMPORTRANGE(""https://docs.google.com/spreadsheets/d/11923uPwbBZFjjGgGUA6NLw09EwE0CqkOc4q9oUmW1yo/edit?usp=sharing"",""นครสวรรค์!I528"")"),4298)</f>
        <v>4298</v>
      </c>
      <c r="J633" s="342">
        <f ca="1">IFERROR(__xludf.DUMMYFUNCTION("IMPORTRANGE(""https://docs.google.com/spreadsheets/d/11923uPwbBZFjjGgGUA6NLw09EwE0CqkOc4q9oUmW1yo/edit?usp=sharing"",""นครสวรรค์!J528"")"),1837)</f>
        <v>1837</v>
      </c>
      <c r="K633" s="343">
        <f t="shared" ca="1" si="129"/>
        <v>42.740809678920428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IFERROR(__xludf.DUMMYFUNCTION("IMPORTRANGE(""https://docs.google.com/spreadsheets/d/11923uPwbBZFjjGgGUA6NLw09EwE0CqkOc4q9oUmW1yo/edit?usp=sharing"",""นครสวรรค์!I529"")"),1260000)</f>
        <v>1260000</v>
      </c>
      <c r="J634" s="342">
        <f ca="1">IFERROR(__xludf.DUMMYFUNCTION("IMPORTRANGE(""https://docs.google.com/spreadsheets/d/11923uPwbBZFjjGgGUA6NLw09EwE0CqkOc4q9oUmW1yo/edit?usp=sharing"",""นครสวรรค์!J529"")"),0)</f>
        <v>0</v>
      </c>
      <c r="K634" s="343">
        <f t="shared" ca="1" si="129"/>
        <v>0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IFERROR(__xludf.DUMMYFUNCTION("IMPORTRANGE(""https://docs.google.com/spreadsheets/d/11923uPwbBZFjjGgGUA6NLw09EwE0CqkOc4q9oUmW1yo/edit?usp=sharing"",""นครสวรรค์!I530"")"),63)</f>
        <v>63</v>
      </c>
      <c r="J635" s="506">
        <f ca="1">IFERROR(__xludf.DUMMYFUNCTION("IMPORTRANGE(""https://docs.google.com/spreadsheets/d/11923uPwbBZFjjGgGUA6NLw09EwE0CqkOc4q9oUmW1yo/edit?usp=sharing"",""นครสวรรค์!J530"")"),0)</f>
        <v>0</v>
      </c>
      <c r="K635" s="488">
        <f t="shared" ca="1" si="129"/>
        <v>0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138115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138115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138115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IFERROR(__xludf.DUMMYFUNCTION("IMPORTRANGE(""https://docs.google.com/spreadsheets/d/11923uPwbBZFjjGgGUA6NLw09EwE0CqkOc4q9oUmW1yo/edit?usp=sharing"",""นครสวรรค์!J541"")"),0)</f>
        <v>0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IFERROR(__xludf.DUMMYFUNCTION("IMPORTRANGE(""https://docs.google.com/spreadsheets/d/11923uPwbBZFjjGgGUA6NLw09EwE0CqkOc4q9oUmW1yo/edit?usp=sharing"",""นครสวรรค์!J542"")"),0)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IFERROR(__xludf.DUMMYFUNCTION("IMPORTRANGE(""https://docs.google.com/spreadsheets/d/11923uPwbBZFjjGgGUA6NLw09EwE0CqkOc4q9oUmW1yo/edit?usp=sharing"",""นครสวรรค์!I543"")"),85)</f>
        <v>85</v>
      </c>
      <c r="J648" s="537">
        <f ca="1">IFERROR(__xludf.DUMMYFUNCTION("IMPORTRANGE(""https://docs.google.com/spreadsheets/d/11923uPwbBZFjjGgGUA6NLw09EwE0CqkOc4q9oUmW1yo/edit?usp=sharing"",""นครสวรรค์!J543"")"),0)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IFERROR(__xludf.DUMMYFUNCTION("IMPORTRANGE(""https://docs.google.com/spreadsheets/d/11923uPwbBZFjjGgGUA6NLw09EwE0CqkOc4q9oUmW1yo/edit?usp=sharing"",""นครสวรรค์!L543"")"),6800)</f>
        <v>6800</v>
      </c>
      <c r="M648" s="522"/>
      <c r="N648" s="539">
        <f ca="1">IFERROR(__xludf.DUMMYFUNCTION("IMPORTRANGE(""https://docs.google.com/spreadsheets/d/11923uPwbBZFjjGgGUA6NLw09EwE0CqkOc4q9oUmW1yo/edit?usp=sharing"",""นครสวรรค์!M543"")"),0)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IFERROR(__xludf.DUMMYFUNCTION("IMPORTRANGE(""https://docs.google.com/spreadsheets/d/11923uPwbBZFjjGgGUA6NLw09EwE0CqkOc4q9oUmW1yo/edit?usp=sharing"",""นครสวรรค์!I544"")"),7)</f>
        <v>7</v>
      </c>
      <c r="J649" s="537">
        <f ca="1">IFERROR(__xludf.DUMMYFUNCTION("IMPORTRANGE(""https://docs.google.com/spreadsheets/d/11923uPwbBZFjjGgGUA6NLw09EwE0CqkOc4q9oUmW1yo/edit?usp=sharing"",""นครสวรรค์!J544"")"),0)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IFERROR(__xludf.DUMMYFUNCTION("IMPORTRANGE(""https://docs.google.com/spreadsheets/d/11923uPwbBZFjjGgGUA6NLw09EwE0CqkOc4q9oUmW1yo/edit?usp=sharing"",""นครสวรรค์!L544"")"),840)</f>
        <v>840</v>
      </c>
      <c r="M649" s="522"/>
      <c r="N649" s="539">
        <f ca="1">IFERROR(__xludf.DUMMYFUNCTION("IMPORTRANGE(""https://docs.google.com/spreadsheets/d/11923uPwbBZFjjGgGUA6NLw09EwE0CqkOc4q9oUmW1yo/edit?usp=sharing"",""นครสวรรค์!M544"")"),0)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IFERROR(__xludf.DUMMYFUNCTION("IMPORTRANGE(""https://docs.google.com/spreadsheets/d/11923uPwbBZFjjGgGUA6NLw09EwE0CqkOc4q9oUmW1yo/edit?usp=sharing"",""นครสวรรค์!I545"")"),1455)</f>
        <v>1455</v>
      </c>
      <c r="J650" s="537">
        <f ca="1">IFERROR(__xludf.DUMMYFUNCTION("IMPORTRANGE(""https://docs.google.com/spreadsheets/d/11923uPwbBZFjjGgGUA6NLw09EwE0CqkOc4q9oUmW1yo/edit?usp=sharing"",""นครสวรรค์!J545"")"),0)</f>
        <v>0</v>
      </c>
      <c r="K650" s="538">
        <f t="shared" ca="1" si="131"/>
        <v>0</v>
      </c>
      <c r="L650" s="523">
        <f ca="1">IFERROR(__xludf.DUMMYFUNCTION("IMPORTRANGE(""https://docs.google.com/spreadsheets/d/11923uPwbBZFjjGgGUA6NLw09EwE0CqkOc4q9oUmW1yo/edit?usp=sharing"",""นครสวรรค์!L545"")"),7275)</f>
        <v>7275</v>
      </c>
      <c r="M650" s="522"/>
      <c r="N650" s="539">
        <f ca="1">IFERROR(__xludf.DUMMYFUNCTION("IMPORTRANGE(""https://docs.google.com/spreadsheets/d/11923uPwbBZFjjGgGUA6NLw09EwE0CqkOc4q9oUmW1yo/edit?usp=sharing"",""นครสวรรค์!M545"")"),0)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IFERROR(__xludf.DUMMYFUNCTION("IMPORTRANGE(""https://docs.google.com/spreadsheets/d/11923uPwbBZFjjGgGUA6NLw09EwE0CqkOc4q9oUmW1yo/edit?usp=sharing"",""นครสวรรค์!I546"")"),600)</f>
        <v>600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IFERROR(__xludf.DUMMYFUNCTION("IMPORTRANGE(""https://docs.google.com/spreadsheets/d/11923uPwbBZFjjGgGUA6NLw09EwE0CqkOc4q9oUmW1yo/edit?usp=sharing"",""นครสวรรค์!L546"")"),15000)</f>
        <v>15000</v>
      </c>
      <c r="M651" s="522"/>
      <c r="N651" s="539">
        <f ca="1">IFERROR(__xludf.DUMMYFUNCTION("IMPORTRANGE(""https://docs.google.com/spreadsheets/d/11923uPwbBZFjjGgGUA6NLw09EwE0CqkOc4q9oUmW1yo/edit?usp=sharing"",""นครสวรรค์!M546"")"),0)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IFERROR(__xludf.DUMMYFUNCTION("IMPORTRANGE(""https://docs.google.com/spreadsheets/d/11923uPwbBZFjjGgGUA6NLw09EwE0CqkOc4q9oUmW1yo/edit?usp=sharing"",""นครสวรรค์!J547"")"),0)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IFERROR(__xludf.DUMMYFUNCTION("IMPORTRANGE(""https://docs.google.com/spreadsheets/d/11923uPwbBZFjjGgGUA6NLw09EwE0CqkOc4q9oUmW1yo/edit?usp=sharing"",""นครสวรรค์!J548"")"),0)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IFERROR(__xludf.DUMMYFUNCTION("IMPORTRANGE(""https://docs.google.com/spreadsheets/d/11923uPwbBZFjjGgGUA6NLw09EwE0CqkOc4q9oUmW1yo/edit?usp=sharing"",""นครสวรรค์!J550"")"),0)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IFERROR(__xludf.DUMMYFUNCTION("IMPORTRANGE(""https://docs.google.com/spreadsheets/d/11923uPwbBZFjjGgGUA6NLw09EwE0CqkOc4q9oUmW1yo/edit?usp=sharing"",""นครสวรรค์!J551"")"),0)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IFERROR(__xludf.DUMMYFUNCTION("IMPORTRANGE(""https://docs.google.com/spreadsheets/d/11923uPwbBZFjjGgGUA6NLw09EwE0CqkOc4q9oUmW1yo/edit?usp=sharing"",""นครสวรรค์!J552"")"),0)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IFERROR(__xludf.DUMMYFUNCTION("IMPORTRANGE(""https://docs.google.com/spreadsheets/d/11923uPwbBZFjjGgGUA6NLw09EwE0CqkOc4q9oUmW1yo/edit?usp=sharing"",""นครสวรรค์!J553"")"),0)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IFERROR(__xludf.DUMMYFUNCTION("IMPORTRANGE(""https://docs.google.com/spreadsheets/d/11923uPwbBZFjjGgGUA6NLw09EwE0CqkOc4q9oUmW1yo/edit?usp=sharing"",""นครสวรรค์!J554"")"),0)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IFERROR(__xludf.DUMMYFUNCTION("IMPORTRANGE(""https://docs.google.com/spreadsheets/d/11923uPwbBZFjjGgGUA6NLw09EwE0CqkOc4q9oUmW1yo/edit?usp=sharing"",""นครสวรรค์!J555"")"),0)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IFERROR(__xludf.DUMMYFUNCTION("IMPORTRANGE(""https://docs.google.com/spreadsheets/d/11923uPwbBZFjjGgGUA6NLw09EwE0CqkOc4q9oUmW1yo/edit?usp=sharing"",""นครสวรรค์!J556"")"),0)</f>
        <v>0</v>
      </c>
      <c r="K661" s="538"/>
      <c r="L661" s="523">
        <f ca="1">IFERROR(__xludf.DUMMYFUNCTION("IMPORTRANGE(""https://docs.google.com/spreadsheets/d/11923uPwbBZFjjGgGUA6NLw09EwE0CqkOc4q9oUmW1yo/edit?usp=sharing"",""นครสวรรค์!L556"")"),103400)</f>
        <v>103400</v>
      </c>
      <c r="M661" s="522"/>
      <c r="N661" s="539">
        <f ca="1">IFERROR(__xludf.DUMMYFUNCTION("IMPORTRANGE(""https://docs.google.com/spreadsheets/d/11923uPwbBZFjjGgGUA6NLw09EwE0CqkOc4q9oUmW1yo/edit?usp=sharing"",""นครสวรรค์!M556"")"),0)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IFERROR(__xludf.DUMMYFUNCTION("IMPORTRANGE(""https://docs.google.com/spreadsheets/d/11923uPwbBZFjjGgGUA6NLw09EwE0CqkOc4q9oUmW1yo/edit?usp=sharing"",""นครสวรรค์!J557"")"),0)</f>
        <v>0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IFERROR(__xludf.DUMMYFUNCTION("IMPORTRANGE(""https://docs.google.com/spreadsheets/d/11923uPwbBZFjjGgGUA6NLw09EwE0CqkOc4q9oUmW1yo/edit?usp=sharing"",""นครสวรรค์!I558"")"),2585)</f>
        <v>2585</v>
      </c>
      <c r="J663" s="537">
        <f ca="1">IFERROR(__xludf.DUMMYFUNCTION("IMPORTRANGE(""https://docs.google.com/spreadsheets/d/11923uPwbBZFjjGgGUA6NLw09EwE0CqkOc4q9oUmW1yo/edit?usp=sharing"",""นครสวรรค์!J558"")"),0)</f>
        <v>0</v>
      </c>
      <c r="K663" s="538">
        <f ca="1">IF(I663&gt;0,J663*100/I663,0)</f>
        <v>0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IFERROR(__xludf.DUMMYFUNCTION("IMPORTRANGE(""https://docs.google.com/spreadsheets/d/11923uPwbBZFjjGgGUA6NLw09EwE0CqkOc4q9oUmW1yo/edit?usp=sharing"",""นครสวรรค์!I560"")"),40)</f>
        <v>40</v>
      </c>
      <c r="J665" s="537">
        <f ca="1">IFERROR(__xludf.DUMMYFUNCTION("IMPORTRANGE(""https://docs.google.com/spreadsheets/d/11923uPwbBZFjjGgGUA6NLw09EwE0CqkOc4q9oUmW1yo/edit?usp=sharing"",""นครสวรรค์!J560"")"),0)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IFERROR(__xludf.DUMMYFUNCTION("IMPORTRANGE(""https://docs.google.com/spreadsheets/d/11923uPwbBZFjjGgGUA6NLw09EwE0CqkOc4q9oUmW1yo/edit?usp=sharing"",""นครสวรรค์!L560"")"),4800)</f>
        <v>4800</v>
      </c>
      <c r="M665" s="522"/>
      <c r="N665" s="539">
        <f ca="1">IFERROR(__xludf.DUMMYFUNCTION("IMPORTRANGE(""https://docs.google.com/spreadsheets/d/11923uPwbBZFjjGgGUA6NLw09EwE0CqkOc4q9oUmW1yo/edit?usp=sharing"",""นครสวรรค์!M560"")"),0)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IFERROR(__xludf.DUMMYFUNCTION("IMPORTRANGE(""https://docs.google.com/spreadsheets/d/11923uPwbBZFjjGgGUA6NLw09EwE0CqkOc4q9oUmW1yo/edit?usp=sharing"",""นครสวรรค์!J561"")"),0)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IFERROR(__xludf.DUMMYFUNCTION("IMPORTRANGE(""https://docs.google.com/spreadsheets/d/11923uPwbBZFjjGgGUA6NLw09EwE0CqkOc4q9oUmW1yo/edit?usp=sharing"",""นครสวรรค์!J562"")"),0)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IFERROR(__xludf.DUMMYFUNCTION("IMPORTRANGE(""https://docs.google.com/spreadsheets/d/11923uPwbBZFjjGgGUA6NLw09EwE0CqkOc4q9oUmW1yo/edit?usp=sharing"",""นครสวรรค์!I563"")"),0)</f>
        <v>0</v>
      </c>
      <c r="J668" s="537">
        <f ca="1">IFERROR(__xludf.DUMMYFUNCTION("IMPORTRANGE(""https://docs.google.com/spreadsheets/d/11923uPwbBZFjjGgGUA6NLw09EwE0CqkOc4q9oUmW1yo/edit?usp=sharing"",""นครสวรรค์!J563"")"),0)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IFERROR(__xludf.DUMMYFUNCTION("IMPORTRANGE(""https://docs.google.com/spreadsheets/d/11923uPwbBZFjjGgGUA6NLw09EwE0CqkOc4q9oUmW1yo/edit?usp=sharing"",""นครสวรรค์!L563"")"),0)</f>
        <v>0</v>
      </c>
      <c r="M668" s="522"/>
      <c r="N668" s="539">
        <f ca="1">IFERROR(__xludf.DUMMYFUNCTION("IMPORTRANGE(""https://docs.google.com/spreadsheets/d/11923uPwbBZFjjGgGUA6NLw09EwE0CqkOc4q9oUmW1yo/edit?usp=sharing"",""นครสวรรค์!M563"")"),0)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IFERROR(__xludf.DUMMYFUNCTION("IMPORTRANGE(""https://docs.google.com/spreadsheets/d/11923uPwbBZFjjGgGUA6NLw09EwE0CqkOc4q9oUmW1yo/edit?usp=sharing"",""นครสวรรค์!J564"")"),0)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IFERROR(__xludf.DUMMYFUNCTION("IMPORTRANGE(""https://docs.google.com/spreadsheets/d/11923uPwbBZFjjGgGUA6NLw09EwE0CqkOc4q9oUmW1yo/edit?usp=sharing"",""นครสวรรค์!J565"")"),0)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IFERROR(__xludf.DUMMYFUNCTION("IMPORTRANGE(""https://docs.google.com/spreadsheets/d/11923uPwbBZFjjGgGUA6NLw09EwE0CqkOc4q9oUmW1yo/edit?usp=sharing"",""นครสวรรค์!I566"")"),0)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IFERROR(__xludf.DUMMYFUNCTION("IMPORTRANGE(""https://docs.google.com/spreadsheets/d/11923uPwbBZFjjGgGUA6NLw09EwE0CqkOc4q9oUmW1yo/edit?usp=sharing"",""นครสวรรค์!L566"")"),0)</f>
        <v>0</v>
      </c>
      <c r="M671" s="522"/>
      <c r="N671" s="539">
        <f ca="1">IFERROR(__xludf.DUMMYFUNCTION("IMPORTRANGE(""https://docs.google.com/spreadsheets/d/11923uPwbBZFjjGgGUA6NLw09EwE0CqkOc4q9oUmW1yo/edit?usp=sharing"",""นครสวรรค์!M566"")"),0)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IFERROR(__xludf.DUMMYFUNCTION("IMPORTRANGE(""https://docs.google.com/spreadsheets/d/11923uPwbBZFjjGgGUA6NLw09EwE0CqkOc4q9oUmW1yo/edit?usp=sharing"",""นครสวรรค์!J567"")"),0)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IFERROR(__xludf.DUMMYFUNCTION("IMPORTRANGE(""https://docs.google.com/spreadsheets/d/11923uPwbBZFjjGgGUA6NLw09EwE0CqkOc4q9oUmW1yo/edit?usp=sharing"",""นครสวรรค์!J568"")"),0)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IFERROR(__xludf.DUMMYFUNCTION("IMPORTRANGE(""https://docs.google.com/spreadsheets/d/11923uPwbBZFjjGgGUA6NLw09EwE0CqkOc4q9oUmW1yo/edit?usp=sharing"",""นครสวรรค์!J569"")"),0)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IFERROR(__xludf.DUMMYFUNCTION("IMPORTRANGE(""https://docs.google.com/spreadsheets/d/11923uPwbBZFjjGgGUA6NLw09EwE0CqkOc4q9oUmW1yo/edit?usp=sharing"",""นครสวรรค์!J570"")"),0)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IFERROR(__xludf.DUMMYFUNCTION("IMPORTRANGE(""https://docs.google.com/spreadsheets/d/11923uPwbBZFjjGgGUA6NLw09EwE0CqkOc4q9oUmW1yo/edit?usp=sharing"",""นครสวรรค์!J571"")"),0)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IFERROR(__xludf.DUMMYFUNCTION("IMPORTRANGE(""https://docs.google.com/spreadsheets/d/11923uPwbBZFjjGgGUA6NLw09EwE0CqkOc4q9oUmW1yo/edit?usp=sharing"",""นครสวรรค์!J572"")"),0)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270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13698769</v>
      </c>
      <c r="M8" s="25">
        <f t="shared" ca="1" si="0"/>
        <v>10274694</v>
      </c>
      <c r="N8" s="25">
        <f t="shared" ca="1" si="0"/>
        <v>9049527.0399999991</v>
      </c>
      <c r="O8" s="24">
        <f t="shared" ref="O8:O16" ca="1" si="1">IF(L8&gt;0,N8*100/L8,0)</f>
        <v>66.060877732882417</v>
      </c>
      <c r="P8" s="24">
        <f t="shared" ref="P8:P16" ca="1" si="2">IF(M8&gt;0,N8*100/M8,0)</f>
        <v>88.075878853423745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13698769</v>
      </c>
      <c r="M10" s="32">
        <f t="shared" ca="1" si="4"/>
        <v>10274694</v>
      </c>
      <c r="N10" s="32">
        <f t="shared" ca="1" si="4"/>
        <v>9049527.0399999991</v>
      </c>
      <c r="O10" s="31">
        <f t="shared" ca="1" si="1"/>
        <v>66.060877732882417</v>
      </c>
      <c r="P10" s="31">
        <f t="shared" ca="1" si="2"/>
        <v>88.075878853423745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6408169</v>
      </c>
      <c r="M12" s="41">
        <f t="shared" ca="1" si="6"/>
        <v>2984094</v>
      </c>
      <c r="N12" s="41">
        <f t="shared" ca="1" si="6"/>
        <v>2558927.04</v>
      </c>
      <c r="O12" s="41">
        <f t="shared" ca="1" si="1"/>
        <v>39.932265207112984</v>
      </c>
      <c r="P12" s="41">
        <f t="shared" ca="1" si="2"/>
        <v>85.752226303863083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1874000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4534169</v>
      </c>
      <c r="M14" s="41">
        <f t="shared" si="8"/>
        <v>0</v>
      </c>
      <c r="N14" s="41">
        <f t="shared" ca="1" si="8"/>
        <v>692407</v>
      </c>
      <c r="O14" s="41">
        <f t="shared" ca="1" si="1"/>
        <v>15.270868818519999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7290600</v>
      </c>
      <c r="M16" s="41">
        <f t="shared" ca="1" si="10"/>
        <v>7290600</v>
      </c>
      <c r="N16" s="41">
        <f t="shared" ca="1" si="10"/>
        <v>6490600</v>
      </c>
      <c r="O16" s="52">
        <f t="shared" ca="1" si="1"/>
        <v>89.026966230488568</v>
      </c>
      <c r="P16" s="52">
        <f t="shared" ca="1" si="2"/>
        <v>89.026966230488568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10918675</v>
      </c>
      <c r="M18" s="25">
        <f t="shared" ca="1" si="11"/>
        <v>10274694</v>
      </c>
      <c r="N18" s="25">
        <f t="shared" ca="1" si="11"/>
        <v>8357120.04</v>
      </c>
      <c r="O18" s="24">
        <f t="shared" ref="O18:O20" ca="1" si="12">IF(L18&gt;0,N18*100/L18,0)</f>
        <v>76.539690392836121</v>
      </c>
      <c r="P18" s="24">
        <f t="shared" ref="P18:P26" ca="1" si="13">IF(M18&gt;0,N18*100/M18,0)</f>
        <v>81.336923902551263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10918675</v>
      </c>
      <c r="M20" s="32">
        <f t="shared" ca="1" si="15"/>
        <v>10274694</v>
      </c>
      <c r="N20" s="32">
        <f t="shared" ca="1" si="15"/>
        <v>8357120.04</v>
      </c>
      <c r="O20" s="31">
        <f t="shared" ca="1" si="12"/>
        <v>76.539690392836121</v>
      </c>
      <c r="P20" s="31">
        <f t="shared" ca="1" si="13"/>
        <v>81.336923902551263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3628075</v>
      </c>
      <c r="M22" s="44">
        <f t="shared" ca="1" si="18"/>
        <v>2984094</v>
      </c>
      <c r="N22" s="41">
        <f t="shared" ca="1" si="18"/>
        <v>1866520.04</v>
      </c>
      <c r="O22" s="41">
        <f t="shared" ca="1" si="17"/>
        <v>51.446567118926701</v>
      </c>
      <c r="P22" s="41">
        <f t="shared" ca="1" si="13"/>
        <v>62.548969301905366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1874000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1754075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7290600</v>
      </c>
      <c r="M26" s="52">
        <f t="shared" ca="1" si="22"/>
        <v>7290600</v>
      </c>
      <c r="N26" s="52">
        <f t="shared" ca="1" si="22"/>
        <v>6490600</v>
      </c>
      <c r="O26" s="52">
        <f t="shared" ca="1" si="17"/>
        <v>89.026966230488568</v>
      </c>
      <c r="P26" s="52">
        <f t="shared" ca="1" si="13"/>
        <v>89.026966230488568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2780094</v>
      </c>
      <c r="M28" s="25">
        <f t="shared" si="23"/>
        <v>0</v>
      </c>
      <c r="N28" s="25">
        <f t="shared" ca="1" si="23"/>
        <v>692407</v>
      </c>
      <c r="O28" s="24">
        <f t="shared" ref="O28:O30" ca="1" si="24">IF(L28&gt;0,N28*100/L28,0)</f>
        <v>24.905884477287458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2780094</v>
      </c>
      <c r="M30" s="32">
        <f t="shared" si="27"/>
        <v>0</v>
      </c>
      <c r="N30" s="32">
        <f t="shared" ca="1" si="27"/>
        <v>692407</v>
      </c>
      <c r="O30" s="31">
        <f t="shared" ca="1" si="24"/>
        <v>24.905884477287458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2780094</v>
      </c>
      <c r="M32" s="41">
        <f t="shared" si="30"/>
        <v>0</v>
      </c>
      <c r="N32" s="41">
        <f t="shared" ca="1" si="30"/>
        <v>692407</v>
      </c>
      <c r="O32" s="41">
        <f t="shared" ca="1" si="29"/>
        <v>24.905884477287458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2780094</v>
      </c>
      <c r="M34" s="41">
        <f t="shared" si="32"/>
        <v>0</v>
      </c>
      <c r="N34" s="41">
        <f t="shared" ca="1" si="32"/>
        <v>692407</v>
      </c>
      <c r="O34" s="41">
        <f t="shared" ca="1" si="29"/>
        <v>24.905884477287458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10918675</v>
      </c>
      <c r="M37" s="57">
        <f t="shared" ca="1" si="33"/>
        <v>10274694</v>
      </c>
      <c r="N37" s="57">
        <f t="shared" ca="1" si="33"/>
        <v>8357120.0399999991</v>
      </c>
      <c r="O37" s="58">
        <f t="shared" ca="1" si="29"/>
        <v>76.539690392836121</v>
      </c>
      <c r="P37" s="58">
        <f t="shared" ca="1" si="25"/>
        <v>81.336923902551248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7540500</v>
      </c>
      <c r="M41" s="81">
        <f t="shared" ca="1" si="34"/>
        <v>7355400</v>
      </c>
      <c r="N41" s="81">
        <f t="shared" ca="1" si="34"/>
        <v>6326306.5199999996</v>
      </c>
      <c r="O41" s="80">
        <f t="shared" ref="O41:O43" ca="1" si="35">IF(L41&gt;0,N41*100/L41,0)</f>
        <v>83.897705987666598</v>
      </c>
      <c r="P41" s="80">
        <f t="shared" ref="P41:P43" ca="1" si="36">IF(M41&gt;0,N41*100/M41,0)</f>
        <v>86.009007259972265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7540500</v>
      </c>
      <c r="M43" s="81">
        <f t="shared" ca="1" si="38"/>
        <v>7355400</v>
      </c>
      <c r="N43" s="81">
        <f t="shared" ca="1" si="38"/>
        <v>6326306.5199999996</v>
      </c>
      <c r="O43" s="80">
        <f t="shared" ca="1" si="35"/>
        <v>83.897705987666598</v>
      </c>
      <c r="P43" s="80">
        <f t="shared" ca="1" si="36"/>
        <v>86.009007259972265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740500</v>
      </c>
      <c r="M45" s="52">
        <f ca="1">IFERROR(__xludf.DUMMYFUNCTION("IMPORTRANGE(""https://docs.google.com/spreadsheets/d/1Yj_ptqi66GCucihVvJfMjLAmec39IyEx_6qawtMGysU/edit?usp=sharing"",""สบก!Q25"")"),555400)</f>
        <v>555400</v>
      </c>
      <c r="N45" s="52">
        <f ca="1">IFERROR(__xludf.DUMMYFUNCTION("IMPORTRANGE(""https://docs.google.com/spreadsheets/d/1Yj_ptqi66GCucihVvJfMjLAmec39IyEx_6qawtMGysU/edit?usp=sharing"",""สบก!R25"")"),326306.52)</f>
        <v>326306.52</v>
      </c>
      <c r="O45" s="41">
        <f ca="1">IF(L45&gt;0,N45*100/L45,0)</f>
        <v>44.065701553004729</v>
      </c>
      <c r="P45" s="41">
        <f ca="1">IF(M45&gt;0,N45*100/M45,0)</f>
        <v>58.751624054735323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IFERROR(__xludf.DUMMYFUNCTION("IMPORTRANGE(""https://docs.google.com/spreadsheets/d/1Yj_ptqi66GCucihVvJfMjLAmec39IyEx_6qawtMGysU/edit?usp=sharing"",""สบก!M25"")"),740500)</f>
        <v>740500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IFERROR(__xludf.DUMMYFUNCTION("IMPORTRANGE(""https://docs.google.com/spreadsheets/d/1Yj_ptqi66GCucihVvJfMjLAmec39IyEx_6qawtMGysU/edit?usp=sharing"",""สบก!N25"")"),0)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IFERROR(__xludf.DUMMYFUNCTION("IMPORTRANGE(""https://docs.google.com/spreadsheets/d/1Yj_ptqi66GCucihVvJfMjLAmec39IyEx_6qawtMGysU/edit?usp=sharing"",""สบก!O25"")"),6800000)</f>
        <v>6800000</v>
      </c>
      <c r="M49" s="52">
        <f ca="1">L49</f>
        <v>6800000</v>
      </c>
      <c r="N49" s="52">
        <f ca="1">IFERROR(__xludf.DUMMYFUNCTION("IMPORTRANGE(""https://docs.google.com/spreadsheets/d/1Yj_ptqi66GCucihVvJfMjLAmec39IyEx_6qawtMGysU/edit?usp=sharing"",""สบก!S25"")"),6000000)</f>
        <v>6000000</v>
      </c>
      <c r="O49" s="52">
        <f ca="1">IF(L49&gt;0,N49*100/L49,0)</f>
        <v>88.235294117647058</v>
      </c>
      <c r="P49" s="52">
        <f ca="1">IF(M49&gt;0,N49*100/M49,0)</f>
        <v>88.235294117647058</v>
      </c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400000</v>
      </c>
      <c r="M53" s="123">
        <f t="shared" ca="1" si="39"/>
        <v>407139</v>
      </c>
      <c r="N53" s="123">
        <f t="shared" ca="1" si="39"/>
        <v>364088</v>
      </c>
      <c r="O53" s="122">
        <f t="shared" ref="O53:O55" ca="1" si="40">IF(L53&gt;0,N53*100/L53,0)</f>
        <v>91.022000000000006</v>
      </c>
      <c r="P53" s="122">
        <f t="shared" ref="P53:P55" ca="1" si="41">IF(M53&gt;0,N53*100/M53,0)</f>
        <v>89.42597000041755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400000</v>
      </c>
      <c r="M55" s="123">
        <f t="shared" ca="1" si="43"/>
        <v>407139</v>
      </c>
      <c r="N55" s="123">
        <f t="shared" ca="1" si="43"/>
        <v>364088</v>
      </c>
      <c r="O55" s="122">
        <f t="shared" ca="1" si="40"/>
        <v>91.022000000000006</v>
      </c>
      <c r="P55" s="122">
        <f t="shared" ca="1" si="41"/>
        <v>89.42597000041755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400000</v>
      </c>
      <c r="M57" s="52">
        <f ca="1">IFERROR(__xludf.DUMMYFUNCTION("IMPORTRANGE(""https://docs.google.com/spreadsheets/d/1Yj_ptqi66GCucihVvJfMjLAmec39IyEx_6qawtMGysU/edit?usp=sharing"",""สบก!Z25"")"),407139)</f>
        <v>407139</v>
      </c>
      <c r="N57" s="52">
        <f ca="1">IFERROR(__xludf.DUMMYFUNCTION("IMPORTRANGE(""https://docs.google.com/spreadsheets/d/1Yj_ptqi66GCucihVvJfMjLAmec39IyEx_6qawtMGysU/edit?usp=sharing"",""สบก!AA25"")"),364088)</f>
        <v>364088</v>
      </c>
      <c r="O57" s="41">
        <f ca="1">IF(L57&gt;0,N57*100/L57,0)</f>
        <v>91.022000000000006</v>
      </c>
      <c r="P57" s="41">
        <f ca="1">IF(M57&gt;0,N57*100/M57,0)</f>
        <v>89.42597000041755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IFERROR(__xludf.DUMMYFUNCTION("IMPORTRANGE(""https://docs.google.com/spreadsheets/d/1Yj_ptqi66GCucihVvJfMjLAmec39IyEx_6qawtMGysU/edit?usp=sharing"",""สบก!V25"")"),400000)</f>
        <v>400000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IFERROR(__xludf.DUMMYFUNCTION("IMPORTRANGE(""https://docs.google.com/spreadsheets/d/1Yj_ptqi66GCucihVvJfMjLAmec39IyEx_6qawtMGysU/edit?usp=sharing"",""สบก!W25"")"),0)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IFERROR(__xludf.DUMMYFUNCTION("IMPORTRANGE(""https://docs.google.com/spreadsheets/d/1Yj_ptqi66GCucihVvJfMjLAmec39IyEx_6qawtMGysU/edit?usp=sharing"",""สบก!X25"")"),0)</f>
        <v>0</v>
      </c>
      <c r="M61" s="52"/>
      <c r="N61" s="52">
        <f ca="1">IFERROR(__xludf.DUMMYFUNCTION("IMPORTRANGE(""https://docs.google.com/spreadsheets/d/1Yj_ptqi66GCucihVvJfMjLAmec39IyEx_6qawtMGysU/edit?usp=sharing"",""สบก!AB25"")"),0)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IFERROR(__xludf.DUMMYFUNCTION("IMPORTRANGE(""https://docs.google.com/spreadsheets/d/11923uPwbBZFjjGgGUA6NLw09EwE0CqkOc4q9oUmW1yo/edit?usp=sharing"",""น่าน!I9"")"),1)</f>
        <v>1</v>
      </c>
      <c r="J64" s="144">
        <f ca="1">IFERROR(__xludf.DUMMYFUNCTION("IMPORTRANGE(""https://docs.google.com/spreadsheets/d/11923uPwbBZFjjGgGUA6NLw09EwE0CqkOc4q9oUmW1yo/edit?usp=sharing"",""น่าน!J9"")"),1)</f>
        <v>1</v>
      </c>
      <c r="K64" s="145">
        <f t="shared" ref="K64:K65" ca="1" si="44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IFERROR(__xludf.DUMMYFUNCTION("IMPORTRANGE(""https://docs.google.com/spreadsheets/d/11923uPwbBZFjjGgGUA6NLw09EwE0CqkOc4q9oUmW1yo/edit?usp=sharing"",""น่าน!I10"")"),63)</f>
        <v>63</v>
      </c>
      <c r="J65" s="144">
        <f ca="1">IFERROR(__xludf.DUMMYFUNCTION("IMPORTRANGE(""https://docs.google.com/spreadsheets/d/11923uPwbBZFjjGgGUA6NLw09EwE0CqkOc4q9oUmW1yo/edit?usp=sharing"",""น่าน!J10"")"),63)</f>
        <v>63</v>
      </c>
      <c r="K65" s="145">
        <f t="shared" ca="1" si="44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937200</v>
      </c>
      <c r="M66" s="154">
        <f t="shared" ca="1" si="45"/>
        <v>864820</v>
      </c>
      <c r="N66" s="154">
        <f t="shared" ca="1" si="45"/>
        <v>623976</v>
      </c>
      <c r="O66" s="153">
        <f t="shared" ref="O66:O68" ca="1" si="46">IF(L66&gt;0,N66*100/L66,0)</f>
        <v>66.578745198463508</v>
      </c>
      <c r="P66" s="153">
        <f t="shared" ref="P66:P68" ca="1" si="47">IF(M66&gt;0,N66*100/M66,0)</f>
        <v>72.150967831456256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937200</v>
      </c>
      <c r="M68" s="90">
        <f t="shared" ca="1" si="49"/>
        <v>864820</v>
      </c>
      <c r="N68" s="90">
        <f t="shared" ca="1" si="49"/>
        <v>623976</v>
      </c>
      <c r="O68" s="158">
        <f t="shared" ca="1" si="46"/>
        <v>66.578745198463508</v>
      </c>
      <c r="P68" s="158">
        <f t="shared" ca="1" si="47"/>
        <v>72.150967831456256</v>
      </c>
    </row>
    <row r="69" spans="1:16" ht="21.75" customHeight="1">
      <c r="A69" s="159"/>
      <c r="B69" s="160"/>
      <c r="C69" s="160" t="s">
        <v>16</v>
      </c>
      <c r="D69" s="570" t="s">
        <v>20</v>
      </c>
      <c r="E69" s="565"/>
      <c r="F69" s="565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553600</v>
      </c>
      <c r="M70" s="169">
        <f ca="1">IFERROR(__xludf.DUMMYFUNCTION("IMPORTRANGE(""https://docs.google.com/spreadsheets/d/1Yj_ptqi66GCucihVvJfMjLAmec39IyEx_6qawtMGysU/edit?usp=sharing"",""สบก!AI25"")"),481220)</f>
        <v>481220</v>
      </c>
      <c r="N70" s="170">
        <f ca="1">IFERROR(__xludf.DUMMYFUNCTION("IMPORTRANGE(""https://docs.google.com/spreadsheets/d/1Yj_ptqi66GCucihVvJfMjLAmec39IyEx_6qawtMGysU/edit?usp=sharing"",""สบก!AJ25"")"),240376)</f>
        <v>240376</v>
      </c>
      <c r="O70" s="170">
        <f ca="1">IF(L70&gt;0,N70*100/L70,0)</f>
        <v>43.420520231213871</v>
      </c>
      <c r="P70" s="170">
        <f ca="1">IF(M70&gt;0,N70*100/M70,0)</f>
        <v>49.951373592120028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IFERROR(__xludf.DUMMYFUNCTION("IMPORTRANGE(""https://docs.google.com/spreadsheets/d/1Yj_ptqi66GCucihVvJfMjLAmec39IyEx_6qawtMGysU/edit?usp=sharing"",""สบก!AE25"")"),0)</f>
        <v>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IFERROR(__xludf.DUMMYFUNCTION("IMPORTRANGE(""https://docs.google.com/spreadsheets/d/1Yj_ptqi66GCucihVvJfMjLAmec39IyEx_6qawtMGysU/edit?usp=sharing"",""สบก!AF25"")"),553600)</f>
        <v>553600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IFERROR(__xludf.DUMMYFUNCTION("IMPORTRANGE(""https://docs.google.com/spreadsheets/d/1Yj_ptqi66GCucihVvJfMjLAmec39IyEx_6qawtMGysU/edit?usp=sharing"",""สบก!AG25"")"),383600)</f>
        <v>383600</v>
      </c>
      <c r="M74" s="52">
        <f ca="1">L74</f>
        <v>383600</v>
      </c>
      <c r="N74" s="52">
        <f ca="1">IFERROR(__xludf.DUMMYFUNCTION("IMPORTRANGE(""https://docs.google.com/spreadsheets/d/1Yj_ptqi66GCucihVvJfMjLAmec39IyEx_6qawtMGysU/edit?usp=sharing"",""สบก!AK25"")"),383600)</f>
        <v>383600</v>
      </c>
      <c r="O74" s="52">
        <f ca="1">IF(L74&gt;0,N74*100/L74,0)</f>
        <v>100</v>
      </c>
      <c r="P74" s="52">
        <f ca="1">IF(M74&gt;0,N74*100/M74,0)</f>
        <v>100</v>
      </c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IFERROR(__xludf.DUMMYFUNCTION("IMPORTRANGE(""https://docs.google.com/spreadsheets/d/11923uPwbBZFjjGgGUA6NLw09EwE0CqkOc4q9oUmW1yo/edit?usp=sharing"",""น่าน!J16"")"),0)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IFERROR(__xludf.DUMMYFUNCTION("IMPORTRANGE(""https://docs.google.com/spreadsheets/d/11923uPwbBZFjjGgGUA6NLw09EwE0CqkOc4q9oUmW1yo/edit?usp=sharing"",""น่าน!J17"")"),1)</f>
        <v>1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IFERROR(__xludf.DUMMYFUNCTION("IMPORTRANGE(""https://docs.google.com/spreadsheets/d/11923uPwbBZFjjGgGUA6NLw09EwE0CqkOc4q9oUmW1yo/edit?usp=sharing"",""น่าน!J18"")"),1)</f>
        <v>1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IFERROR(__xludf.DUMMYFUNCTION("IMPORTRANGE(""https://docs.google.com/spreadsheets/d/11923uPwbBZFjjGgGUA6NLw09EwE0CqkOc4q9oUmW1yo/edit?usp=sharing"",""น่าน!J19"")"),1)</f>
        <v>1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IFERROR(__xludf.DUMMYFUNCTION("IMPORTRANGE(""https://docs.google.com/spreadsheets/d/11923uPwbBZFjjGgGUA6NLw09EwE0CqkOc4q9oUmW1yo/edit?usp=sharing"",""น่าน!I20"")"),1)</f>
        <v>1</v>
      </c>
      <c r="J80" s="202">
        <f ca="1">IFERROR(__xludf.DUMMYFUNCTION("IMPORTRANGE(""https://docs.google.com/spreadsheets/d/11923uPwbBZFjjGgGUA6NLw09EwE0CqkOc4q9oUmW1yo/edit?usp=sharing"",""น่าน!J20"")"),1)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IFERROR(__xludf.DUMMYFUNCTION("IMPORTRANGE(""https://docs.google.com/spreadsheets/d/11923uPwbBZFjjGgGUA6NLw09EwE0CqkOc4q9oUmW1yo/edit?usp=sharing"",""น่าน!I21"")"),63)</f>
        <v>63</v>
      </c>
      <c r="J81" s="202">
        <f ca="1">IFERROR(__xludf.DUMMYFUNCTION("IMPORTRANGE(""https://docs.google.com/spreadsheets/d/11923uPwbBZFjjGgGUA6NLw09EwE0CqkOc4q9oUmW1yo/edit?usp=sharing"",""น่าน!J21"")"),63)</f>
        <v>63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IFERROR(__xludf.DUMMYFUNCTION("IMPORTRANGE(""https://docs.google.com/spreadsheets/d/11923uPwbBZFjjGgGUA6NLw09EwE0CqkOc4q9oUmW1yo/edit?usp=sharing"",""น่าน!I22"")"),0)</f>
        <v>0</v>
      </c>
      <c r="J82" s="205">
        <f ca="1">IFERROR(__xludf.DUMMYFUNCTION("IMPORTRANGE(""https://docs.google.com/spreadsheets/d/11923uPwbBZFjjGgGUA6NLw09EwE0CqkOc4q9oUmW1yo/edit?usp=sharing"",""น่าน!J22"")"),0)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IFERROR(__xludf.DUMMYFUNCTION("IMPORTRANGE(""https://docs.google.com/spreadsheets/d/11923uPwbBZFjjGgGUA6NLw09EwE0CqkOc4q9oUmW1yo/edit?usp=sharing"",""น่าน!I23"")"),0)</f>
        <v>0</v>
      </c>
      <c r="J83" s="205">
        <f ca="1">IFERROR(__xludf.DUMMYFUNCTION("IMPORTRANGE(""https://docs.google.com/spreadsheets/d/11923uPwbBZFjjGgGUA6NLw09EwE0CqkOc4q9oUmW1yo/edit?usp=sharing"",""น่าน!J23"")"),0)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IFERROR(__xludf.DUMMYFUNCTION("IMPORTRANGE(""https://docs.google.com/spreadsheets/d/11923uPwbBZFjjGgGUA6NLw09EwE0CqkOc4q9oUmW1yo/edit?usp=sharing"",""น่าน!I24"")"),0)</f>
        <v>0</v>
      </c>
      <c r="J84" s="190">
        <f ca="1">IFERROR(__xludf.DUMMYFUNCTION("IMPORTRANGE(""https://docs.google.com/spreadsheets/d/11923uPwbBZFjjGgGUA6NLw09EwE0CqkOc4q9oUmW1yo/edit?usp=sharing"",""น่าน!J24"")"),0)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IFERROR(__xludf.DUMMYFUNCTION("IMPORTRANGE(""https://docs.google.com/spreadsheets/d/11923uPwbBZFjjGgGUA6NLw09EwE0CqkOc4q9oUmW1yo/edit?usp=sharing"",""น่าน!I25"")"),0)</f>
        <v>0</v>
      </c>
      <c r="J85" s="190">
        <f ca="1">IFERROR(__xludf.DUMMYFUNCTION("IMPORTRANGE(""https://docs.google.com/spreadsheets/d/11923uPwbBZFjjGgGUA6NLw09EwE0CqkOc4q9oUmW1yo/edit?usp=sharing"",""น่าน!J25"")"),0)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IFERROR(__xludf.DUMMYFUNCTION("IMPORTRANGE(""https://docs.google.com/spreadsheets/d/11923uPwbBZFjjGgGUA6NLw09EwE0CqkOc4q9oUmW1yo/edit?usp=sharing"",""น่าน!I26"")"),1)</f>
        <v>1</v>
      </c>
      <c r="J86" s="205">
        <f ca="1">IFERROR(__xludf.DUMMYFUNCTION("IMPORTRANGE(""https://docs.google.com/spreadsheets/d/11923uPwbBZFjjGgGUA6NLw09EwE0CqkOc4q9oUmW1yo/edit?usp=sharing"",""น่าน!J26"")"),1)</f>
        <v>1</v>
      </c>
      <c r="K86" s="165">
        <f t="shared" ca="1" si="50"/>
        <v>100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IFERROR(__xludf.DUMMYFUNCTION("IMPORTRANGE(""https://docs.google.com/spreadsheets/d/11923uPwbBZFjjGgGUA6NLw09EwE0CqkOc4q9oUmW1yo/edit?usp=sharing"",""น่าน!I27"")"),63)</f>
        <v>63</v>
      </c>
      <c r="J87" s="205">
        <f ca="1">IFERROR(__xludf.DUMMYFUNCTION("IMPORTRANGE(""https://docs.google.com/spreadsheets/d/11923uPwbBZFjjGgGUA6NLw09EwE0CqkOc4q9oUmW1yo/edit?usp=sharing"",""น่าน!J27"")"),63)</f>
        <v>63</v>
      </c>
      <c r="K87" s="165">
        <f t="shared" ca="1" si="50"/>
        <v>100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IFERROR(__xludf.DUMMYFUNCTION("IMPORTRANGE(""https://docs.google.com/spreadsheets/d/11923uPwbBZFjjGgGUA6NLw09EwE0CqkOc4q9oUmW1yo/edit?usp=sharing"",""น่าน!I28"")"),0)</f>
        <v>0</v>
      </c>
      <c r="J88" s="205">
        <f ca="1">IFERROR(__xludf.DUMMYFUNCTION("IMPORTRANGE(""https://docs.google.com/spreadsheets/d/11923uPwbBZFjjGgGUA6NLw09EwE0CqkOc4q9oUmW1yo/edit?usp=sharing"",""น่าน!J28"")"),0)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IFERROR(__xludf.DUMMYFUNCTION("IMPORTRANGE(""https://docs.google.com/spreadsheets/d/11923uPwbBZFjjGgGUA6NLw09EwE0CqkOc4q9oUmW1yo/edit?usp=sharing"",""น่าน!J29"")"),0)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IFERROR(__xludf.DUMMYFUNCTION("IMPORTRANGE(""https://docs.google.com/spreadsheets/d/11923uPwbBZFjjGgGUA6NLw09EwE0CqkOc4q9oUmW1yo/edit?usp=sharing"",""น่าน!J30"")"),0)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IFERROR(__xludf.DUMMYFUNCTION("IMPORTRANGE(""https://docs.google.com/spreadsheets/d/11923uPwbBZFjjGgGUA6NLw09EwE0CqkOc4q9oUmW1yo/edit?usp=sharing"",""น่าน!I32"")"),4)</f>
        <v>4</v>
      </c>
      <c r="J92" s="144">
        <f ca="1">IFERROR(__xludf.DUMMYFUNCTION("IMPORTRANGE(""https://docs.google.com/spreadsheets/d/11923uPwbBZFjjGgGUA6NLw09EwE0CqkOc4q9oUmW1yo/edit?usp=sharing"",""น่าน!J32"")"),4)</f>
        <v>4</v>
      </c>
      <c r="K92" s="145">
        <f t="shared" ref="K92:K93" ca="1" si="51">IF(I92&gt;0,J92*100/I92,0)</f>
        <v>100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IFERROR(__xludf.DUMMYFUNCTION("IMPORTRANGE(""https://docs.google.com/spreadsheets/d/11923uPwbBZFjjGgGUA6NLw09EwE0CqkOc4q9oUmW1yo/edit?usp=sharing"",""น่าน!I33"")"),1)</f>
        <v>1</v>
      </c>
      <c r="J93" s="144">
        <f ca="1">IFERROR(__xludf.DUMMYFUNCTION("IMPORTRANGE(""https://docs.google.com/spreadsheets/d/11923uPwbBZFjjGgGUA6NLw09EwE0CqkOc4q9oUmW1yo/edit?usp=sharing"",""น่าน!J33"")"),1)</f>
        <v>1</v>
      </c>
      <c r="K93" s="145">
        <f t="shared" ca="1" si="51"/>
        <v>100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214100</v>
      </c>
      <c r="M94" s="154">
        <f t="shared" ca="1" si="52"/>
        <v>194055</v>
      </c>
      <c r="N94" s="154">
        <f t="shared" ca="1" si="52"/>
        <v>133697</v>
      </c>
      <c r="O94" s="153">
        <f t="shared" ref="O94:O96" ca="1" si="53">IF(L94&gt;0,N94*100/L94,0)</f>
        <v>62.446053246146661</v>
      </c>
      <c r="P94" s="153">
        <f t="shared" ref="P94:P96" ca="1" si="54">IF(M94&gt;0,N94*100/M94,0)</f>
        <v>68.896446883615468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214100</v>
      </c>
      <c r="M96" s="90">
        <f t="shared" ca="1" si="56"/>
        <v>194055</v>
      </c>
      <c r="N96" s="90">
        <f t="shared" ca="1" si="56"/>
        <v>133697</v>
      </c>
      <c r="O96" s="158">
        <f t="shared" ca="1" si="53"/>
        <v>62.446053246146661</v>
      </c>
      <c r="P96" s="158">
        <f t="shared" ca="1" si="54"/>
        <v>68.896446883615468</v>
      </c>
    </row>
    <row r="97" spans="1:16" ht="21.75" customHeight="1">
      <c r="A97" s="159"/>
      <c r="B97" s="160"/>
      <c r="C97" s="160" t="s">
        <v>16</v>
      </c>
      <c r="D97" s="570" t="s">
        <v>20</v>
      </c>
      <c r="E97" s="565"/>
      <c r="F97" s="565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IFERROR(__xludf.DUMMYFUNCTION("IMPORTRANGE(""https://docs.google.com/spreadsheets/d/1Yj_ptqi66GCucihVvJfMjLAmec39IyEx_6qawtMGysU/edit?usp=sharing"",""สบก!AR25"")"),102055)</f>
        <v>102055</v>
      </c>
      <c r="N98" s="170">
        <f ca="1">IFERROR(__xludf.DUMMYFUNCTION("IMPORTRANGE(""https://docs.google.com/spreadsheets/d/1Yj_ptqi66GCucihVvJfMjLAmec39IyEx_6qawtMGysU/edit?usp=sharing"",""สบก!AS25"")"),41697)</f>
        <v>41697</v>
      </c>
      <c r="O98" s="170">
        <f ca="1">IF(L98&gt;0,N98*100/L98,0)</f>
        <v>34.149877149877149</v>
      </c>
      <c r="P98" s="170">
        <f ca="1">IF(M98&gt;0,N98*100/M98,0)</f>
        <v>40.857380824065451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IFERROR(__xludf.DUMMYFUNCTION("IMPORTRANGE(""https://docs.google.com/spreadsheets/d/1Yj_ptqi66GCucihVvJfMjLAmec39IyEx_6qawtMGysU/edit?usp=sharing"",""สบก!AN25"")"),0)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IFERROR(__xludf.DUMMYFUNCTION("IMPORTRANGE(""https://docs.google.com/spreadsheets/d/1Yj_ptqi66GCucihVvJfMjLAmec39IyEx_6qawtMGysU/edit?usp=sharing"",""สบก!AO25"")"),122100)</f>
        <v>122100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IFERROR(__xludf.DUMMYFUNCTION("IMPORTRANGE(""https://docs.google.com/spreadsheets/d/1Yj_ptqi66GCucihVvJfMjLAmec39IyEx_6qawtMGysU/edit?usp=sharing"",""สบก!AP25"")"),92000)</f>
        <v>92000</v>
      </c>
      <c r="M102" s="52">
        <f ca="1">L102</f>
        <v>92000</v>
      </c>
      <c r="N102" s="52">
        <f ca="1">IFERROR(__xludf.DUMMYFUNCTION("IMPORTRANGE(""https://docs.google.com/spreadsheets/d/1Yj_ptqi66GCucihVvJfMjLAmec39IyEx_6qawtMGysU/edit?usp=sharing"",""สบก!AT25"")"),92000)</f>
        <v>92000</v>
      </c>
      <c r="O102" s="52">
        <f ca="1">IF(L102&gt;0,N102*100/L102,0)</f>
        <v>100</v>
      </c>
      <c r="P102" s="52">
        <f ca="1">IF(M102&gt;0,N102*100/M102,0)</f>
        <v>100</v>
      </c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IFERROR(__xludf.DUMMYFUNCTION("IMPORTRANGE(""https://docs.google.com/spreadsheets/d/11923uPwbBZFjjGgGUA6NLw09EwE0CqkOc4q9oUmW1yo/edit?usp=sharing"",""น่าน!J39"")"),0)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IFERROR(__xludf.DUMMYFUNCTION("IMPORTRANGE(""https://docs.google.com/spreadsheets/d/11923uPwbBZFjjGgGUA6NLw09EwE0CqkOc4q9oUmW1yo/edit?usp=sharing"",""น่าน!J40"")"),1)</f>
        <v>1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IFERROR(__xludf.DUMMYFUNCTION("IMPORTRANGE(""https://docs.google.com/spreadsheets/d/11923uPwbBZFjjGgGUA6NLw09EwE0CqkOc4q9oUmW1yo/edit?usp=sharing"",""น่าน!J41"")"),1)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IFERROR(__xludf.DUMMYFUNCTION("IMPORTRANGE(""https://docs.google.com/spreadsheets/d/11923uPwbBZFjjGgGUA6NLw09EwE0CqkOc4q9oUmW1yo/edit?usp=sharing"",""น่าน!J42"")"),1)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IFERROR(__xludf.DUMMYFUNCTION("IMPORTRANGE(""https://docs.google.com/spreadsheets/d/11923uPwbBZFjjGgGUA6NLw09EwE0CqkOc4q9oUmW1yo/edit?usp=sharing"",""น่าน!I43"")"),1)</f>
        <v>1</v>
      </c>
      <c r="J108" s="205">
        <f ca="1">IFERROR(__xludf.DUMMYFUNCTION("IMPORTRANGE(""https://docs.google.com/spreadsheets/d/11923uPwbBZFjjGgGUA6NLw09EwE0CqkOc4q9oUmW1yo/edit?usp=sharing"",""น่าน!J43"")"),1)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IFERROR(__xludf.DUMMYFUNCTION("IMPORTRANGE(""https://docs.google.com/spreadsheets/d/11923uPwbBZFjjGgGUA6NLw09EwE0CqkOc4q9oUmW1yo/edit?usp=sharing"",""น่าน!I44"")"),4)</f>
        <v>4</v>
      </c>
      <c r="J109" s="205">
        <f ca="1">IFERROR(__xludf.DUMMYFUNCTION("IMPORTRANGE(""https://docs.google.com/spreadsheets/d/11923uPwbBZFjjGgGUA6NLw09EwE0CqkOc4q9oUmW1yo/edit?usp=sharing"",""น่าน!J44"")"),4)</f>
        <v>4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IFERROR(__xludf.DUMMYFUNCTION("IMPORTRANGE(""https://docs.google.com/spreadsheets/d/11923uPwbBZFjjGgGUA6NLw09EwE0CqkOc4q9oUmW1yo/edit?usp=sharing"",""น่าน!I45"")"),4)</f>
        <v>4</v>
      </c>
      <c r="J110" s="205">
        <f ca="1">IFERROR(__xludf.DUMMYFUNCTION("IMPORTRANGE(""https://docs.google.com/spreadsheets/d/11923uPwbBZFjjGgGUA6NLw09EwE0CqkOc4q9oUmW1yo/edit?usp=sharing"",""น่าน!J45"")"),4)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IFERROR(__xludf.DUMMYFUNCTION("IMPORTRANGE(""https://docs.google.com/spreadsheets/d/11923uPwbBZFjjGgGUA6NLw09EwE0CqkOc4q9oUmW1yo/edit?usp=sharing"",""น่าน!I46"")"),4)</f>
        <v>4</v>
      </c>
      <c r="J111" s="205">
        <f ca="1">IFERROR(__xludf.DUMMYFUNCTION("IMPORTRANGE(""https://docs.google.com/spreadsheets/d/11923uPwbBZFjjGgGUA6NLw09EwE0CqkOc4q9oUmW1yo/edit?usp=sharing"",""น่าน!J46"")"),4)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IFERROR(__xludf.DUMMYFUNCTION("IMPORTRANGE(""https://docs.google.com/spreadsheets/d/11923uPwbBZFjjGgGUA6NLw09EwE0CqkOc4q9oUmW1yo/edit?usp=sharing"",""น่าน!I47"")"),4)</f>
        <v>4</v>
      </c>
      <c r="J112" s="205">
        <f ca="1">IFERROR(__xludf.DUMMYFUNCTION("IMPORTRANGE(""https://docs.google.com/spreadsheets/d/11923uPwbBZFjjGgGUA6NLw09EwE0CqkOc4q9oUmW1yo/edit?usp=sharing"",""น่าน!J47"")"),4)</f>
        <v>4</v>
      </c>
      <c r="K112" s="225">
        <f t="shared" ca="1" si="57"/>
        <v>100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IFERROR(__xludf.DUMMYFUNCTION("IMPORTRANGE(""https://docs.google.com/spreadsheets/d/11923uPwbBZFjjGgGUA6NLw09EwE0CqkOc4q9oUmW1yo/edit?usp=sharing"",""น่าน!I48"")"),1)</f>
        <v>1</v>
      </c>
      <c r="J113" s="205">
        <f ca="1">IFERROR(__xludf.DUMMYFUNCTION("IMPORTRANGE(""https://docs.google.com/spreadsheets/d/11923uPwbBZFjjGgGUA6NLw09EwE0CqkOc4q9oUmW1yo/edit?usp=sharing"",""น่าน!J48"")"),1)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IFERROR(__xludf.DUMMYFUNCTION("IMPORTRANGE(""https://docs.google.com/spreadsheets/d/11923uPwbBZFjjGgGUA6NLw09EwE0CqkOc4q9oUmW1yo/edit?usp=sharing"",""น่าน!J49"")"),0)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IFERROR(__xludf.DUMMYFUNCTION("IMPORTRANGE(""https://docs.google.com/spreadsheets/d/11923uPwbBZFjjGgGUA6NLw09EwE0CqkOc4q9oUmW1yo/edit?usp=sharing"",""น่าน!J50"")"),0)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IFERROR(__xludf.DUMMYFUNCTION("IMPORTRANGE(""https://docs.google.com/spreadsheets/d/11923uPwbBZFjjGgGUA6NLw09EwE0CqkOc4q9oUmW1yo/edit?usp=sharing"",""น่าน!I52"")"),0)</f>
        <v>0</v>
      </c>
      <c r="J117" s="144">
        <f ca="1">IFERROR(__xludf.DUMMYFUNCTION("IMPORTRANGE(""https://docs.google.com/spreadsheets/d/11923uPwbBZFjjGgGUA6NLw09EwE0CqkOc4q9oUmW1yo/edit?usp=sharing"",""น่าน!J52"")"),0)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0</v>
      </c>
      <c r="M120" s="90">
        <f t="shared" ca="1" si="62"/>
        <v>0</v>
      </c>
      <c r="N120" s="90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59"/>
      <c r="B121" s="160"/>
      <c r="C121" s="160" t="s">
        <v>16</v>
      </c>
      <c r="D121" s="570" t="s">
        <v>20</v>
      </c>
      <c r="E121" s="565"/>
      <c r="F121" s="565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IFERROR(__xludf.DUMMYFUNCTION("IMPORTRANGE(""https://docs.google.com/spreadsheets/d/1Yj_ptqi66GCucihVvJfMjLAmec39IyEx_6qawtMGysU/edit?usp=sharing"",""สบก!BA25"")"),0)</f>
        <v>0</v>
      </c>
      <c r="N122" s="170">
        <f ca="1">IFERROR(__xludf.DUMMYFUNCTION("IMPORTRANGE(""https://docs.google.com/spreadsheets/d/1Yj_ptqi66GCucihVvJfMjLAmec39IyEx_6qawtMGysU/edit?usp=sharing"",""สบก!BB25"")"),0)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IFERROR(__xludf.DUMMYFUNCTION("IMPORTRANGE(""https://docs.google.com/spreadsheets/d/1Yj_ptqi66GCucihVvJfMjLAmec39IyEx_6qawtMGysU/edit?usp=sharing"",""สบก!AW25"")"),0)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IFERROR(__xludf.DUMMYFUNCTION("IMPORTRANGE(""https://docs.google.com/spreadsheets/d/1Yj_ptqi66GCucihVvJfMjLAmec39IyEx_6qawtMGysU/edit?usp=sharing"",""สบก!AX25"")"),0)</f>
        <v>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IFERROR(__xludf.DUMMYFUNCTION("IMPORTRANGE(""https://docs.google.com/spreadsheets/d/1Yj_ptqi66GCucihVvJfMjLAmec39IyEx_6qawtMGysU/edit?usp=sharing"",""สบก!AY25"")"),0)</f>
        <v>0</v>
      </c>
      <c r="M126" s="52"/>
      <c r="N126" s="52">
        <f ca="1">IFERROR(__xludf.DUMMYFUNCTION("IMPORTRANGE(""https://docs.google.com/spreadsheets/d/1Yj_ptqi66GCucihVvJfMjLAmec39IyEx_6qawtMGysU/edit?usp=sharing"",""สบก!BC25"")"),0)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271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IFERROR(__xludf.DUMMYFUNCTION("IMPORTRANGE(""https://docs.google.com/spreadsheets/d/11923uPwbBZFjjGgGUA6NLw09EwE0CqkOc4q9oUmW1yo/edit?usp=sharing"",""น่าน!J58"")"),0)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IFERROR(__xludf.DUMMYFUNCTION("IMPORTRANGE(""https://docs.google.com/spreadsheets/d/11923uPwbBZFjjGgGUA6NLw09EwE0CqkOc4q9oUmW1yo/edit?usp=sharing"",""น่าน!J59"")"),0)</f>
        <v>0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IFERROR(__xludf.DUMMYFUNCTION("IMPORTRANGE(""https://docs.google.com/spreadsheets/d/11923uPwbBZFjjGgGUA6NLw09EwE0CqkOc4q9oUmW1yo/edit?usp=sharing"",""น่าน!J60"")"),0)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IFERROR(__xludf.DUMMYFUNCTION("IMPORTRANGE(""https://docs.google.com/spreadsheets/d/11923uPwbBZFjjGgGUA6NLw09EwE0CqkOc4q9oUmW1yo/edit?usp=sharing"",""น่าน!J61"")"),0)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IFERROR(__xludf.DUMMYFUNCTION("IMPORTRANGE(""https://docs.google.com/spreadsheets/d/11923uPwbBZFjjGgGUA6NLw09EwE0CqkOc4q9oUmW1yo/edit?usp=sharing"",""น่าน!I62"")"),0)</f>
        <v>0</v>
      </c>
      <c r="J132" s="205">
        <f ca="1">IFERROR(__xludf.DUMMYFUNCTION("IMPORTRANGE(""https://docs.google.com/spreadsheets/d/11923uPwbBZFjjGgGUA6NLw09EwE0CqkOc4q9oUmW1yo/edit?usp=sharing"",""น่าน!J62"")"),0)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IFERROR(__xludf.DUMMYFUNCTION("IMPORTRANGE(""https://docs.google.com/spreadsheets/d/11923uPwbBZFjjGgGUA6NLw09EwE0CqkOc4q9oUmW1yo/edit?usp=sharing"",""น่าน!I63"")"),0)</f>
        <v>0</v>
      </c>
      <c r="J133" s="205">
        <f ca="1">IFERROR(__xludf.DUMMYFUNCTION("IMPORTRANGE(""https://docs.google.com/spreadsheets/d/11923uPwbBZFjjGgGUA6NLw09EwE0CqkOc4q9oUmW1yo/edit?usp=sharing"",""น่าน!J63"")"),0)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IFERROR(__xludf.DUMMYFUNCTION("IMPORTRANGE(""https://docs.google.com/spreadsheets/d/11923uPwbBZFjjGgGUA6NLw09EwE0CqkOc4q9oUmW1yo/edit?usp=sharing"",""น่าน!J64"")"),0)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IFERROR(__xludf.DUMMYFUNCTION("IMPORTRANGE(""https://docs.google.com/spreadsheets/d/11923uPwbBZFjjGgGUA6NLw09EwE0CqkOc4q9oUmW1yo/edit?usp=sharing"",""น่าน!J65"")"),0)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IFERROR(__xludf.DUMMYFUNCTION("IMPORTRANGE(""https://docs.google.com/spreadsheets/d/11923uPwbBZFjjGgGUA6NLw09EwE0CqkOc4q9oUmW1yo/edit?usp=sharing"",""น่าน!I68"")"),90)</f>
        <v>90</v>
      </c>
      <c r="J138" s="268">
        <f ca="1">IFERROR(__xludf.DUMMYFUNCTION("IMPORTRANGE(""https://docs.google.com/spreadsheets/d/11923uPwbBZFjjGgGUA6NLw09EwE0CqkOc4q9oUmW1yo/edit?usp=sharing"",""น่าน!J68"")"),90)</f>
        <v>90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815200</v>
      </c>
      <c r="M140" s="154">
        <f t="shared" ca="1" si="64"/>
        <v>664325</v>
      </c>
      <c r="N140" s="154">
        <f t="shared" ca="1" si="64"/>
        <v>407326.52</v>
      </c>
      <c r="O140" s="153">
        <f t="shared" ref="O140:O142" ca="1" si="65">IF(L140&gt;0,N140*100/L140,0)</f>
        <v>49.966452404317955</v>
      </c>
      <c r="P140" s="153">
        <f t="shared" ref="P140:P142" ca="1" si="66">IF(M140&gt;0,N140*100/M140,0)</f>
        <v>61.314344635532308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815200</v>
      </c>
      <c r="M142" s="90">
        <f t="shared" ca="1" si="68"/>
        <v>664325</v>
      </c>
      <c r="N142" s="90">
        <f t="shared" ca="1" si="68"/>
        <v>407326.52</v>
      </c>
      <c r="O142" s="158">
        <f t="shared" ca="1" si="65"/>
        <v>49.966452404317955</v>
      </c>
      <c r="P142" s="158">
        <f t="shared" ca="1" si="66"/>
        <v>61.314344635532308</v>
      </c>
    </row>
    <row r="143" spans="1:16" ht="21.75" customHeight="1">
      <c r="A143" s="159"/>
      <c r="B143" s="160"/>
      <c r="C143" s="160" t="s">
        <v>16</v>
      </c>
      <c r="D143" s="570" t="s">
        <v>20</v>
      </c>
      <c r="E143" s="565"/>
      <c r="F143" s="565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815200</v>
      </c>
      <c r="M144" s="169">
        <f ca="1">IFERROR(__xludf.DUMMYFUNCTION("IMPORTRANGE(""https://docs.google.com/spreadsheets/d/1Yj_ptqi66GCucihVvJfMjLAmec39IyEx_6qawtMGysU/edit?usp=sharing"",""สบก!BJ25"")"),664325)</f>
        <v>664325</v>
      </c>
      <c r="N144" s="170">
        <f ca="1">IFERROR(__xludf.DUMMYFUNCTION("IMPORTRANGE(""https://docs.google.com/spreadsheets/d/1Yj_ptqi66GCucihVvJfMjLAmec39IyEx_6qawtMGysU/edit?usp=sharing"",""สบก!BK25"")"),407326.52)</f>
        <v>407326.52</v>
      </c>
      <c r="O144" s="170">
        <f ca="1">IF(L144&gt;0,N144*100/L144,0)</f>
        <v>49.966452404317955</v>
      </c>
      <c r="P144" s="170">
        <f ca="1">IF(M144&gt;0,N144*100/M144,0)</f>
        <v>61.314344635532308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IFERROR(__xludf.DUMMYFUNCTION("IMPORTRANGE(""https://docs.google.com/spreadsheets/d/1Yj_ptqi66GCucihVvJfMjLAmec39IyEx_6qawtMGysU/edit?usp=sharing"",""สบก!BF25"")"),315900)</f>
        <v>315900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IFERROR(__xludf.DUMMYFUNCTION("IMPORTRANGE(""https://docs.google.com/spreadsheets/d/1Yj_ptqi66GCucihVvJfMjLAmec39IyEx_6qawtMGysU/edit?usp=sharing"",""สบก!BG25"")"),499300)</f>
        <v>499300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IFERROR(__xludf.DUMMYFUNCTION("IMPORTRANGE(""https://docs.google.com/spreadsheets/d/1Yj_ptqi66GCucihVvJfMjLAmec39IyEx_6qawtMGysU/edit?usp=sharing"",""สบก!BH25"")"),0)</f>
        <v>0</v>
      </c>
      <c r="M148" s="52"/>
      <c r="N148" s="52">
        <f ca="1">IFERROR(__xludf.DUMMYFUNCTION("IMPORTRANGE(""https://docs.google.com/spreadsheets/d/1Yj_ptqi66GCucihVvJfMjLAmec39IyEx_6qawtMGysU/edit?usp=sharing"",""สบก!BL25"")"),0)</f>
        <v>0</v>
      </c>
      <c r="O148" s="52">
        <f ca="1">IF(L148&gt;0,N148*100/L148,0)</f>
        <v>0</v>
      </c>
      <c r="P148" s="52"/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IFERROR(__xludf.DUMMYFUNCTION("IMPORTRANGE(""https://docs.google.com/spreadsheets/d/11923uPwbBZFjjGgGUA6NLw09EwE0CqkOc4q9oUmW1yo/edit?usp=sharing"",""น่าน!I74"")"),4)</f>
        <v>4</v>
      </c>
      <c r="J149" s="276">
        <f ca="1">IFERROR(__xludf.DUMMYFUNCTION("IMPORTRANGE(""https://docs.google.com/spreadsheets/d/11923uPwbBZFjjGgGUA6NLw09EwE0CqkOc4q9oUmW1yo/edit?usp=sharing"",""น่าน!J74"")"),2)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IFERROR(__xludf.DUMMYFUNCTION("IMPORTRANGE(""https://docs.google.com/spreadsheets/d/11923uPwbBZFjjGgGUA6NLw09EwE0CqkOc4q9oUmW1yo/edit?usp=sharing"",""น่าน!J79"")"),0)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IFERROR(__xludf.DUMMYFUNCTION("IMPORTRANGE(""https://docs.google.com/spreadsheets/d/11923uPwbBZFjjGgGUA6NLw09EwE0CqkOc4q9oUmW1yo/edit?usp=sharing"",""น่าน!J80"")"),1)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IFERROR(__xludf.DUMMYFUNCTION("IMPORTRANGE(""https://docs.google.com/spreadsheets/d/11923uPwbBZFjjGgGUA6NLw09EwE0CqkOc4q9oUmW1yo/edit?usp=sharing"",""น่าน!J81"")"),1)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IFERROR(__xludf.DUMMYFUNCTION("IMPORTRANGE(""https://docs.google.com/spreadsheets/d/11923uPwbBZFjjGgGUA6NLw09EwE0CqkOc4q9oUmW1yo/edit?usp=sharing"",""น่าน!J82"")"),1)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IFERROR(__xludf.DUMMYFUNCTION("IMPORTRANGE(""https://docs.google.com/spreadsheets/d/11923uPwbBZFjjGgGUA6NLw09EwE0CqkOc4q9oUmW1yo/edit?usp=sharing"",""น่าน!I83"")"),4)</f>
        <v>4</v>
      </c>
      <c r="J158" s="190">
        <f ca="1">IFERROR(__xludf.DUMMYFUNCTION("IMPORTRANGE(""https://docs.google.com/spreadsheets/d/11923uPwbBZFjjGgGUA6NLw09EwE0CqkOc4q9oUmW1yo/edit?usp=sharing"",""น่าน!J83"")"),2)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IFERROR(__xludf.DUMMYFUNCTION("IMPORTRANGE(""https://docs.google.com/spreadsheets/d/11923uPwbBZFjjGgGUA6NLw09EwE0CqkOc4q9oUmW1yo/edit?usp=sharing"",""น่าน!J84"")"),137)</f>
        <v>137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IFERROR(__xludf.DUMMYFUNCTION("IMPORTRANGE(""https://docs.google.com/spreadsheets/d/11923uPwbBZFjjGgGUA6NLw09EwE0CqkOc4q9oUmW1yo/edit?usp=sharing"",""น่าน!J85"")"),137)</f>
        <v>137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IFERROR(__xludf.DUMMYFUNCTION("IMPORTRANGE(""https://docs.google.com/spreadsheets/d/11923uPwbBZFjjGgGUA6NLw09EwE0CqkOc4q9oUmW1yo/edit?usp=sharing"",""น่าน!J86"")"),0)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IFERROR(__xludf.DUMMYFUNCTION("IMPORTRANGE(""https://docs.google.com/spreadsheets/d/11923uPwbBZFjjGgGUA6NLw09EwE0CqkOc4q9oUmW1yo/edit?usp=sharing"",""น่าน!J87"")"),0)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IFERROR(__xludf.DUMMYFUNCTION("IMPORTRANGE(""https://docs.google.com/spreadsheets/d/11923uPwbBZFjjGgGUA6NLw09EwE0CqkOc4q9oUmW1yo/edit?usp=sharing"",""น่าน!J88"")"),0)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IFERROR(__xludf.DUMMYFUNCTION("IMPORTRANGE(""https://docs.google.com/spreadsheets/d/11923uPwbBZFjjGgGUA6NLw09EwE0CqkOc4q9oUmW1yo/edit?usp=sharing"",""น่าน!I89"")"),4)</f>
        <v>4</v>
      </c>
      <c r="J164" s="285">
        <f ca="1">IFERROR(__xludf.DUMMYFUNCTION("IMPORTRANGE(""https://docs.google.com/spreadsheets/d/11923uPwbBZFjjGgGUA6NLw09EwE0CqkOc4q9oUmW1yo/edit?usp=sharing"",""น่าน!J89"")"),4)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IFERROR(__xludf.DUMMYFUNCTION("IMPORTRANGE(""https://docs.google.com/spreadsheets/d/11923uPwbBZFjjGgGUA6NLw09EwE0CqkOc4q9oUmW1yo/edit?usp=sharing"",""น่าน!J94"")"),0)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IFERROR(__xludf.DUMMYFUNCTION("IMPORTRANGE(""https://docs.google.com/spreadsheets/d/11923uPwbBZFjjGgGUA6NLw09EwE0CqkOc4q9oUmW1yo/edit?usp=sharing"",""น่าน!J95"")"),1)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IFERROR(__xludf.DUMMYFUNCTION("IMPORTRANGE(""https://docs.google.com/spreadsheets/d/11923uPwbBZFjjGgGUA6NLw09EwE0CqkOc4q9oUmW1yo/edit?usp=sharing"",""น่าน!J96"")"),1)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IFERROR(__xludf.DUMMYFUNCTION("IMPORTRANGE(""https://docs.google.com/spreadsheets/d/11923uPwbBZFjjGgGUA6NLw09EwE0CqkOc4q9oUmW1yo/edit?usp=sharing"",""น่าน!J97"")"),1)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IFERROR(__xludf.DUMMYFUNCTION("IMPORTRANGE(""https://docs.google.com/spreadsheets/d/11923uPwbBZFjjGgGUA6NLw09EwE0CqkOc4q9oUmW1yo/edit?usp=sharing"",""น่าน!I98"")"),4)</f>
        <v>4</v>
      </c>
      <c r="J173" s="190">
        <f ca="1">IFERROR(__xludf.DUMMYFUNCTION("IMPORTRANGE(""https://docs.google.com/spreadsheets/d/11923uPwbBZFjjGgGUA6NLw09EwE0CqkOc4q9oUmW1yo/edit?usp=sharing"",""น่าน!J98"")"),4)</f>
        <v>4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IFERROR(__xludf.DUMMYFUNCTION("IMPORTRANGE(""https://docs.google.com/spreadsheets/d/11923uPwbBZFjjGgGUA6NLw09EwE0CqkOc4q9oUmW1yo/edit?usp=sharing"",""น่าน!J99"")"),0)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IFERROR(__xludf.DUMMYFUNCTION("IMPORTRANGE(""https://docs.google.com/spreadsheets/d/11923uPwbBZFjjGgGUA6NLw09EwE0CqkOc4q9oUmW1yo/edit?usp=sharing"",""น่าน!J100"")"),0)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IFERROR(__xludf.DUMMYFUNCTION("IMPORTRANGE(""https://docs.google.com/spreadsheets/d/11923uPwbBZFjjGgGUA6NLw09EwE0CqkOc4q9oUmW1yo/edit?usp=sharing"",""น่าน!I101"")"),0)</f>
        <v>0</v>
      </c>
      <c r="J176" s="285">
        <f ca="1">IFERROR(__xludf.DUMMYFUNCTION("IMPORTRANGE(""https://docs.google.com/spreadsheets/d/11923uPwbBZFjjGgGUA6NLw09EwE0CqkOc4q9oUmW1yo/edit?usp=sharing"",""น่าน!J101"")"),0)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IFERROR(__xludf.DUMMYFUNCTION("IMPORTRANGE(""https://docs.google.com/spreadsheets/d/11923uPwbBZFjjGgGUA6NLw09EwE0CqkOc4q9oUmW1yo/edit?usp=sharing"",""น่าน!J106"")"),0)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IFERROR(__xludf.DUMMYFUNCTION("IMPORTRANGE(""https://docs.google.com/spreadsheets/d/11923uPwbBZFjjGgGUA6NLw09EwE0CqkOc4q9oUmW1yo/edit?usp=sharing"",""น่าน!J107"")"),0)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IFERROR(__xludf.DUMMYFUNCTION("IMPORTRANGE(""https://docs.google.com/spreadsheets/d/11923uPwbBZFjjGgGUA6NLw09EwE0CqkOc4q9oUmW1yo/edit?usp=sharing"",""น่าน!J108"")"),0)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IFERROR(__xludf.DUMMYFUNCTION("IMPORTRANGE(""https://docs.google.com/spreadsheets/d/11923uPwbBZFjjGgGUA6NLw09EwE0CqkOc4q9oUmW1yo/edit?usp=sharing"",""น่าน!J109"")"),0)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IFERROR(__xludf.DUMMYFUNCTION("IMPORTRANGE(""https://docs.google.com/spreadsheets/d/11923uPwbBZFjjGgGUA6NLw09EwE0CqkOc4q9oUmW1yo/edit?usp=sharing"",""น่าน!I110"")"),0)</f>
        <v>0</v>
      </c>
      <c r="J185" s="205">
        <f ca="1">IFERROR(__xludf.DUMMYFUNCTION("IMPORTRANGE(""https://docs.google.com/spreadsheets/d/11923uPwbBZFjjGgGUA6NLw09EwE0CqkOc4q9oUmW1yo/edit?usp=sharing"",""น่าน!J110"")"),0)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IFERROR(__xludf.DUMMYFUNCTION("IMPORTRANGE(""https://docs.google.com/spreadsheets/d/11923uPwbBZFjjGgGUA6NLw09EwE0CqkOc4q9oUmW1yo/edit?usp=sharing"",""น่าน!I111"")"),0)</f>
        <v>0</v>
      </c>
      <c r="J186" s="205">
        <f ca="1">IFERROR(__xludf.DUMMYFUNCTION("IMPORTRANGE(""https://docs.google.com/spreadsheets/d/11923uPwbBZFjjGgGUA6NLw09EwE0CqkOc4q9oUmW1yo/edit?usp=sharing"",""น่าน!J111"")"),0)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IFERROR(__xludf.DUMMYFUNCTION("IMPORTRANGE(""https://docs.google.com/spreadsheets/d/11923uPwbBZFjjGgGUA6NLw09EwE0CqkOc4q9oUmW1yo/edit?usp=sharing"",""น่าน!J112"")"),0)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IFERROR(__xludf.DUMMYFUNCTION("IMPORTRANGE(""https://docs.google.com/spreadsheets/d/11923uPwbBZFjjGgGUA6NLw09EwE0CqkOc4q9oUmW1yo/edit?usp=sharing"",""น่าน!J113"")"),0)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IFERROR(__xludf.DUMMYFUNCTION("IMPORTRANGE(""https://docs.google.com/spreadsheets/d/11923uPwbBZFjjGgGUA6NLw09EwE0CqkOc4q9oUmW1yo/edit?usp=sharing"",""น่าน!I114"")"),50000)</f>
        <v>50000</v>
      </c>
      <c r="J189" s="285">
        <f ca="1">IFERROR(__xludf.DUMMYFUNCTION("IMPORTRANGE(""https://docs.google.com/spreadsheets/d/11923uPwbBZFjjGgGUA6NLw09EwE0CqkOc4q9oUmW1yo/edit?usp=sharing"",""น่าน!J114"")"),0)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IFERROR(__xludf.DUMMYFUNCTION("IMPORTRANGE(""https://docs.google.com/spreadsheets/d/11923uPwbBZFjjGgGUA6NLw09EwE0CqkOc4q9oUmW1yo/edit?usp=sharing"",""น่าน!J119"")"),1)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IFERROR(__xludf.DUMMYFUNCTION("IMPORTRANGE(""https://docs.google.com/spreadsheets/d/11923uPwbBZFjjGgGUA6NLw09EwE0CqkOc4q9oUmW1yo/edit?usp=sharing"",""น่าน!J120"")"),0)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IFERROR(__xludf.DUMMYFUNCTION("IMPORTRANGE(""https://docs.google.com/spreadsheets/d/11923uPwbBZFjjGgGUA6NLw09EwE0CqkOc4q9oUmW1yo/edit?usp=sharing"",""น่าน!J121"")"),0)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IFERROR(__xludf.DUMMYFUNCTION("IMPORTRANGE(""https://docs.google.com/spreadsheets/d/11923uPwbBZFjjGgGUA6NLw09EwE0CqkOc4q9oUmW1yo/edit?usp=sharing"",""น่าน!J122"")"),0)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IFERROR(__xludf.DUMMYFUNCTION("IMPORTRANGE(""https://docs.google.com/spreadsheets/d/11923uPwbBZFjjGgGUA6NLw09EwE0CqkOc4q9oUmW1yo/edit?usp=sharing"",""น่าน!I124"")"),50000)</f>
        <v>50000</v>
      </c>
      <c r="J199" s="190">
        <f ca="1">IFERROR(__xludf.DUMMYFUNCTION("IMPORTRANGE(""https://docs.google.com/spreadsheets/d/11923uPwbBZFjjGgGUA6NLw09EwE0CqkOc4q9oUmW1yo/edit?usp=sharing"",""น่าน!J124"")"),0)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IFERROR(__xludf.DUMMYFUNCTION("IMPORTRANGE(""https://docs.google.com/spreadsheets/d/11923uPwbBZFjjGgGUA6NLw09EwE0CqkOc4q9oUmW1yo/edit?usp=sharing"",""น่าน!I125"")"),50000)</f>
        <v>50000</v>
      </c>
      <c r="J200" s="190">
        <f ca="1">IFERROR(__xludf.DUMMYFUNCTION("IMPORTRANGE(""https://docs.google.com/spreadsheets/d/11923uPwbBZFjjGgGUA6NLw09EwE0CqkOc4q9oUmW1yo/edit?usp=sharing"",""น่าน!J125"")"),0)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IFERROR(__xludf.DUMMYFUNCTION("IMPORTRANGE(""https://docs.google.com/spreadsheets/d/11923uPwbBZFjjGgGUA6NLw09EwE0CqkOc4q9oUmW1yo/edit?usp=sharing"",""น่าน!I126"")"),0)</f>
        <v>0</v>
      </c>
      <c r="J201" s="190">
        <f ca="1">IFERROR(__xludf.DUMMYFUNCTION("IMPORTRANGE(""https://docs.google.com/spreadsheets/d/11923uPwbBZFjjGgGUA6NLw09EwE0CqkOc4q9oUmW1yo/edit?usp=sharing"",""น่าน!J126"")"),0)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IFERROR(__xludf.DUMMYFUNCTION("IMPORTRANGE(""https://docs.google.com/spreadsheets/d/11923uPwbBZFjjGgGUA6NLw09EwE0CqkOc4q9oUmW1yo/edit?usp=sharing"",""น่าน!J127"")"),0)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IFERROR(__xludf.DUMMYFUNCTION("IMPORTRANGE(""https://docs.google.com/spreadsheets/d/11923uPwbBZFjjGgGUA6NLw09EwE0CqkOc4q9oUmW1yo/edit?usp=sharing"",""น่าน!J128"")"),0)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IFERROR(__xludf.DUMMYFUNCTION("IMPORTRANGE(""https://docs.google.com/spreadsheets/d/11923uPwbBZFjjGgGUA6NLw09EwE0CqkOc4q9oUmW1yo/edit?usp=sharing"",""น่าน!I129"")"),90)</f>
        <v>90</v>
      </c>
      <c r="J204" s="285">
        <f ca="1">IFERROR(__xludf.DUMMYFUNCTION("IMPORTRANGE(""https://docs.google.com/spreadsheets/d/11923uPwbBZFjjGgGUA6NLw09EwE0CqkOc4q9oUmW1yo/edit?usp=sharing"",""น่าน!J129"")"),90)</f>
        <v>90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IFERROR(__xludf.DUMMYFUNCTION("IMPORTRANGE(""https://docs.google.com/spreadsheets/d/11923uPwbBZFjjGgGUA6NLw09EwE0CqkOc4q9oUmW1yo/edit?usp=sharing"",""น่าน!J134"")"),0)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IFERROR(__xludf.DUMMYFUNCTION("IMPORTRANGE(""https://docs.google.com/spreadsheets/d/11923uPwbBZFjjGgGUA6NLw09EwE0CqkOc4q9oUmW1yo/edit?usp=sharing"",""น่าน!J135"")"),1)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IFERROR(__xludf.DUMMYFUNCTION("IMPORTRANGE(""https://docs.google.com/spreadsheets/d/11923uPwbBZFjjGgGUA6NLw09EwE0CqkOc4q9oUmW1yo/edit?usp=sharing"",""น่าน!J136"")"),1)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IFERROR(__xludf.DUMMYFUNCTION("IMPORTRANGE(""https://docs.google.com/spreadsheets/d/11923uPwbBZFjjGgGUA6NLw09EwE0CqkOc4q9oUmW1yo/edit?usp=sharing"",""น่าน!J137"")"),1)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IFERROR(__xludf.DUMMYFUNCTION("IMPORTRANGE(""https://docs.google.com/spreadsheets/d/11923uPwbBZFjjGgGUA6NLw09EwE0CqkOc4q9oUmW1yo/edit?usp=sharing"",""น่าน!I138"")"),90)</f>
        <v>90</v>
      </c>
      <c r="J213" s="205">
        <f ca="1">IFERROR(__xludf.DUMMYFUNCTION("IMPORTRANGE(""https://docs.google.com/spreadsheets/d/11923uPwbBZFjjGgGUA6NLw09EwE0CqkOc4q9oUmW1yo/edit?usp=sharing"",""น่าน!J138"")"),90)</f>
        <v>90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IFERROR(__xludf.DUMMYFUNCTION("IMPORTRANGE(""https://docs.google.com/spreadsheets/d/11923uPwbBZFjjGgGUA6NLw09EwE0CqkOc4q9oUmW1yo/edit?usp=sharing"",""น่าน!I140"")"),90)</f>
        <v>90</v>
      </c>
      <c r="J215" s="205">
        <f ca="1">IFERROR(__xludf.DUMMYFUNCTION("IMPORTRANGE(""https://docs.google.com/spreadsheets/d/11923uPwbBZFjjGgGUA6NLw09EwE0CqkOc4q9oUmW1yo/edit?usp=sharing"",""น่าน!J140"")"),0)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IFERROR(__xludf.DUMMYFUNCTION("IMPORTRANGE(""https://docs.google.com/spreadsheets/d/11923uPwbBZFjjGgGUA6NLw09EwE0CqkOc4q9oUmW1yo/edit?usp=sharing"",""น่าน!I141"")"),4)</f>
        <v>4</v>
      </c>
      <c r="J216" s="205">
        <f ca="1">IFERROR(__xludf.DUMMYFUNCTION("IMPORTRANGE(""https://docs.google.com/spreadsheets/d/11923uPwbBZFjjGgGUA6NLw09EwE0CqkOc4q9oUmW1yo/edit?usp=sharing"",""น่าน!J141"")"),0)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IFERROR(__xludf.DUMMYFUNCTION("IMPORTRANGE(""https://docs.google.com/spreadsheets/d/11923uPwbBZFjjGgGUA6NLw09EwE0CqkOc4q9oUmW1yo/edit?usp=sharing"",""น่าน!J142"")"),0)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IFERROR(__xludf.DUMMYFUNCTION("IMPORTRANGE(""https://docs.google.com/spreadsheets/d/11923uPwbBZFjjGgGUA6NLw09EwE0CqkOc4q9oUmW1yo/edit?usp=sharing"",""น่าน!J143"")"),0)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IFERROR(__xludf.DUMMYFUNCTION("IMPORTRANGE(""https://docs.google.com/spreadsheets/d/11923uPwbBZFjjGgGUA6NLw09EwE0CqkOc4q9oUmW1yo/edit?usp=sharing"",""น่าน!I144"")"),15)</f>
        <v>15</v>
      </c>
      <c r="J219" s="268">
        <f ca="1">IFERROR(__xludf.DUMMYFUNCTION("IMPORTRANGE(""https://docs.google.com/spreadsheets/d/11923uPwbBZFjjGgGUA6NLw09EwE0CqkOc4q9oUmW1yo/edit?usp=sharing"",""น่าน!J144"")"),15)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19556</v>
      </c>
      <c r="O220" s="153">
        <f t="shared" ref="O220:O222" ca="1" si="73">IF(L220&gt;0,N220*100/L220,0)</f>
        <v>92.572781065088762</v>
      </c>
      <c r="P220" s="153">
        <f t="shared" ref="P220:P222" ca="1" si="74">IF(M220&gt;0,N220*100/M220,0)</f>
        <v>92.572781065088762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21125</v>
      </c>
      <c r="M222" s="90">
        <f t="shared" ca="1" si="76"/>
        <v>21125</v>
      </c>
      <c r="N222" s="90">
        <f t="shared" ca="1" si="76"/>
        <v>19556</v>
      </c>
      <c r="O222" s="158">
        <f t="shared" ca="1" si="73"/>
        <v>92.572781065088762</v>
      </c>
      <c r="P222" s="158">
        <f t="shared" ca="1" si="74"/>
        <v>92.572781065088762</v>
      </c>
    </row>
    <row r="223" spans="1:16" ht="21.75" customHeight="1">
      <c r="A223" s="159"/>
      <c r="B223" s="160"/>
      <c r="C223" s="160" t="s">
        <v>16</v>
      </c>
      <c r="D223" s="570" t="s">
        <v>20</v>
      </c>
      <c r="E223" s="565"/>
      <c r="F223" s="565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IFERROR(__xludf.DUMMYFUNCTION("IMPORTRANGE(""https://docs.google.com/spreadsheets/d/1Yj_ptqi66GCucihVvJfMjLAmec39IyEx_6qawtMGysU/edit?usp=sharing"",""สบก!BS25"")"),21125)</f>
        <v>21125</v>
      </c>
      <c r="N224" s="170">
        <f ca="1">IFERROR(__xludf.DUMMYFUNCTION("IMPORTRANGE(""https://docs.google.com/spreadsheets/d/1Yj_ptqi66GCucihVvJfMjLAmec39IyEx_6qawtMGysU/edit?usp=sharing"",""สบก!BT25"")"),19556)</f>
        <v>19556</v>
      </c>
      <c r="O224" s="170">
        <f ca="1">IF(L224&gt;0,N224*100/L224,0)</f>
        <v>92.572781065088762</v>
      </c>
      <c r="P224" s="170">
        <f ca="1">IF(M224&gt;0,N224*100/M224,0)</f>
        <v>92.572781065088762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IFERROR(__xludf.DUMMYFUNCTION("IMPORTRANGE(""https://docs.google.com/spreadsheets/d/1Yj_ptqi66GCucihVvJfMjLAmec39IyEx_6qawtMGysU/edit?usp=sharing"",""สบก!BO25"")"),0)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IFERROR(__xludf.DUMMYFUNCTION("IMPORTRANGE(""https://docs.google.com/spreadsheets/d/1Yj_ptqi66GCucihVvJfMjLAmec39IyEx_6qawtMGysU/edit?usp=sharing"",""สบก!BP25"")"),21125)</f>
        <v>21125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IFERROR(__xludf.DUMMYFUNCTION("IMPORTRANGE(""https://docs.google.com/spreadsheets/d/1Yj_ptqi66GCucihVvJfMjLAmec39IyEx_6qawtMGysU/edit?usp=sharing"",""สบก!BQ25"")"),0)</f>
        <v>0</v>
      </c>
      <c r="M228" s="52"/>
      <c r="N228" s="52">
        <f ca="1">IFERROR(__xludf.DUMMYFUNCTION("IMPORTRANGE(""https://docs.google.com/spreadsheets/d/1Yj_ptqi66GCucihVvJfMjLAmec39IyEx_6qawtMGysU/edit?usp=sharing"",""สบก!BU25"")"),0)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IFERROR(__xludf.DUMMYFUNCTION("IMPORTRANGE(""https://docs.google.com/spreadsheets/d/11923uPwbBZFjjGgGUA6NLw09EwE0CqkOc4q9oUmW1yo/edit?usp=sharing"",""น่าน!I149"")"),15)</f>
        <v>15</v>
      </c>
      <c r="J229" s="268">
        <f ca="1">IFERROR(__xludf.DUMMYFUNCTION("IMPORTRANGE(""https://docs.google.com/spreadsheets/d/11923uPwbBZFjjGgGUA6NLw09EwE0CqkOc4q9oUmW1yo/edit?usp=sharing"",""น่าน!J149"")"),15)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IFERROR(__xludf.DUMMYFUNCTION("IMPORTRANGE(""https://docs.google.com/spreadsheets/d/11923uPwbBZFjjGgGUA6NLw09EwE0CqkOc4q9oUmW1yo/edit?usp=sharing"",""น่าน!J151"")"),0)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IFERROR(__xludf.DUMMYFUNCTION("IMPORTRANGE(""https://docs.google.com/spreadsheets/d/11923uPwbBZFjjGgGUA6NLw09EwE0CqkOc4q9oUmW1yo/edit?usp=sharing"",""น่าน!J152"")"),1)</f>
        <v>1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IFERROR(__xludf.DUMMYFUNCTION("IMPORTRANGE(""https://docs.google.com/spreadsheets/d/11923uPwbBZFjjGgGUA6NLw09EwE0CqkOc4q9oUmW1yo/edit?usp=sharing"",""น่าน!J153"")"),1)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IFERROR(__xludf.DUMMYFUNCTION("IMPORTRANGE(""https://docs.google.com/spreadsheets/d/11923uPwbBZFjjGgGUA6NLw09EwE0CqkOc4q9oUmW1yo/edit?usp=sharing"",""น่าน!J154"")"),1)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IFERROR(__xludf.DUMMYFUNCTION("IMPORTRANGE(""https://docs.google.com/spreadsheets/d/11923uPwbBZFjjGgGUA6NLw09EwE0CqkOc4q9oUmW1yo/edit?usp=sharing"",""น่าน!I155"")"),15)</f>
        <v>15</v>
      </c>
      <c r="J235" s="190">
        <f ca="1">IFERROR(__xludf.DUMMYFUNCTION("IMPORTRANGE(""https://docs.google.com/spreadsheets/d/11923uPwbBZFjjGgGUA6NLw09EwE0CqkOc4q9oUmW1yo/edit?usp=sharing"",""น่าน!J155"")"),15)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IFERROR(__xludf.DUMMYFUNCTION("IMPORTRANGE(""https://docs.google.com/spreadsheets/d/11923uPwbBZFjjGgGUA6NLw09EwE0CqkOc4q9oUmW1yo/edit?usp=sharing"",""น่าน!J156"")"),1)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IFERROR(__xludf.DUMMYFUNCTION("IMPORTRANGE(""https://docs.google.com/spreadsheets/d/11923uPwbBZFjjGgGUA6NLw09EwE0CqkOc4q9oUmW1yo/edit?usp=sharing"",""น่าน!J157"")"),0)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IFERROR(__xludf.DUMMYFUNCTION("IMPORTRANGE(""https://docs.google.com/spreadsheets/d/11923uPwbBZFjjGgGUA6NLw09EwE0CqkOc4q9oUmW1yo/edit?usp=sharing"",""น่าน!I158"")"),0)</f>
        <v>0</v>
      </c>
      <c r="J238" s="268">
        <f ca="1">IFERROR(__xludf.DUMMYFUNCTION("IMPORTRANGE(""https://docs.google.com/spreadsheets/d/11923uPwbBZFjjGgGUA6NLw09EwE0CqkOc4q9oUmW1yo/edit?usp=sharing"",""น่าน!J158"")"),0)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IFERROR(__xludf.DUMMYFUNCTION("IMPORTRANGE(""https://docs.google.com/spreadsheets/d/11923uPwbBZFjjGgGUA6NLw09EwE0CqkOc4q9oUmW1yo/edit?usp=sharing"",""น่าน!J159"")"),"")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IFERROR(__xludf.DUMMYFUNCTION("IMPORTRANGE(""https://docs.google.com/spreadsheets/d/11923uPwbBZFjjGgGUA6NLw09EwE0CqkOc4q9oUmW1yo/edit?usp=sharing"",""น่าน!J161"")"),0)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IFERROR(__xludf.DUMMYFUNCTION("IMPORTRANGE(""https://docs.google.com/spreadsheets/d/11923uPwbBZFjjGgGUA6NLw09EwE0CqkOc4q9oUmW1yo/edit?usp=sharing"",""น่าน!J162"")"),0)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IFERROR(__xludf.DUMMYFUNCTION("IMPORTRANGE(""https://docs.google.com/spreadsheets/d/11923uPwbBZFjjGgGUA6NLw09EwE0CqkOc4q9oUmW1yo/edit?usp=sharing"",""น่าน!J163"")"),0)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IFERROR(__xludf.DUMMYFUNCTION("IMPORTRANGE(""https://docs.google.com/spreadsheets/d/11923uPwbBZFjjGgGUA6NLw09EwE0CqkOc4q9oUmW1yo/edit?usp=sharing"",""น่าน!I164"")"),0)</f>
        <v>0</v>
      </c>
      <c r="J244" s="189">
        <f ca="1">IFERROR(__xludf.DUMMYFUNCTION("IMPORTRANGE(""https://docs.google.com/spreadsheets/d/11923uPwbBZFjjGgGUA6NLw09EwE0CqkOc4q9oUmW1yo/edit?usp=sharing"",""น่าน!J164"")"),0)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IFERROR(__xludf.DUMMYFUNCTION("IMPORTRANGE(""https://docs.google.com/spreadsheets/d/11923uPwbBZFjjGgGUA6NLw09EwE0CqkOc4q9oUmW1yo/edit?usp=sharing"",""น่าน!J165"")"),0)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IFERROR(__xludf.DUMMYFUNCTION("IMPORTRANGE(""https://docs.google.com/spreadsheets/d/11923uPwbBZFjjGgGUA6NLw09EwE0CqkOc4q9oUmW1yo/edit?usp=sharing"",""น่าน!J166"")"),0)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IFERROR(__xludf.DUMMYFUNCTION("IMPORTRANGE(""https://docs.google.com/spreadsheets/d/11923uPwbBZFjjGgGUA6NLw09EwE0CqkOc4q9oUmW1yo/edit?usp=sharing"",""น่าน!I169"")"),0)</f>
        <v>0</v>
      </c>
      <c r="J249" s="317">
        <f ca="1">IFERROR(__xludf.DUMMYFUNCTION("IMPORTRANGE(""https://docs.google.com/spreadsheets/d/11923uPwbBZFjjGgGUA6NLw09EwE0CqkOc4q9oUmW1yo/edit?usp=sharing"",""น่าน!J169"")"),0)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0</v>
      </c>
      <c r="M252" s="90">
        <f t="shared" ca="1" si="81"/>
        <v>0</v>
      </c>
      <c r="N252" s="90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59"/>
      <c r="B253" s="160"/>
      <c r="C253" s="160" t="s">
        <v>16</v>
      </c>
      <c r="D253" s="570" t="s">
        <v>20</v>
      </c>
      <c r="E253" s="565"/>
      <c r="F253" s="565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IFERROR(__xludf.DUMMYFUNCTION("IMPORTRANGE(""https://docs.google.com/spreadsheets/d/1Yj_ptqi66GCucihVvJfMjLAmec39IyEx_6qawtMGysU/edit?usp=sharing"",""สบก!CB25"")"),0)</f>
        <v>0</v>
      </c>
      <c r="N254" s="170">
        <f ca="1">IFERROR(__xludf.DUMMYFUNCTION("IMPORTRANGE(""https://docs.google.com/spreadsheets/d/1Yj_ptqi66GCucihVvJfMjLAmec39IyEx_6qawtMGysU/edit?usp=sharing"",""สบก!CC25"")"),0)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IFERROR(__xludf.DUMMYFUNCTION("IMPORTRANGE(""https://docs.google.com/spreadsheets/d/1Yj_ptqi66GCucihVvJfMjLAmec39IyEx_6qawtMGysU/edit?usp=sharing"",""สบก!BX25"")"),0)</f>
        <v>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IFERROR(__xludf.DUMMYFUNCTION("IMPORTRANGE(""https://docs.google.com/spreadsheets/d/1Yj_ptqi66GCucihVvJfMjLAmec39IyEx_6qawtMGysU/edit?usp=sharing"",""สบก!BY25"")"),0)</f>
        <v>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IFERROR(__xludf.DUMMYFUNCTION("IMPORTRANGE(""https://docs.google.com/spreadsheets/d/1Yj_ptqi66GCucihVvJfMjLAmec39IyEx_6qawtMGysU/edit?usp=sharing"",""สบก!BZ25"")"),0)</f>
        <v>0</v>
      </c>
      <c r="M258" s="52"/>
      <c r="N258" s="52">
        <f ca="1">IFERROR(__xludf.DUMMYFUNCTION("IMPORTRANGE(""https://docs.google.com/spreadsheets/d/1Yj_ptqi66GCucihVvJfMjLAmec39IyEx_6qawtMGysU/edit?usp=sharing"",""สบก!CD25"")"),0)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IFERROR(__xludf.DUMMYFUNCTION("IMPORTRANGE(""https://docs.google.com/spreadsheets/d/11923uPwbBZFjjGgGUA6NLw09EwE0CqkOc4q9oUmW1yo/edit?usp=sharing"",""น่าน!J175"")"),0)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IFERROR(__xludf.DUMMYFUNCTION("IMPORTRANGE(""https://docs.google.com/spreadsheets/d/11923uPwbBZFjjGgGUA6NLw09EwE0CqkOc4q9oUmW1yo/edit?usp=sharing"",""น่าน!J176"")"),0)</f>
        <v>0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IFERROR(__xludf.DUMMYFUNCTION("IMPORTRANGE(""https://docs.google.com/spreadsheets/d/11923uPwbBZFjjGgGUA6NLw09EwE0CqkOc4q9oUmW1yo/edit?usp=sharing"",""น่าน!J177"")"),0)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IFERROR(__xludf.DUMMYFUNCTION("IMPORTRANGE(""https://docs.google.com/spreadsheets/d/11923uPwbBZFjjGgGUA6NLw09EwE0CqkOc4q9oUmW1yo/edit?usp=sharing"",""น่าน!J178"")"),0)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IFERROR(__xludf.DUMMYFUNCTION("IMPORTRANGE(""https://docs.google.com/spreadsheets/d/11923uPwbBZFjjGgGUA6NLw09EwE0CqkOc4q9oUmW1yo/edit?usp=sharing"",""น่าน!I179"")"),0)</f>
        <v>0</v>
      </c>
      <c r="J264" s="190">
        <f ca="1">IFERROR(__xludf.DUMMYFUNCTION("IMPORTRANGE(""https://docs.google.com/spreadsheets/d/11923uPwbBZFjjGgGUA6NLw09EwE0CqkOc4q9oUmW1yo/edit?usp=sharing"",""น่าน!J179"")"),0)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IFERROR(__xludf.DUMMYFUNCTION("IMPORTRANGE(""https://docs.google.com/spreadsheets/d/11923uPwbBZFjjGgGUA6NLw09EwE0CqkOc4q9oUmW1yo/edit?usp=sharing"",""น่าน!I180"")"),0)</f>
        <v>0</v>
      </c>
      <c r="J265" s="190">
        <f ca="1">IFERROR(__xludf.DUMMYFUNCTION("IMPORTRANGE(""https://docs.google.com/spreadsheets/d/11923uPwbBZFjjGgGUA6NLw09EwE0CqkOc4q9oUmW1yo/edit?usp=sharing"",""น่าน!J180"")"),0)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IFERROR(__xludf.DUMMYFUNCTION("IMPORTRANGE(""https://docs.google.com/spreadsheets/d/11923uPwbBZFjjGgGUA6NLw09EwE0CqkOc4q9oUmW1yo/edit?usp=sharing"",""น่าน!I181"")"),0)</f>
        <v>0</v>
      </c>
      <c r="J266" s="190">
        <f ca="1">IFERROR(__xludf.DUMMYFUNCTION("IMPORTRANGE(""https://docs.google.com/spreadsheets/d/11923uPwbBZFjjGgGUA6NLw09EwE0CqkOc4q9oUmW1yo/edit?usp=sharing"",""น่าน!J181"")"),0)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IFERROR(__xludf.DUMMYFUNCTION("IMPORTRANGE(""https://docs.google.com/spreadsheets/d/11923uPwbBZFjjGgGUA6NLw09EwE0CqkOc4q9oUmW1yo/edit?usp=sharing"",""น่าน!I182"")"),0)</f>
        <v>0</v>
      </c>
      <c r="J267" s="190">
        <f ca="1">IFERROR(__xludf.DUMMYFUNCTION("IMPORTRANGE(""https://docs.google.com/spreadsheets/d/11923uPwbBZFjjGgGUA6NLw09EwE0CqkOc4q9oUmW1yo/edit?usp=sharing"",""น่าน!J182"")"),0)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IFERROR(__xludf.DUMMYFUNCTION("IMPORTRANGE(""https://docs.google.com/spreadsheets/d/11923uPwbBZFjjGgGUA6NLw09EwE0CqkOc4q9oUmW1yo/edit?usp=sharing"",""น่าน!J183"")"),0)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IFERROR(__xludf.DUMMYFUNCTION("IMPORTRANGE(""https://docs.google.com/spreadsheets/d/11923uPwbBZFjjGgGUA6NLw09EwE0CqkOc4q9oUmW1yo/edit?usp=sharing"",""น่าน!J184"")"),0)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IFERROR(__xludf.DUMMYFUNCTION("IMPORTRANGE(""https://docs.google.com/spreadsheets/d/11923uPwbBZFjjGgGUA6NLw09EwE0CqkOc4q9oUmW1yo/edit?usp=sharing"",""น่าน!I185"")"),15)</f>
        <v>15</v>
      </c>
      <c r="J270" s="317">
        <f ca="1">IFERROR(__xludf.DUMMYFUNCTION("IMPORTRANGE(""https://docs.google.com/spreadsheets/d/11923uPwbBZFjjGgGUA6NLw09EwE0CqkOc4q9oUmW1yo/edit?usp=sharing"",""น่าน!J185"")"),15)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32250</v>
      </c>
      <c r="O271" s="153">
        <f t="shared" ref="O271:O273" ca="1" si="84">IF(L271&gt;0,N271*100/L271,0)</f>
        <v>58.423913043478258</v>
      </c>
      <c r="P271" s="153">
        <f t="shared" ref="P271:P273" ca="1" si="85">IF(M271&gt;0,N271*100/M271,0)</f>
        <v>100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55200</v>
      </c>
      <c r="M273" s="90">
        <f t="shared" ca="1" si="87"/>
        <v>32250</v>
      </c>
      <c r="N273" s="90">
        <f t="shared" ca="1" si="87"/>
        <v>32250</v>
      </c>
      <c r="O273" s="158">
        <f t="shared" ca="1" si="84"/>
        <v>58.423913043478258</v>
      </c>
      <c r="P273" s="158">
        <f t="shared" ca="1" si="85"/>
        <v>100</v>
      </c>
    </row>
    <row r="274" spans="1:16" ht="21.75" customHeight="1">
      <c r="A274" s="159"/>
      <c r="B274" s="160"/>
      <c r="C274" s="160" t="s">
        <v>16</v>
      </c>
      <c r="D274" s="570" t="s">
        <v>20</v>
      </c>
      <c r="E274" s="565"/>
      <c r="F274" s="565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IFERROR(__xludf.DUMMYFUNCTION("IMPORTRANGE(""https://docs.google.com/spreadsheets/d/1Yj_ptqi66GCucihVvJfMjLAmec39IyEx_6qawtMGysU/edit?usp=sharing"",""สบก!CK25"")"),32250)</f>
        <v>32250</v>
      </c>
      <c r="N275" s="170">
        <f ca="1">IFERROR(__xludf.DUMMYFUNCTION("IMPORTRANGE(""https://docs.google.com/spreadsheets/d/1Yj_ptqi66GCucihVvJfMjLAmec39IyEx_6qawtMGysU/edit?usp=sharing"",""สบก!CL25"")"),32250)</f>
        <v>32250</v>
      </c>
      <c r="O275" s="170">
        <f ca="1">IF(L275&gt;0,N275*100/L275,0)</f>
        <v>58.423913043478258</v>
      </c>
      <c r="P275" s="170">
        <f ca="1">IF(M275&gt;0,N275*100/M275,0)</f>
        <v>100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IFERROR(__xludf.DUMMYFUNCTION("IMPORTRANGE(""https://docs.google.com/spreadsheets/d/1Yj_ptqi66GCucihVvJfMjLAmec39IyEx_6qawtMGysU/edit?usp=sharing"",""สบก!CG25"")"),0)</f>
        <v>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IFERROR(__xludf.DUMMYFUNCTION("IMPORTRANGE(""https://docs.google.com/spreadsheets/d/1Yj_ptqi66GCucihVvJfMjLAmec39IyEx_6qawtMGysU/edit?usp=sharing"",""สบก!CH25"")"),55200)</f>
        <v>55200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IFERROR(__xludf.DUMMYFUNCTION("IMPORTRANGE(""https://docs.google.com/spreadsheets/d/1Yj_ptqi66GCucihVvJfMjLAmec39IyEx_6qawtMGysU/edit?usp=sharing"",""สบก!CI25"")"),0)</f>
        <v>0</v>
      </c>
      <c r="M279" s="52"/>
      <c r="N279" s="52">
        <f ca="1">IFERROR(__xludf.DUMMYFUNCTION("IMPORTRANGE(""https://docs.google.com/spreadsheets/d/1Yj_ptqi66GCucihVvJfMjLAmec39IyEx_6qawtMGysU/edit?usp=sharing"",""สบก!CM25"")"),0)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IFERROR(__xludf.DUMMYFUNCTION("IMPORTRANGE(""https://docs.google.com/spreadsheets/d/11923uPwbBZFjjGgGUA6NLw09EwE0CqkOc4q9oUmW1yo/edit?usp=sharing"",""น่าน!J191"")"),0)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IFERROR(__xludf.DUMMYFUNCTION("IMPORTRANGE(""https://docs.google.com/spreadsheets/d/11923uPwbBZFjjGgGUA6NLw09EwE0CqkOc4q9oUmW1yo/edit?usp=sharing"",""น่าน!J192"")"),1)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IFERROR(__xludf.DUMMYFUNCTION("IMPORTRANGE(""https://docs.google.com/spreadsheets/d/11923uPwbBZFjjGgGUA6NLw09EwE0CqkOc4q9oUmW1yo/edit?usp=sharing"",""น่าน!J193"")"),1)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IFERROR(__xludf.DUMMYFUNCTION("IMPORTRANGE(""https://docs.google.com/spreadsheets/d/11923uPwbBZFjjGgGUA6NLw09EwE0CqkOc4q9oUmW1yo/edit?usp=sharing"",""น่าน!J194"")"),1)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IFERROR(__xludf.DUMMYFUNCTION("IMPORTRANGE(""https://docs.google.com/spreadsheets/d/11923uPwbBZFjjGgGUA6NLw09EwE0CqkOc4q9oUmW1yo/edit?usp=sharing"",""น่าน!I195"")"),15)</f>
        <v>15</v>
      </c>
      <c r="J285" s="190">
        <f ca="1">IFERROR(__xludf.DUMMYFUNCTION("IMPORTRANGE(""https://docs.google.com/spreadsheets/d/11923uPwbBZFjjGgGUA6NLw09EwE0CqkOc4q9oUmW1yo/edit?usp=sharing"",""น่าน!J195"")"),15)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IFERROR(__xludf.DUMMYFUNCTION("IMPORTRANGE(""https://docs.google.com/spreadsheets/d/11923uPwbBZFjjGgGUA6NLw09EwE0CqkOc4q9oUmW1yo/edit?usp=sharing"",""น่าน!J196"")"),0)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IFERROR(__xludf.DUMMYFUNCTION("IMPORTRANGE(""https://docs.google.com/spreadsheets/d/11923uPwbBZFjjGgGUA6NLw09EwE0CqkOc4q9oUmW1yo/edit?usp=sharing"",""น่าน!J197"")"),0)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IFERROR(__xludf.DUMMYFUNCTION("IMPORTRANGE(""https://docs.google.com/spreadsheets/d/11923uPwbBZFjjGgGUA6NLw09EwE0CqkOc4q9oUmW1yo/edit?usp=sharing"",""น่าน!I199"")"),0)</f>
        <v>0</v>
      </c>
      <c r="J289" s="317">
        <f ca="1">IFERROR(__xludf.DUMMYFUNCTION("IMPORTRANGE(""https://docs.google.com/spreadsheets/d/11923uPwbBZFjjGgGUA6NLw09EwE0CqkOc4q9oUmW1yo/edit?usp=sharing"",""น่าน!J199"")"),0)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0</v>
      </c>
      <c r="M292" s="90">
        <f t="shared" ca="1" si="92"/>
        <v>0</v>
      </c>
      <c r="N292" s="90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59"/>
      <c r="B293" s="160"/>
      <c r="C293" s="160" t="s">
        <v>16</v>
      </c>
      <c r="D293" s="570" t="s">
        <v>20</v>
      </c>
      <c r="E293" s="565"/>
      <c r="F293" s="565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IFERROR(__xludf.DUMMYFUNCTION("IMPORTRANGE(""https://docs.google.com/spreadsheets/d/1Yj_ptqi66GCucihVvJfMjLAmec39IyEx_6qawtMGysU/edit?usp=sharing"",""สบก!CT25"")"),0)</f>
        <v>0</v>
      </c>
      <c r="N294" s="170">
        <f ca="1">IFERROR(__xludf.DUMMYFUNCTION("IMPORTRANGE(""https://docs.google.com/spreadsheets/d/1Yj_ptqi66GCucihVvJfMjLAmec39IyEx_6qawtMGysU/edit?usp=sharing"",""สบก!CU25"")"),0)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IFERROR(__xludf.DUMMYFUNCTION("IMPORTRANGE(""https://docs.google.com/spreadsheets/d/1Yj_ptqi66GCucihVvJfMjLAmec39IyEx_6qawtMGysU/edit?usp=sharing"",""สบก!CP25"")"),0)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IFERROR(__xludf.DUMMYFUNCTION("IMPORTRANGE(""https://docs.google.com/spreadsheets/d/1Yj_ptqi66GCucihVvJfMjLAmec39IyEx_6qawtMGysU/edit?usp=sharing"",""สบก!CQ25"")"),0)</f>
        <v>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IFERROR(__xludf.DUMMYFUNCTION("IMPORTRANGE(""https://docs.google.com/spreadsheets/d/1Yj_ptqi66GCucihVvJfMjLAmec39IyEx_6qawtMGysU/edit?usp=sharing"",""สบก!CR25"")"),0)</f>
        <v>0</v>
      </c>
      <c r="M298" s="52"/>
      <c r="N298" s="52">
        <f ca="1">IFERROR(__xludf.DUMMYFUNCTION("IMPORTRANGE(""https://docs.google.com/spreadsheets/d/1Yj_ptqi66GCucihVvJfMjLAmec39IyEx_6qawtMGysU/edit?usp=sharing"",""สบก!CV25"")"),0)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IFERROR(__xludf.DUMMYFUNCTION("IMPORTRANGE(""https://docs.google.com/spreadsheets/d/11923uPwbBZFjjGgGUA6NLw09EwE0CqkOc4q9oUmW1yo/edit?usp=sharing"",""น่าน!J205"")"),0)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IFERROR(__xludf.DUMMYFUNCTION("IMPORTRANGE(""https://docs.google.com/spreadsheets/d/11923uPwbBZFjjGgGUA6NLw09EwE0CqkOc4q9oUmW1yo/edit?usp=sharing"",""น่าน!J206"")"),0)</f>
        <v>0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IFERROR(__xludf.DUMMYFUNCTION("IMPORTRANGE(""https://docs.google.com/spreadsheets/d/11923uPwbBZFjjGgGUA6NLw09EwE0CqkOc4q9oUmW1yo/edit?usp=sharing"",""น่าน!J207"")"),0)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IFERROR(__xludf.DUMMYFUNCTION("IMPORTRANGE(""https://docs.google.com/spreadsheets/d/11923uPwbBZFjjGgGUA6NLw09EwE0CqkOc4q9oUmW1yo/edit?usp=sharing"",""น่าน!J208"")"),0)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IFERROR(__xludf.DUMMYFUNCTION("IMPORTRANGE(""https://docs.google.com/spreadsheets/d/11923uPwbBZFjjGgGUA6NLw09EwE0CqkOc4q9oUmW1yo/edit?usp=sharing"",""น่าน!I209"")"),0)</f>
        <v>0</v>
      </c>
      <c r="J304" s="205">
        <f ca="1">IFERROR(__xludf.DUMMYFUNCTION("IMPORTRANGE(""https://docs.google.com/spreadsheets/d/11923uPwbBZFjjGgGUA6NLw09EwE0CqkOc4q9oUmW1yo/edit?usp=sharing"",""น่าน!J209"")"),0)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IFERROR(__xludf.DUMMYFUNCTION("IMPORTRANGE(""https://docs.google.com/spreadsheets/d/11923uPwbBZFjjGgGUA6NLw09EwE0CqkOc4q9oUmW1yo/edit?usp=sharing"",""น่าน!I211"")"),0)</f>
        <v>0</v>
      </c>
      <c r="J306" s="205">
        <f ca="1">IFERROR(__xludf.DUMMYFUNCTION("IMPORTRANGE(""https://docs.google.com/spreadsheets/d/11923uPwbBZFjjGgGUA6NLw09EwE0CqkOc4q9oUmW1yo/edit?usp=sharing"",""น่าน!J211"")"),0)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IFERROR(__xludf.DUMMYFUNCTION("IMPORTRANGE(""https://docs.google.com/spreadsheets/d/11923uPwbBZFjjGgGUA6NLw09EwE0CqkOc4q9oUmW1yo/edit?usp=sharing"",""น่าน!J212"")"),0)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IFERROR(__xludf.DUMMYFUNCTION("IMPORTRANGE(""https://docs.google.com/spreadsheets/d/11923uPwbBZFjjGgGUA6NLw09EwE0CqkOc4q9oUmW1yo/edit?usp=sharing"",""น่าน!J213"")"),0)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IFERROR(__xludf.DUMMYFUNCTION("IMPORTRANGE(""https://docs.google.com/spreadsheets/d/11923uPwbBZFjjGgGUA6NLw09EwE0CqkOc4q9oUmW1yo/edit?usp=sharing"",""น่าน!I214"")"),0)</f>
        <v>0</v>
      </c>
      <c r="J309" s="334">
        <f ca="1">IFERROR(__xludf.DUMMYFUNCTION("IMPORTRANGE(""https://docs.google.com/spreadsheets/d/11923uPwbBZFjjGgGUA6NLw09EwE0CqkOc4q9oUmW1yo/edit?usp=sharing"",""น่าน!J214"")"),0)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0</v>
      </c>
      <c r="M312" s="90">
        <f t="shared" ca="1" si="97"/>
        <v>0</v>
      </c>
      <c r="N312" s="90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59"/>
      <c r="B313" s="160"/>
      <c r="C313" s="160" t="s">
        <v>16</v>
      </c>
      <c r="D313" s="570" t="s">
        <v>20</v>
      </c>
      <c r="E313" s="565"/>
      <c r="F313" s="565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IFERROR(__xludf.DUMMYFUNCTION("IMPORTRANGE(""https://docs.google.com/spreadsheets/d/1Yj_ptqi66GCucihVvJfMjLAmec39IyEx_6qawtMGysU/edit?usp=sharing"",""สบก!DC25"")"),0)</f>
        <v>0</v>
      </c>
      <c r="N314" s="170">
        <f ca="1">IFERROR(__xludf.DUMMYFUNCTION("IMPORTRANGE(""https://docs.google.com/spreadsheets/d/1Yj_ptqi66GCucihVvJfMjLAmec39IyEx_6qawtMGysU/edit?usp=sharing"",""สบก!DD25"")"),0)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IFERROR(__xludf.DUMMYFUNCTION("IMPORTRANGE(""https://docs.google.com/spreadsheets/d/1Yj_ptqi66GCucihVvJfMjLAmec39IyEx_6qawtMGysU/edit?usp=sharing"",""สบก!CY25"")"),0)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IFERROR(__xludf.DUMMYFUNCTION("IMPORTRANGE(""https://docs.google.com/spreadsheets/d/1Yj_ptqi66GCucihVvJfMjLAmec39IyEx_6qawtMGysU/edit?usp=sharing"",""สบก!CZ25"")"),0)</f>
        <v>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IFERROR(__xludf.DUMMYFUNCTION("IMPORTRANGE(""https://docs.google.com/spreadsheets/d/1Yj_ptqi66GCucihVvJfMjLAmec39IyEx_6qawtMGysU/edit?usp=sharing"",""สบก!DA25"")"),0)</f>
        <v>0</v>
      </c>
      <c r="M318" s="52"/>
      <c r="N318" s="52">
        <f ca="1">IFERROR(__xludf.DUMMYFUNCTION("IMPORTRANGE(""https://docs.google.com/spreadsheets/d/1Yj_ptqi66GCucihVvJfMjLAmec39IyEx_6qawtMGysU/edit?usp=sharing"",""สบก!DE25"")"),0)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IFERROR(__xludf.DUMMYFUNCTION("IMPORTRANGE(""https://docs.google.com/spreadsheets/d/11923uPwbBZFjjGgGUA6NLw09EwE0CqkOc4q9oUmW1yo/edit?usp=sharing"",""น่าน!J220"")"),0)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IFERROR(__xludf.DUMMYFUNCTION("IMPORTRANGE(""https://docs.google.com/spreadsheets/d/11923uPwbBZFjjGgGUA6NLw09EwE0CqkOc4q9oUmW1yo/edit?usp=sharing"",""น่าน!J221"")"),0)</f>
        <v>0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IFERROR(__xludf.DUMMYFUNCTION("IMPORTRANGE(""https://docs.google.com/spreadsheets/d/11923uPwbBZFjjGgGUA6NLw09EwE0CqkOc4q9oUmW1yo/edit?usp=sharing"",""น่าน!J222"")"),0)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IFERROR(__xludf.DUMMYFUNCTION("IMPORTRANGE(""https://docs.google.com/spreadsheets/d/11923uPwbBZFjjGgGUA6NLw09EwE0CqkOc4q9oUmW1yo/edit?usp=sharing"",""น่าน!J223"")"),0)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IFERROR(__xludf.DUMMYFUNCTION("IMPORTRANGE(""https://docs.google.com/spreadsheets/d/11923uPwbBZFjjGgGUA6NLw09EwE0CqkOc4q9oUmW1yo/edit?usp=sharing"",""น่าน!I224"")"),0)</f>
        <v>0</v>
      </c>
      <c r="J324" s="205">
        <f ca="1">IFERROR(__xludf.DUMMYFUNCTION("IMPORTRANGE(""https://docs.google.com/spreadsheets/d/11923uPwbBZFjjGgGUA6NLw09EwE0CqkOc4q9oUmW1yo/edit?usp=sharing"",""น่าน!J224"")"),0)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IFERROR(__xludf.DUMMYFUNCTION("IMPORTRANGE(""https://docs.google.com/spreadsheets/d/11923uPwbBZFjjGgGUA6NLw09EwE0CqkOc4q9oUmW1yo/edit?usp=sharing"",""น่าน!J225"")"),0)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IFERROR(__xludf.DUMMYFUNCTION("IMPORTRANGE(""https://docs.google.com/spreadsheets/d/11923uPwbBZFjjGgGUA6NLw09EwE0CqkOc4q9oUmW1yo/edit?usp=sharing"",""น่าน!J226"")"),0)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IFERROR(__xludf.DUMMYFUNCTION("IMPORTRANGE(""https://docs.google.com/spreadsheets/d/11923uPwbBZFjjGgGUA6NLw09EwE0CqkOc4q9oUmW1yo/edit?usp=sharing"",""น่าน!I228"")"),800)</f>
        <v>800</v>
      </c>
      <c r="J328" s="340">
        <f ca="1">IFERROR(__xludf.DUMMYFUNCTION("IMPORTRANGE(""https://docs.google.com/spreadsheets/d/11923uPwbBZFjjGgGUA6NLw09EwE0CqkOc4q9oUmW1yo/edit?usp=sharing"",""น่าน!J228"")"),231)</f>
        <v>231</v>
      </c>
      <c r="K328" s="318">
        <f ca="1">IF(I328&gt;0,J328*100/I328,0)</f>
        <v>28.875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935350</v>
      </c>
      <c r="M329" s="154">
        <f t="shared" ca="1" si="98"/>
        <v>735580</v>
      </c>
      <c r="N329" s="154">
        <f t="shared" ca="1" si="98"/>
        <v>449920</v>
      </c>
      <c r="O329" s="153">
        <f t="shared" ref="O329:O331" ca="1" si="99">IF(L329&gt;0,N329*100/L329,0)</f>
        <v>48.101780082322122</v>
      </c>
      <c r="P329" s="153">
        <f t="shared" ref="P329:P331" ca="1" si="100">IF(M329&gt;0,N329*100/M329,0)</f>
        <v>61.165338916229373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935350</v>
      </c>
      <c r="M331" s="90">
        <f t="shared" ca="1" si="102"/>
        <v>735580</v>
      </c>
      <c r="N331" s="90">
        <f t="shared" ca="1" si="102"/>
        <v>449920</v>
      </c>
      <c r="O331" s="158">
        <f t="shared" ca="1" si="99"/>
        <v>48.101780082322122</v>
      </c>
      <c r="P331" s="158">
        <f t="shared" ca="1" si="100"/>
        <v>61.165338916229373</v>
      </c>
    </row>
    <row r="332" spans="1:16" ht="21.75" customHeight="1">
      <c r="A332" s="159"/>
      <c r="B332" s="160"/>
      <c r="C332" s="160" t="s">
        <v>16</v>
      </c>
      <c r="D332" s="570" t="s">
        <v>20</v>
      </c>
      <c r="E332" s="565"/>
      <c r="F332" s="565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920350</v>
      </c>
      <c r="M333" s="169">
        <f ca="1">IFERROR(__xludf.DUMMYFUNCTION("IMPORTRANGE(""https://docs.google.com/spreadsheets/d/1Yj_ptqi66GCucihVvJfMjLAmec39IyEx_6qawtMGysU/edit?usp=sharing"",""สบก!DL25"")"),720580)</f>
        <v>720580</v>
      </c>
      <c r="N333" s="170">
        <f ca="1">IFERROR(__xludf.DUMMYFUNCTION("IMPORTRANGE(""https://docs.google.com/spreadsheets/d/1Yj_ptqi66GCucihVvJfMjLAmec39IyEx_6qawtMGysU/edit?usp=sharing"",""สบก!DM25"")"),434920)</f>
        <v>434920</v>
      </c>
      <c r="O333" s="170">
        <f ca="1">IF(L333&gt;0,N333*100/L333,0)</f>
        <v>47.255935242027491</v>
      </c>
      <c r="P333" s="170">
        <f ca="1">IF(M333&gt;0,N333*100/M333,0)</f>
        <v>60.356934691498516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IFERROR(__xludf.DUMMYFUNCTION("IMPORTRANGE(""https://docs.google.com/spreadsheets/d/1Yj_ptqi66GCucihVvJfMjLAmec39IyEx_6qawtMGysU/edit?usp=sharing"",""สบก!DH25"")"),417600)</f>
        <v>417600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IFERROR(__xludf.DUMMYFUNCTION("IMPORTRANGE(""https://docs.google.com/spreadsheets/d/1Yj_ptqi66GCucihVvJfMjLAmec39IyEx_6qawtMGysU/edit?usp=sharing"",""สบก!DI25"")"),502750)</f>
        <v>502750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IFERROR(__xludf.DUMMYFUNCTION("IMPORTRANGE(""https://docs.google.com/spreadsheets/d/1Yj_ptqi66GCucihVvJfMjLAmec39IyEx_6qawtMGysU/edit?usp=sharing"",""สบก!DJ25"")"),15000)</f>
        <v>15000</v>
      </c>
      <c r="M337" s="52">
        <f ca="1">L337</f>
        <v>15000</v>
      </c>
      <c r="N337" s="52">
        <f ca="1">IFERROR(__xludf.DUMMYFUNCTION("IMPORTRANGE(""https://docs.google.com/spreadsheets/d/1Yj_ptqi66GCucihVvJfMjLAmec39IyEx_6qawtMGysU/edit?usp=sharing"",""สบก!DN25"")"),15000)</f>
        <v>15000</v>
      </c>
      <c r="O337" s="52">
        <f ca="1">IF(L337&gt;0,N337*100/L337,0)</f>
        <v>100</v>
      </c>
      <c r="P337" s="52">
        <f ca="1">IF(M337&gt;0,N337*100/M337,0)</f>
        <v>100</v>
      </c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IFERROR(__xludf.DUMMYFUNCTION("IMPORTRANGE(""https://docs.google.com/spreadsheets/d/11923uPwbBZFjjGgGUA6NLw09EwE0CqkOc4q9oUmW1yo/edit?usp=sharing"",""น่าน!I234"")"),0)</f>
        <v>0</v>
      </c>
      <c r="J339" s="189">
        <f ca="1">IFERROR(__xludf.DUMMYFUNCTION("IMPORTRANGE(""https://docs.google.com/spreadsheets/d/11923uPwbBZFjjGgGUA6NLw09EwE0CqkOc4q9oUmW1yo/edit?usp=sharing"",""น่าน!J234"")"),289)</f>
        <v>289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IFERROR(__xludf.DUMMYFUNCTION("IMPORTRANGE(""https://docs.google.com/spreadsheets/d/11923uPwbBZFjjGgGUA6NLw09EwE0CqkOc4q9oUmW1yo/edit?usp=sharing"",""น่าน!I235"")"),2000)</f>
        <v>2000</v>
      </c>
      <c r="J340" s="189">
        <f ca="1">IFERROR(__xludf.DUMMYFUNCTION("IMPORTRANGE(""https://docs.google.com/spreadsheets/d/11923uPwbBZFjjGgGUA6NLw09EwE0CqkOc4q9oUmW1yo/edit?usp=sharing"",""น่าน!J235"")"),955.53)</f>
        <v>955.53</v>
      </c>
      <c r="K340" s="343">
        <f t="shared" ca="1" si="103"/>
        <v>47.776499999999999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IFERROR(__xludf.DUMMYFUNCTION("IMPORTRANGE(""https://docs.google.com/spreadsheets/d/11923uPwbBZFjjGgGUA6NLw09EwE0CqkOc4q9oUmW1yo/edit?usp=sharing"",""น่าน!I236"")"),800)</f>
        <v>800</v>
      </c>
      <c r="J341" s="189">
        <f ca="1">IFERROR(__xludf.DUMMYFUNCTION("IMPORTRANGE(""https://docs.google.com/spreadsheets/d/11923uPwbBZFjjGgGUA6NLw09EwE0CqkOc4q9oUmW1yo/edit?usp=sharing"",""น่าน!J236"")"),369)</f>
        <v>369</v>
      </c>
      <c r="K341" s="343">
        <f t="shared" ca="1" si="103"/>
        <v>46.125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IFERROR(__xludf.DUMMYFUNCTION("IMPORTRANGE(""https://docs.google.com/spreadsheets/d/11923uPwbBZFjjGgGUA6NLw09EwE0CqkOc4q9oUmW1yo/edit?usp=sharing"",""น่าน!I237"")"),0)</f>
        <v>0</v>
      </c>
      <c r="J342" s="189">
        <f ca="1">IFERROR(__xludf.DUMMYFUNCTION("IMPORTRANGE(""https://docs.google.com/spreadsheets/d/11923uPwbBZFjjGgGUA6NLw09EwE0CqkOc4q9oUmW1yo/edit?usp=sharing"",""น่าน!J237"")"),1591.22)</f>
        <v>1591.22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IFERROR(__xludf.DUMMYFUNCTION("IMPORTRANGE(""https://docs.google.com/spreadsheets/d/11923uPwbBZFjjGgGUA6NLw09EwE0CqkOc4q9oUmW1yo/edit?usp=sharing"",""น่าน!I238"")"),800)</f>
        <v>800</v>
      </c>
      <c r="J343" s="189">
        <f ca="1">IFERROR(__xludf.DUMMYFUNCTION("IMPORTRANGE(""https://docs.google.com/spreadsheets/d/11923uPwbBZFjjGgGUA6NLw09EwE0CqkOc4q9oUmW1yo/edit?usp=sharing"",""น่าน!J238"")"),3)</f>
        <v>3</v>
      </c>
      <c r="K343" s="343">
        <f t="shared" ca="1" si="103"/>
        <v>0.375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IFERROR(__xludf.DUMMYFUNCTION("IMPORTRANGE(""https://docs.google.com/spreadsheets/d/11923uPwbBZFjjGgGUA6NLw09EwE0CqkOc4q9oUmW1yo/edit?usp=sharing"",""น่าน!I239"")"),0)</f>
        <v>0</v>
      </c>
      <c r="J344" s="189">
        <f ca="1">IFERROR(__xludf.DUMMYFUNCTION("IMPORTRANGE(""https://docs.google.com/spreadsheets/d/11923uPwbBZFjjGgGUA6NLw09EwE0CqkOc4q9oUmW1yo/edit?usp=sharing"",""น่าน!J239"")"),20.7)</f>
        <v>20.7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IFERROR(__xludf.DUMMYFUNCTION("IMPORTRANGE(""https://docs.google.com/spreadsheets/d/11923uPwbBZFjjGgGUA6NLw09EwE0CqkOc4q9oUmW1yo/edit?usp=sharing"",""น่าน!I240"")"),800)</f>
        <v>800</v>
      </c>
      <c r="J345" s="189">
        <f ca="1">IFERROR(__xludf.DUMMYFUNCTION("IMPORTRANGE(""https://docs.google.com/spreadsheets/d/11923uPwbBZFjjGgGUA6NLw09EwE0CqkOc4q9oUmW1yo/edit?usp=sharing"",""น่าน!J240"")"),231)</f>
        <v>231</v>
      </c>
      <c r="K345" s="343">
        <f t="shared" ca="1" si="103"/>
        <v>28.875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IFERROR(__xludf.DUMMYFUNCTION("IMPORTRANGE(""https://docs.google.com/spreadsheets/d/11923uPwbBZFjjGgGUA6NLw09EwE0CqkOc4q9oUmW1yo/edit?usp=sharing"",""น่าน!I241"")"),0)</f>
        <v>0</v>
      </c>
      <c r="J346" s="189">
        <f ca="1">IFERROR(__xludf.DUMMYFUNCTION("IMPORTRANGE(""https://docs.google.com/spreadsheets/d/11923uPwbBZFjjGgGUA6NLw09EwE0CqkOc4q9oUmW1yo/edit?usp=sharing"",""น่าน!J241"")"),1032.6)</f>
        <v>1032.5999999999999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IFERROR(__xludf.DUMMYFUNCTION("IMPORTRANGE(""https://docs.google.com/spreadsheets/d/11923uPwbBZFjjGgGUA6NLw09EwE0CqkOc4q9oUmW1yo/edit?usp=sharing"",""น่าน!L242"")"),2780094)</f>
        <v>2780094</v>
      </c>
      <c r="M347" s="359"/>
      <c r="N347" s="359">
        <f ca="1">IFERROR(__xludf.DUMMYFUNCTION("IMPORTRANGE(""https://docs.google.com/spreadsheets/d/11923uPwbBZFjjGgGUA6NLw09EwE0CqkOc4q9oUmW1yo/edit?usp=sharing"",""น่าน!M242"")"),692407)</f>
        <v>692407</v>
      </c>
      <c r="O347" s="359">
        <f ca="1">+IF(L347&gt;0,N347*100/L347,0)</f>
        <v>24.905884477287458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IFERROR(__xludf.DUMMYFUNCTION("IMPORTRANGE(""https://docs.google.com/spreadsheets/d/11923uPwbBZFjjGgGUA6NLw09EwE0CqkOc4q9oUmW1yo/edit?usp=sharing"",""น่าน!I244"")"),120)</f>
        <v>120</v>
      </c>
      <c r="J349" s="372">
        <f ca="1">IFERROR(__xludf.DUMMYFUNCTION("IMPORTRANGE(""https://docs.google.com/spreadsheets/d/11923uPwbBZFjjGgGUA6NLw09EwE0CqkOc4q9oUmW1yo/edit?usp=sharing"",""น่าน!J244"")"),0)</f>
        <v>0</v>
      </c>
      <c r="K349" s="373">
        <f t="shared" ref="K349:K350" ca="1" si="104">IF(I349&gt;0,J349*100/I349,0)</f>
        <v>0</v>
      </c>
      <c r="L349" s="374">
        <f ca="1">IFERROR(__xludf.DUMMYFUNCTION("IMPORTRANGE(""https://docs.google.com/spreadsheets/d/11923uPwbBZFjjGgGUA6NLw09EwE0CqkOc4q9oUmW1yo/edit?usp=sharing"",""น่าน!L244"")"),346610)</f>
        <v>346610</v>
      </c>
      <c r="M349" s="374"/>
      <c r="N349" s="374">
        <f ca="1">IFERROR(__xludf.DUMMYFUNCTION("IMPORTRANGE(""https://docs.google.com/spreadsheets/d/11923uPwbBZFjjGgGUA6NLw09EwE0CqkOc4q9oUmW1yo/edit?usp=sharing"",""น่าน!M244"")"),117529)</f>
        <v>117529</v>
      </c>
      <c r="O349" s="374">
        <f ca="1">+IF(L349&gt;0,N349*100/L349,0)</f>
        <v>33.908138830385738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IFERROR(__xludf.DUMMYFUNCTION("IMPORTRANGE(""https://docs.google.com/spreadsheets/d/11923uPwbBZFjjGgGUA6NLw09EwE0CqkOc4q9oUmW1yo/edit?usp=sharing"",""น่าน!I245"")"),45)</f>
        <v>45</v>
      </c>
      <c r="J350" s="372">
        <f ca="1">IFERROR(__xludf.DUMMYFUNCTION("IMPORTRANGE(""https://docs.google.com/spreadsheets/d/11923uPwbBZFjjGgGUA6NLw09EwE0CqkOc4q9oUmW1yo/edit?usp=sharing"",""น่าน!J245"")"),45)</f>
        <v>45</v>
      </c>
      <c r="K350" s="373">
        <f t="shared" ca="1" si="104"/>
        <v>100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IFERROR(__xludf.DUMMYFUNCTION("IMPORTRANGE(""https://docs.google.com/spreadsheets/d/11923uPwbBZFjjGgGUA6NLw09EwE0CqkOc4q9oUmW1yo/edit?usp=sharing"",""น่าน!L246"")"),0)</f>
        <v>0</v>
      </c>
      <c r="M351" s="166"/>
      <c r="N351" s="166">
        <f ca="1">IFERROR(__xludf.DUMMYFUNCTION("IMPORTRANGE(""https://docs.google.com/spreadsheets/d/11923uPwbBZFjjGgGUA6NLw09EwE0CqkOc4q9oUmW1yo/edit?usp=sharing"",""น่าน!M246"")"),0)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IFERROR(__xludf.DUMMYFUNCTION("IMPORTRANGE(""https://docs.google.com/spreadsheets/d/11923uPwbBZFjjGgGUA6NLw09EwE0CqkOc4q9oUmW1yo/edit?usp=sharing"",""น่าน!L247"")"),346610)</f>
        <v>346610</v>
      </c>
      <c r="M352" s="167"/>
      <c r="N352" s="166">
        <f ca="1">IFERROR(__xludf.DUMMYFUNCTION("IMPORTRANGE(""https://docs.google.com/spreadsheets/d/11923uPwbBZFjjGgGUA6NLw09EwE0CqkOc4q9oUmW1yo/edit?usp=sharing"",""น่าน!M247"")"),117529)</f>
        <v>117529</v>
      </c>
      <c r="O352" s="167">
        <f t="shared" ca="1" si="105"/>
        <v>33.908138830385738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IFERROR(__xludf.DUMMYFUNCTION("IMPORTRANGE(""https://docs.google.com/spreadsheets/d/11923uPwbBZFjjGgGUA6NLw09EwE0CqkOc4q9oUmW1yo/edit?usp=sharing"",""น่าน!L248"")"),0)</f>
        <v>0</v>
      </c>
      <c r="M353" s="170"/>
      <c r="N353" s="170">
        <f ca="1">IFERROR(__xludf.DUMMYFUNCTION("IMPORTRANGE(""https://docs.google.com/spreadsheets/d/11923uPwbBZFjjGgGUA6NLw09EwE0CqkOc4q9oUmW1yo/edit?usp=sharing"",""น่าน!M248"")"),0)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IFERROR(__xludf.DUMMYFUNCTION("IMPORTRANGE(""https://docs.google.com/spreadsheets/d/11923uPwbBZFjjGgGUA6NLw09EwE0CqkOc4q9oUmW1yo/edit?usp=sharing"",""น่าน!L249"")"),346610)</f>
        <v>346610</v>
      </c>
      <c r="M354" s="170"/>
      <c r="N354" s="169">
        <f ca="1">IFERROR(__xludf.DUMMYFUNCTION("IMPORTRANGE(""https://docs.google.com/spreadsheets/d/11923uPwbBZFjjGgGUA6NLw09EwE0CqkOc4q9oUmW1yo/edit?usp=sharing"",""น่าน!M249"")"),117529)</f>
        <v>117529</v>
      </c>
      <c r="O354" s="170">
        <f t="shared" ca="1" si="105"/>
        <v>33.908138830385738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IFERROR(__xludf.DUMMYFUNCTION("IMPORTRANGE(""https://docs.google.com/spreadsheets/d/11923uPwbBZFjjGgGUA6NLw09EwE0CqkOc4q9oUmW1yo/edit?usp=sharing"",""น่าน!M250"")"),44120)</f>
        <v>44120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IFERROR(__xludf.DUMMYFUNCTION("IMPORTRANGE(""https://docs.google.com/spreadsheets/d/11923uPwbBZFjjGgGUA6NLw09EwE0CqkOc4q9oUmW1yo/edit?usp=sharing"",""น่าน!M251"")"),0)</f>
        <v>0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IFERROR(__xludf.DUMMYFUNCTION("IMPORTRANGE(""https://docs.google.com/spreadsheets/d/11923uPwbBZFjjGgGUA6NLw09EwE0CqkOc4q9oUmW1yo/edit?usp=sharing"",""น่าน!M252"")"),70449)</f>
        <v>70449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IFERROR(__xludf.DUMMYFUNCTION("IMPORTRANGE(""https://docs.google.com/spreadsheets/d/11923uPwbBZFjjGgGUA6NLw09EwE0CqkOc4q9oUmW1yo/edit?usp=sharing"",""น่าน!M253"")"),2960)</f>
        <v>2960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IFERROR(__xludf.DUMMYFUNCTION("IMPORTRANGE(""https://docs.google.com/spreadsheets/d/11923uPwbBZFjjGgGUA6NLw09EwE0CqkOc4q9oUmW1yo/edit?usp=sharing"",""น่าน!J255"")"),0)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IFERROR(__xludf.DUMMYFUNCTION("IMPORTRANGE(""https://docs.google.com/spreadsheets/d/11923uPwbBZFjjGgGUA6NLw09EwE0CqkOc4q9oUmW1yo/edit?usp=sharing"",""น่าน!J256"")"),1)</f>
        <v>1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IFERROR(__xludf.DUMMYFUNCTION("IMPORTRANGE(""https://docs.google.com/spreadsheets/d/11923uPwbBZFjjGgGUA6NLw09EwE0CqkOc4q9oUmW1yo/edit?usp=sharing"",""น่าน!J257"")"),1)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IFERROR(__xludf.DUMMYFUNCTION("IMPORTRANGE(""https://docs.google.com/spreadsheets/d/11923uPwbBZFjjGgGUA6NLw09EwE0CqkOc4q9oUmW1yo/edit?usp=sharing"",""น่าน!J258"")"),1)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IFERROR(__xludf.DUMMYFUNCTION("IMPORTRANGE(""https://docs.google.com/spreadsheets/d/11923uPwbBZFjjGgGUA6NLw09EwE0CqkOc4q9oUmW1yo/edit?usp=sharing"",""น่าน!J166"")"),0)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IFERROR(__xludf.DUMMYFUNCTION("IMPORTRANGE(""https://docs.google.com/spreadsheets/d/11923uPwbBZFjjGgGUA6NLw09EwE0CqkOc4q9oUmW1yo/edit?usp=sharing"",""น่าน!J166"")"),0)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IFERROR(__xludf.DUMMYFUNCTION("IMPORTRANGE(""https://docs.google.com/spreadsheets/d/11923uPwbBZFjjGgGUA6NLw09EwE0CqkOc4q9oUmW1yo/edit?usp=sharing"",""น่าน!J166"")"),0)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IFERROR(__xludf.DUMMYFUNCTION("IMPORTRANGE(""https://docs.google.com/spreadsheets/d/11923uPwbBZFjjGgGUA6NLw09EwE0CqkOc4q9oUmW1yo/edit?usp=sharing"",""น่าน!J166"")"),0)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IFERROR(__xludf.DUMMYFUNCTION("IMPORTRANGE(""https://docs.google.com/spreadsheets/d/11923uPwbBZFjjGgGUA6NLw09EwE0CqkOc4q9oUmW1yo/edit?usp=sharing"",""น่าน!I263"")"),45)</f>
        <v>45</v>
      </c>
      <c r="J368" s="189">
        <f ca="1">IFERROR(__xludf.DUMMYFUNCTION("IMPORTRANGE(""https://docs.google.com/spreadsheets/d/11923uPwbBZFjjGgGUA6NLw09EwE0CqkOc4q9oUmW1yo/edit?usp=sharing"",""น่าน!J263"")"),45)</f>
        <v>45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IFERROR(__xludf.DUMMYFUNCTION("IMPORTRANGE(""https://docs.google.com/spreadsheets/d/11923uPwbBZFjjGgGUA6NLw09EwE0CqkOc4q9oUmW1yo/edit?usp=sharing"",""น่าน!I164"")"),0)</f>
        <v>0</v>
      </c>
      <c r="J369" s="205">
        <f ca="1">IFERROR(__xludf.DUMMYFUNCTION("IMPORTRANGE(""https://docs.google.com/spreadsheets/d/11923uPwbBZFjjGgGUA6NLw09EwE0CqkOc4q9oUmW1yo/edit?usp=sharing"",""น่าน!J164"")"),0)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IFERROR(__xludf.DUMMYFUNCTION("IMPORTRANGE(""https://docs.google.com/spreadsheets/d/11923uPwbBZFjjGgGUA6NLw09EwE0CqkOc4q9oUmW1yo/edit?usp=sharing"",""น่าน!I265"")"),45)</f>
        <v>45</v>
      </c>
      <c r="J370" s="205">
        <f ca="1">IFERROR(__xludf.DUMMYFUNCTION("IMPORTRANGE(""https://docs.google.com/spreadsheets/d/11923uPwbBZFjjGgGUA6NLw09EwE0CqkOc4q9oUmW1yo/edit?usp=sharing"",""น่าน!J265"")"),45)</f>
        <v>45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IFERROR(__xludf.DUMMYFUNCTION("IMPORTRANGE(""https://docs.google.com/spreadsheets/d/11923uPwbBZFjjGgGUA6NLw09EwE0CqkOc4q9oUmW1yo/edit?usp=sharing"",""น่าน!I164"")"),0)</f>
        <v>0</v>
      </c>
      <c r="J371" s="190">
        <f ca="1">IFERROR(__xludf.DUMMYFUNCTION("IMPORTRANGE(""https://docs.google.com/spreadsheets/d/11923uPwbBZFjjGgGUA6NLw09EwE0CqkOc4q9oUmW1yo/edit?usp=sharing"",""น่าน!J164"")"),0)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IFERROR(__xludf.DUMMYFUNCTION("IMPORTRANGE(""https://docs.google.com/spreadsheets/d/11923uPwbBZFjjGgGUA6NLw09EwE0CqkOc4q9oUmW1yo/edit?usp=sharing"",""น่าน!I267"")"),45)</f>
        <v>45</v>
      </c>
      <c r="J372" s="190">
        <f ca="1">IFERROR(__xludf.DUMMYFUNCTION("IMPORTRANGE(""https://docs.google.com/spreadsheets/d/11923uPwbBZFjjGgGUA6NLw09EwE0CqkOc4q9oUmW1yo/edit?usp=sharing"",""น่าน!J267"")"),45)</f>
        <v>45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IFERROR(__xludf.DUMMYFUNCTION("IMPORTRANGE(""https://docs.google.com/spreadsheets/d/11923uPwbBZFjjGgGUA6NLw09EwE0CqkOc4q9oUmW1yo/edit?usp=sharing"",""น่าน!I164"")"),0)</f>
        <v>0</v>
      </c>
      <c r="J373" s="205">
        <f ca="1">IFERROR(__xludf.DUMMYFUNCTION("IMPORTRANGE(""https://docs.google.com/spreadsheets/d/11923uPwbBZFjjGgGUA6NLw09EwE0CqkOc4q9oUmW1yo/edit?usp=sharing"",""น่าน!J164"")"),0)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IFERROR(__xludf.DUMMYFUNCTION("IMPORTRANGE(""https://docs.google.com/spreadsheets/d/11923uPwbBZFjjGgGUA6NLw09EwE0CqkOc4q9oUmW1yo/edit?usp=sharing"",""น่าน!I164"")"),0)</f>
        <v>0</v>
      </c>
      <c r="J374" s="189">
        <f ca="1">IFERROR(__xludf.DUMMYFUNCTION("IMPORTRANGE(""https://docs.google.com/spreadsheets/d/11923uPwbBZFjjGgGUA6NLw09EwE0CqkOc4q9oUmW1yo/edit?usp=sharing"",""น่าน!J164"")"),0)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IFERROR(__xludf.DUMMYFUNCTION("IMPORTRANGE(""https://docs.google.com/spreadsheets/d/11923uPwbBZFjjGgGUA6NLw09EwE0CqkOc4q9oUmW1yo/edit?usp=sharing"",""น่าน!I270"")"),120)</f>
        <v>120</v>
      </c>
      <c r="J375" s="189">
        <f ca="1">IFERROR(__xludf.DUMMYFUNCTION("IMPORTRANGE(""https://docs.google.com/spreadsheets/d/11923uPwbBZFjjGgGUA6NLw09EwE0CqkOc4q9oUmW1yo/edit?usp=sharing"",""น่าน!J270"")"),0)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IFERROR(__xludf.DUMMYFUNCTION("IMPORTRANGE(""https://docs.google.com/spreadsheets/d/11923uPwbBZFjjGgGUA6NLw09EwE0CqkOc4q9oUmW1yo/edit?usp=sharing"",""น่าน!I271"")"),60)</f>
        <v>60</v>
      </c>
      <c r="J376" s="190">
        <f ca="1">IFERROR(__xludf.DUMMYFUNCTION("IMPORTRANGE(""https://docs.google.com/spreadsheets/d/11923uPwbBZFjjGgGUA6NLw09EwE0CqkOc4q9oUmW1yo/edit?usp=sharing"",""น่าน!J271"")"),0)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IFERROR(__xludf.DUMMYFUNCTION("IMPORTRANGE(""https://docs.google.com/spreadsheets/d/11923uPwbBZFjjGgGUA6NLw09EwE0CqkOc4q9oUmW1yo/edit?usp=sharing"",""น่าน!I272"")"),60)</f>
        <v>60</v>
      </c>
      <c r="J377" s="205">
        <f ca="1">IFERROR(__xludf.DUMMYFUNCTION("IMPORTRANGE(""https://docs.google.com/spreadsheets/d/11923uPwbBZFjjGgGUA6NLw09EwE0CqkOc4q9oUmW1yo/edit?usp=sharing"",""น่าน!J272"")"),0)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IFERROR(__xludf.DUMMYFUNCTION("IMPORTRANGE(""https://docs.google.com/spreadsheets/d/11923uPwbBZFjjGgGUA6NLw09EwE0CqkOc4q9oUmW1yo/edit?usp=sharing"",""น่าน!J273"")"),0)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IFERROR(__xludf.DUMMYFUNCTION("IMPORTRANGE(""https://docs.google.com/spreadsheets/d/11923uPwbBZFjjGgGUA6NLw09EwE0CqkOc4q9oUmW1yo/edit?usp=sharing"",""น่าน!J274"")"),0)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IFERROR(__xludf.DUMMYFUNCTION("IMPORTRANGE(""https://docs.google.com/spreadsheets/d/11923uPwbBZFjjGgGUA6NLw09EwE0CqkOc4q9oUmW1yo/edit?usp=sharing"",""น่าน!I275"")"),1000)</f>
        <v>1000</v>
      </c>
      <c r="J380" s="372">
        <f ca="1">IFERROR(__xludf.DUMMYFUNCTION("IMPORTRANGE(""https://docs.google.com/spreadsheets/d/11923uPwbBZFjjGgGUA6NLw09EwE0CqkOc4q9oUmW1yo/edit?usp=sharing"",""น่าน!J275"")"),0)</f>
        <v>0</v>
      </c>
      <c r="K380" s="373">
        <f t="shared" ref="K380:K381" ca="1" si="108">IF(I380&gt;0,J380*100/I380,0)</f>
        <v>0</v>
      </c>
      <c r="L380" s="374">
        <f ca="1">IFERROR(__xludf.DUMMYFUNCTION("IMPORTRANGE(""https://docs.google.com/spreadsheets/d/11923uPwbBZFjjGgGUA6NLw09EwE0CqkOc4q9oUmW1yo/edit?usp=sharing"",""น่าน!L275"")"),1028520)</f>
        <v>1028520</v>
      </c>
      <c r="M380" s="374"/>
      <c r="N380" s="374">
        <f ca="1">IFERROR(__xludf.DUMMYFUNCTION("IMPORTRANGE(""https://docs.google.com/spreadsheets/d/11923uPwbBZFjjGgGUA6NLw09EwE0CqkOc4q9oUmW1yo/edit?usp=sharing"",""น่าน!M275"")"),164088)</f>
        <v>164088</v>
      </c>
      <c r="O380" s="374">
        <f ca="1">+IF(L380&gt;0,N380*100/L380,0)</f>
        <v>15.953797689884494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IFERROR(__xludf.DUMMYFUNCTION("IMPORTRANGE(""https://docs.google.com/spreadsheets/d/11923uPwbBZFjjGgGUA6NLw09EwE0CqkOc4q9oUmW1yo/edit?usp=sharing"",""น่าน!I276"")"),100)</f>
        <v>100</v>
      </c>
      <c r="J381" s="372">
        <f ca="1">IFERROR(__xludf.DUMMYFUNCTION("IMPORTRANGE(""https://docs.google.com/spreadsheets/d/11923uPwbBZFjjGgGUA6NLw09EwE0CqkOc4q9oUmW1yo/edit?usp=sharing"",""น่าน!J276"")"),100)</f>
        <v>100</v>
      </c>
      <c r="K381" s="373">
        <f t="shared" ca="1" si="108"/>
        <v>100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IFERROR(__xludf.DUMMYFUNCTION("IMPORTRANGE(""https://docs.google.com/spreadsheets/d/11923uPwbBZFjjGgGUA6NLw09EwE0CqkOc4q9oUmW1yo/edit?usp=sharing"",""น่าน!L277"")"),0)</f>
        <v>0</v>
      </c>
      <c r="M382" s="166"/>
      <c r="N382" s="166">
        <f ca="1">IFERROR(__xludf.DUMMYFUNCTION("IMPORTRANGE(""https://docs.google.com/spreadsheets/d/11923uPwbBZFjjGgGUA6NLw09EwE0CqkOc4q9oUmW1yo/edit?usp=sharing"",""น่าน!M277"")"),0)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IFERROR(__xludf.DUMMYFUNCTION("IMPORTRANGE(""https://docs.google.com/spreadsheets/d/11923uPwbBZFjjGgGUA6NLw09EwE0CqkOc4q9oUmW1yo/edit?usp=sharing"",""น่าน!L278"")"),1028520)</f>
        <v>1028520</v>
      </c>
      <c r="M383" s="167"/>
      <c r="N383" s="167">
        <f ca="1">IFERROR(__xludf.DUMMYFUNCTION("IMPORTRANGE(""https://docs.google.com/spreadsheets/d/11923uPwbBZFjjGgGUA6NLw09EwE0CqkOc4q9oUmW1yo/edit?usp=sharing"",""น่าน!M278"")"),164088)</f>
        <v>164088</v>
      </c>
      <c r="O383" s="167">
        <f t="shared" ca="1" si="109"/>
        <v>15.953797689884494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IFERROR(__xludf.DUMMYFUNCTION("IMPORTRANGE(""https://docs.google.com/spreadsheets/d/11923uPwbBZFjjGgGUA6NLw09EwE0CqkOc4q9oUmW1yo/edit?usp=sharing"",""น่าน!L279"")"),0)</f>
        <v>0</v>
      </c>
      <c r="M384" s="170"/>
      <c r="N384" s="170">
        <f ca="1">IFERROR(__xludf.DUMMYFUNCTION("IMPORTRANGE(""https://docs.google.com/spreadsheets/d/11923uPwbBZFjjGgGUA6NLw09EwE0CqkOc4q9oUmW1yo/edit?usp=sharing"",""น่าน!M279"")"),0)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IFERROR(__xludf.DUMMYFUNCTION("IMPORTRANGE(""https://docs.google.com/spreadsheets/d/11923uPwbBZFjjGgGUA6NLw09EwE0CqkOc4q9oUmW1yo/edit?usp=sharing"",""น่าน!L280"")"),1028520)</f>
        <v>1028520</v>
      </c>
      <c r="M385" s="170"/>
      <c r="N385" s="169">
        <f ca="1">IFERROR(__xludf.DUMMYFUNCTION("IMPORTRANGE(""https://docs.google.com/spreadsheets/d/11923uPwbBZFjjGgGUA6NLw09EwE0CqkOc4q9oUmW1yo/edit?usp=sharing"",""น่าน!M280"")"),164088)</f>
        <v>164088</v>
      </c>
      <c r="O385" s="170">
        <f t="shared" ca="1" si="109"/>
        <v>15.953797689884494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IFERROR(__xludf.DUMMYFUNCTION("IMPORTRANGE(""https://docs.google.com/spreadsheets/d/11923uPwbBZFjjGgGUA6NLw09EwE0CqkOc4q9oUmW1yo/edit?usp=sharing"",""น่าน!M281"")"),90890)</f>
        <v>90890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IFERROR(__xludf.DUMMYFUNCTION("IMPORTRANGE(""https://docs.google.com/spreadsheets/d/11923uPwbBZFjjGgGUA6NLw09EwE0CqkOc4q9oUmW1yo/edit?usp=sharing"",""น่าน!M282"")"),0)</f>
        <v>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IFERROR(__xludf.DUMMYFUNCTION("IMPORTRANGE(""https://docs.google.com/spreadsheets/d/11923uPwbBZFjjGgGUA6NLw09EwE0CqkOc4q9oUmW1yo/edit?usp=sharing"",""น่าน!M283"")"),69558)</f>
        <v>69558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IFERROR(__xludf.DUMMYFUNCTION("IMPORTRANGE(""https://docs.google.com/spreadsheets/d/11923uPwbBZFjjGgGUA6NLw09EwE0CqkOc4q9oUmW1yo/edit?usp=sharing"",""น่าน!M284"")"),3640)</f>
        <v>3640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IFERROR(__xludf.DUMMYFUNCTION("IMPORTRANGE(""https://docs.google.com/spreadsheets/d/11923uPwbBZFjjGgGUA6NLw09EwE0CqkOc4q9oUmW1yo/edit?usp=sharing"",""น่าน!J286"")"),0)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IFERROR(__xludf.DUMMYFUNCTION("IMPORTRANGE(""https://docs.google.com/spreadsheets/d/11923uPwbBZFjjGgGUA6NLw09EwE0CqkOc4q9oUmW1yo/edit?usp=sharing"",""น่าน!J287"")"),1)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IFERROR(__xludf.DUMMYFUNCTION("IMPORTRANGE(""https://docs.google.com/spreadsheets/d/11923uPwbBZFjjGgGUA6NLw09EwE0CqkOc4q9oUmW1yo/edit?usp=sharing"",""น่าน!J288"")"),1)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IFERROR(__xludf.DUMMYFUNCTION("IMPORTRANGE(""https://docs.google.com/spreadsheets/d/11923uPwbBZFjjGgGUA6NLw09EwE0CqkOc4q9oUmW1yo/edit?usp=sharing"",""น่าน!J289"")"),1)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IFERROR(__xludf.DUMMYFUNCTION("IMPORTRANGE(""https://docs.google.com/spreadsheets/d/11923uPwbBZFjjGgGUA6NLw09EwE0CqkOc4q9oUmW1yo/edit?usp=sharing"",""น่าน!I291"")"),100)</f>
        <v>100</v>
      </c>
      <c r="J396" s="199">
        <f ca="1">IFERROR(__xludf.DUMMYFUNCTION("IMPORTRANGE(""https://docs.google.com/spreadsheets/d/11923uPwbBZFjjGgGUA6NLw09EwE0CqkOc4q9oUmW1yo/edit?usp=sharing"",""น่าน!J291"")"),100)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IFERROR(__xludf.DUMMYFUNCTION("IMPORTRANGE(""https://docs.google.com/spreadsheets/d/11923uPwbBZFjjGgGUA6NLw09EwE0CqkOc4q9oUmW1yo/edit?usp=sharing"",""น่าน!I292"")"),1000)</f>
        <v>1000</v>
      </c>
      <c r="J397" s="199">
        <f ca="1">IFERROR(__xludf.DUMMYFUNCTION("IMPORTRANGE(""https://docs.google.com/spreadsheets/d/11923uPwbBZFjjGgGUA6NLw09EwE0CqkOc4q9oUmW1yo/edit?usp=sharing"",""น่าน!J292"")"),0)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IFERROR(__xludf.DUMMYFUNCTION("IMPORTRANGE(""https://docs.google.com/spreadsheets/d/11923uPwbBZFjjGgGUA6NLw09EwE0CqkOc4q9oUmW1yo/edit?usp=sharing"",""น่าน!I293"")"),100)</f>
        <v>100</v>
      </c>
      <c r="J398" s="199">
        <f ca="1">IFERROR(__xludf.DUMMYFUNCTION("IMPORTRANGE(""https://docs.google.com/spreadsheets/d/11923uPwbBZFjjGgGUA6NLw09EwE0CqkOc4q9oUmW1yo/edit?usp=sharing"",""น่าน!J293"")"),0)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IFERROR(__xludf.DUMMYFUNCTION("IMPORTRANGE(""https://docs.google.com/spreadsheets/d/11923uPwbBZFjjGgGUA6NLw09EwE0CqkOc4q9oUmW1yo/edit?usp=sharing"",""น่าน!J294"")"),0)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IFERROR(__xludf.DUMMYFUNCTION("IMPORTRANGE(""https://docs.google.com/spreadsheets/d/11923uPwbBZFjjGgGUA6NLw09EwE0CqkOc4q9oUmW1yo/edit?usp=sharing"",""น่าน!J295"")"),0)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IFERROR(__xludf.DUMMYFUNCTION("IMPORTRANGE(""https://docs.google.com/spreadsheets/d/11923uPwbBZFjjGgGUA6NLw09EwE0CqkOc4q9oUmW1yo/edit?usp=sharing"",""น่าน!I296"")"),150)</f>
        <v>150</v>
      </c>
      <c r="J401" s="372">
        <f ca="1">IFERROR(__xludf.DUMMYFUNCTION("IMPORTRANGE(""https://docs.google.com/spreadsheets/d/11923uPwbBZFjjGgGUA6NLw09EwE0CqkOc4q9oUmW1yo/edit?usp=sharing"",""น่าน!J296"")"),120)</f>
        <v>120</v>
      </c>
      <c r="K401" s="373">
        <f t="shared" ref="K401:K402" ca="1" si="111">IF(I401&gt;0,J401*100/I401,0)</f>
        <v>80</v>
      </c>
      <c r="L401" s="374">
        <f ca="1">IFERROR(__xludf.DUMMYFUNCTION("IMPORTRANGE(""https://docs.google.com/spreadsheets/d/11923uPwbBZFjjGgGUA6NLw09EwE0CqkOc4q9oUmW1yo/edit?usp=sharing"",""น่าน!L296"")"),172800)</f>
        <v>172800</v>
      </c>
      <c r="M401" s="374"/>
      <c r="N401" s="374">
        <f ca="1">IFERROR(__xludf.DUMMYFUNCTION("IMPORTRANGE(""https://docs.google.com/spreadsheets/d/11923uPwbBZFjjGgGUA6NLw09EwE0CqkOc4q9oUmW1yo/edit?usp=sharing"",""น่าน!M296"")"),99063)</f>
        <v>99063</v>
      </c>
      <c r="O401" s="374">
        <f ca="1">+IF(L401&gt;0,N401*100/L401,0)</f>
        <v>57.328125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IFERROR(__xludf.DUMMYFUNCTION("IMPORTRANGE(""https://docs.google.com/spreadsheets/d/11923uPwbBZFjjGgGUA6NLw09EwE0CqkOc4q9oUmW1yo/edit?usp=sharing"",""น่าน!I297"")"),50)</f>
        <v>50</v>
      </c>
      <c r="J402" s="372">
        <f ca="1">IFERROR(__xludf.DUMMYFUNCTION("IMPORTRANGE(""https://docs.google.com/spreadsheets/d/11923uPwbBZFjjGgGUA6NLw09EwE0CqkOc4q9oUmW1yo/edit?usp=sharing"",""น่าน!J297"")"),20)</f>
        <v>20</v>
      </c>
      <c r="K402" s="373">
        <f t="shared" ca="1" si="111"/>
        <v>40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IFERROR(__xludf.DUMMYFUNCTION("IMPORTRANGE(""https://docs.google.com/spreadsheets/d/11923uPwbBZFjjGgGUA6NLw09EwE0CqkOc4q9oUmW1yo/edit?usp=sharing"",""น่าน!L298"")"),0)</f>
        <v>0</v>
      </c>
      <c r="M403" s="166"/>
      <c r="N403" s="170">
        <f ca="1">IFERROR(__xludf.DUMMYFUNCTION("IMPORTRANGE(""https://docs.google.com/spreadsheets/d/11923uPwbBZFjjGgGUA6NLw09EwE0CqkOc4q9oUmW1yo/edit?usp=sharing"",""น่าน!M298"")"),0)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IFERROR(__xludf.DUMMYFUNCTION("IMPORTRANGE(""https://docs.google.com/spreadsheets/d/11923uPwbBZFjjGgGUA6NLw09EwE0CqkOc4q9oUmW1yo/edit?usp=sharing"",""น่าน!L299"")"),172800)</f>
        <v>172800</v>
      </c>
      <c r="M404" s="167"/>
      <c r="N404" s="170">
        <f ca="1">IFERROR(__xludf.DUMMYFUNCTION("IMPORTRANGE(""https://docs.google.com/spreadsheets/d/11923uPwbBZFjjGgGUA6NLw09EwE0CqkOc4q9oUmW1yo/edit?usp=sharing"",""น่าน!M299"")"),99063)</f>
        <v>99063</v>
      </c>
      <c r="O404" s="170">
        <f t="shared" ca="1" si="112"/>
        <v>57.328125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IFERROR(__xludf.DUMMYFUNCTION("IMPORTRANGE(""https://docs.google.com/spreadsheets/d/11923uPwbBZFjjGgGUA6NLw09EwE0CqkOc4q9oUmW1yo/edit?usp=sharing"",""น่าน!L300"")"),0)</f>
        <v>0</v>
      </c>
      <c r="M405" s="170"/>
      <c r="N405" s="170">
        <f ca="1">IFERROR(__xludf.DUMMYFUNCTION("IMPORTRANGE(""https://docs.google.com/spreadsheets/d/11923uPwbBZFjjGgGUA6NLw09EwE0CqkOc4q9oUmW1yo/edit?usp=sharing"",""น่าน!M300"")"),0)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IFERROR(__xludf.DUMMYFUNCTION("IMPORTRANGE(""https://docs.google.com/spreadsheets/d/11923uPwbBZFjjGgGUA6NLw09EwE0CqkOc4q9oUmW1yo/edit?usp=sharing"",""น่าน!L301"")"),172800)</f>
        <v>172800</v>
      </c>
      <c r="M406" s="170"/>
      <c r="N406" s="170">
        <f ca="1">IFERROR(__xludf.DUMMYFUNCTION("IMPORTRANGE(""https://docs.google.com/spreadsheets/d/11923uPwbBZFjjGgGUA6NLw09EwE0CqkOc4q9oUmW1yo/edit?usp=sharing"",""น่าน!M301"")"),99063)</f>
        <v>99063</v>
      </c>
      <c r="O406" s="170">
        <f t="shared" ca="1" si="112"/>
        <v>57.328125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IFERROR(__xludf.DUMMYFUNCTION("IMPORTRANGE(""https://docs.google.com/spreadsheets/d/11923uPwbBZFjjGgGUA6NLw09EwE0CqkOc4q9oUmW1yo/edit?usp=sharing"",""น่าน!M302"")"),96503)</f>
        <v>96503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IFERROR(__xludf.DUMMYFUNCTION("IMPORTRANGE(""https://docs.google.com/spreadsheets/d/11923uPwbBZFjjGgGUA6NLw09EwE0CqkOc4q9oUmW1yo/edit?usp=sharing"",""น่าน!M303"")"),0)</f>
        <v>0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IFERROR(__xludf.DUMMYFUNCTION("IMPORTRANGE(""https://docs.google.com/spreadsheets/d/11923uPwbBZFjjGgGUA6NLw09EwE0CqkOc4q9oUmW1yo/edit?usp=sharing"",""น่าน!M304"")"),0)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IFERROR(__xludf.DUMMYFUNCTION("IMPORTRANGE(""https://docs.google.com/spreadsheets/d/11923uPwbBZFjjGgGUA6NLw09EwE0CqkOc4q9oUmW1yo/edit?usp=sharing"",""น่าน!M305"")"),2560)</f>
        <v>2560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IFERROR(__xludf.DUMMYFUNCTION("IMPORTRANGE(""https://docs.google.com/spreadsheets/d/11923uPwbBZFjjGgGUA6NLw09EwE0CqkOc4q9oUmW1yo/edit?usp=sharing"",""น่าน!J307"")"),0)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IFERROR(__xludf.DUMMYFUNCTION("IMPORTRANGE(""https://docs.google.com/spreadsheets/d/11923uPwbBZFjjGgGUA6NLw09EwE0CqkOc4q9oUmW1yo/edit?usp=sharing"",""น่าน!J308"")"),1)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IFERROR(__xludf.DUMMYFUNCTION("IMPORTRANGE(""https://docs.google.com/spreadsheets/d/11923uPwbBZFjjGgGUA6NLw09EwE0CqkOc4q9oUmW1yo/edit?usp=sharing"",""น่าน!J309"")"),1)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IFERROR(__xludf.DUMMYFUNCTION("IMPORTRANGE(""https://docs.google.com/spreadsheets/d/11923uPwbBZFjjGgGUA6NLw09EwE0CqkOc4q9oUmW1yo/edit?usp=sharing"",""น่าน!J310"")"),1)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IFERROR(__xludf.DUMMYFUNCTION("IMPORTRANGE(""https://docs.google.com/spreadsheets/d/11923uPwbBZFjjGgGUA6NLw09EwE0CqkOc4q9oUmW1yo/edit?usp=sharing"",""น่าน!I311"")"),50)</f>
        <v>50</v>
      </c>
      <c r="J416" s="202">
        <f ca="1">IFERROR(__xludf.DUMMYFUNCTION("IMPORTRANGE(""https://docs.google.com/spreadsheets/d/11923uPwbBZFjjGgGUA6NLw09EwE0CqkOc4q9oUmW1yo/edit?usp=sharing"",""น่าน!J311"")"),20)</f>
        <v>20</v>
      </c>
      <c r="K416" s="203">
        <f t="shared" ref="K416:K432" ca="1" si="113">IF(I416&gt;0,J416*100/I416,0)</f>
        <v>40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IFERROR(__xludf.DUMMYFUNCTION("IMPORTRANGE(""https://docs.google.com/spreadsheets/d/11923uPwbBZFjjGgGUA6NLw09EwE0CqkOc4q9oUmW1yo/edit?usp=sharing"",""น่าน!I312"")"),10)</f>
        <v>10</v>
      </c>
      <c r="J417" s="393">
        <f ca="1">IFERROR(__xludf.DUMMYFUNCTION("IMPORTRANGE(""https://docs.google.com/spreadsheets/d/11923uPwbBZFjjGgGUA6NLw09EwE0CqkOc4q9oUmW1yo/edit?usp=sharing"",""น่าน!J312"")"),10)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IFERROR(__xludf.DUMMYFUNCTION("IMPORTRANGE(""https://docs.google.com/spreadsheets/d/11923uPwbBZFjjGgGUA6NLw09EwE0CqkOc4q9oUmW1yo/edit?usp=sharing"",""น่าน!I313"")"),30)</f>
        <v>30</v>
      </c>
      <c r="J418" s="394">
        <f ca="1">IFERROR(__xludf.DUMMYFUNCTION("IMPORTRANGE(""https://docs.google.com/spreadsheets/d/11923uPwbBZFjjGgGUA6NLw09EwE0CqkOc4q9oUmW1yo/edit?usp=sharing"",""น่าน!J313"")"),30)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IFERROR(__xludf.DUMMYFUNCTION("IMPORTRANGE(""https://docs.google.com/spreadsheets/d/11923uPwbBZFjjGgGUA6NLw09EwE0CqkOc4q9oUmW1yo/edit?usp=sharing"",""น่าน!I314"")"),10)</f>
        <v>10</v>
      </c>
      <c r="J419" s="395">
        <f ca="1">IFERROR(__xludf.DUMMYFUNCTION("IMPORTRANGE(""https://docs.google.com/spreadsheets/d/11923uPwbBZFjjGgGUA6NLw09EwE0CqkOc4q9oUmW1yo/edit?usp=sharing"",""น่าน!J314"")"),10)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IFERROR(__xludf.DUMMYFUNCTION("IMPORTRANGE(""https://docs.google.com/spreadsheets/d/11923uPwbBZFjjGgGUA6NLw09EwE0CqkOc4q9oUmW1yo/edit?usp=sharing"",""น่าน!I315"")"),10)</f>
        <v>10</v>
      </c>
      <c r="J420" s="395">
        <f ca="1">IFERROR(__xludf.DUMMYFUNCTION("IMPORTRANGE(""https://docs.google.com/spreadsheets/d/11923uPwbBZFjjGgGUA6NLw09EwE0CqkOc4q9oUmW1yo/edit?usp=sharing"",""น่าน!J315"")"),10)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IFERROR(__xludf.DUMMYFUNCTION("IMPORTRANGE(""https://docs.google.com/spreadsheets/d/11923uPwbBZFjjGgGUA6NLw09EwE0CqkOc4q9oUmW1yo/edit?usp=sharing"",""น่าน!I316"")"),30)</f>
        <v>30</v>
      </c>
      <c r="J421" s="393">
        <f ca="1">IFERROR(__xludf.DUMMYFUNCTION("IMPORTRANGE(""https://docs.google.com/spreadsheets/d/11923uPwbBZFjjGgGUA6NLw09EwE0CqkOc4q9oUmW1yo/edit?usp=sharing"",""น่าน!J316"")"),0)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IFERROR(__xludf.DUMMYFUNCTION("IMPORTRANGE(""https://docs.google.com/spreadsheets/d/11923uPwbBZFjjGgGUA6NLw09EwE0CqkOc4q9oUmW1yo/edit?usp=sharing"",""น่าน!I317"")"),90)</f>
        <v>90</v>
      </c>
      <c r="J422" s="394">
        <f ca="1">IFERROR(__xludf.DUMMYFUNCTION("IMPORTRANGE(""https://docs.google.com/spreadsheets/d/11923uPwbBZFjjGgGUA6NLw09EwE0CqkOc4q9oUmW1yo/edit?usp=sharing"",""น่าน!J317"")"),60)</f>
        <v>60</v>
      </c>
      <c r="K422" s="203">
        <f t="shared" ca="1" si="113"/>
        <v>66.666666666666671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IFERROR(__xludf.DUMMYFUNCTION("IMPORTRANGE(""https://docs.google.com/spreadsheets/d/11923uPwbBZFjjGgGUA6NLw09EwE0CqkOc4q9oUmW1yo/edit?usp=sharing"",""น่าน!I318"")"),30)</f>
        <v>30</v>
      </c>
      <c r="J423" s="395">
        <f ca="1">IFERROR(__xludf.DUMMYFUNCTION("IMPORTRANGE(""https://docs.google.com/spreadsheets/d/11923uPwbBZFjjGgGUA6NLw09EwE0CqkOc4q9oUmW1yo/edit?usp=sharing"",""น่าน!J318"")"),30)</f>
        <v>30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IFERROR(__xludf.DUMMYFUNCTION("IMPORTRANGE(""https://docs.google.com/spreadsheets/d/11923uPwbBZFjjGgGUA6NLw09EwE0CqkOc4q9oUmW1yo/edit?usp=sharing"",""น่าน!I319"")"),30)</f>
        <v>30</v>
      </c>
      <c r="J424" s="395">
        <f ca="1">IFERROR(__xludf.DUMMYFUNCTION("IMPORTRANGE(""https://docs.google.com/spreadsheets/d/11923uPwbBZFjjGgGUA6NLw09EwE0CqkOc4q9oUmW1yo/edit?usp=sharing"",""น่าน!J319"")"),30)</f>
        <v>30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IFERROR(__xludf.DUMMYFUNCTION("IMPORTRANGE(""https://docs.google.com/spreadsheets/d/11923uPwbBZFjjGgGUA6NLw09EwE0CqkOc4q9oUmW1yo/edit?usp=sharing"",""น่าน!I320"")"),30)</f>
        <v>30</v>
      </c>
      <c r="J425" s="395">
        <f ca="1">IFERROR(__xludf.DUMMYFUNCTION("IMPORTRANGE(""https://docs.google.com/spreadsheets/d/11923uPwbBZFjjGgGUA6NLw09EwE0CqkOc4q9oUmW1yo/edit?usp=sharing"",""น่าน!J320"")"),0)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IFERROR(__xludf.DUMMYFUNCTION("IMPORTRANGE(""https://docs.google.com/spreadsheets/d/11923uPwbBZFjjGgGUA6NLw09EwE0CqkOc4q9oUmW1yo/edit?usp=sharing"",""น่าน!I321"")"),10)</f>
        <v>10</v>
      </c>
      <c r="J426" s="393">
        <f ca="1">IFERROR(__xludf.DUMMYFUNCTION("IMPORTRANGE(""https://docs.google.com/spreadsheets/d/11923uPwbBZFjjGgGUA6NLw09EwE0CqkOc4q9oUmW1yo/edit?usp=sharing"",""น่าน!J321"")"),10)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IFERROR(__xludf.DUMMYFUNCTION("IMPORTRANGE(""https://docs.google.com/spreadsheets/d/11923uPwbBZFjjGgGUA6NLw09EwE0CqkOc4q9oUmW1yo/edit?usp=sharing"",""น่าน!I322"")"),30)</f>
        <v>30</v>
      </c>
      <c r="J427" s="394">
        <f ca="1">IFERROR(__xludf.DUMMYFUNCTION("IMPORTRANGE(""https://docs.google.com/spreadsheets/d/11923uPwbBZFjjGgGUA6NLw09EwE0CqkOc4q9oUmW1yo/edit?usp=sharing"",""น่าน!J322"")"),30)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IFERROR(__xludf.DUMMYFUNCTION("IMPORTRANGE(""https://docs.google.com/spreadsheets/d/11923uPwbBZFjjGgGUA6NLw09EwE0CqkOc4q9oUmW1yo/edit?usp=sharing"",""น่าน!I323"")"),10)</f>
        <v>10</v>
      </c>
      <c r="J428" s="395">
        <f ca="1">IFERROR(__xludf.DUMMYFUNCTION("IMPORTRANGE(""https://docs.google.com/spreadsheets/d/11923uPwbBZFjjGgGUA6NLw09EwE0CqkOc4q9oUmW1yo/edit?usp=sharing"",""น่าน!J323"")"),10)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IFERROR(__xludf.DUMMYFUNCTION("IMPORTRANGE(""https://docs.google.com/spreadsheets/d/11923uPwbBZFjjGgGUA6NLw09EwE0CqkOc4q9oUmW1yo/edit?usp=sharing"",""น่าน!I324"")"),10)</f>
        <v>10</v>
      </c>
      <c r="J429" s="395">
        <f ca="1">IFERROR(__xludf.DUMMYFUNCTION("IMPORTRANGE(""https://docs.google.com/spreadsheets/d/11923uPwbBZFjjGgGUA6NLw09EwE0CqkOc4q9oUmW1yo/edit?usp=sharing"",""น่าน!J324"")"),10)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IFERROR(__xludf.DUMMYFUNCTION("IMPORTRANGE(""https://docs.google.com/spreadsheets/d/11923uPwbBZFjjGgGUA6NLw09EwE0CqkOc4q9oUmW1yo/edit?usp=sharing"",""น่าน!I325"")"),40)</f>
        <v>40</v>
      </c>
      <c r="J430" s="393">
        <f ca="1">IFERROR(__xludf.DUMMYFUNCTION("IMPORTRANGE(""https://docs.google.com/spreadsheets/d/11923uPwbBZFjjGgGUA6NLw09EwE0CqkOc4q9oUmW1yo/edit?usp=sharing"",""น่าน!J325"")"),0)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IFERROR(__xludf.DUMMYFUNCTION("IMPORTRANGE(""https://docs.google.com/spreadsheets/d/11923uPwbBZFjjGgGUA6NLw09EwE0CqkOc4q9oUmW1yo/edit?usp=sharing"",""น่าน!I326"")"),10)</f>
        <v>10</v>
      </c>
      <c r="J431" s="395">
        <f ca="1">IFERROR(__xludf.DUMMYFUNCTION("IMPORTRANGE(""https://docs.google.com/spreadsheets/d/11923uPwbBZFjjGgGUA6NLw09EwE0CqkOc4q9oUmW1yo/edit?usp=sharing"",""น่าน!J326"")"),0)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IFERROR(__xludf.DUMMYFUNCTION("IMPORTRANGE(""https://docs.google.com/spreadsheets/d/11923uPwbBZFjjGgGUA6NLw09EwE0CqkOc4q9oUmW1yo/edit?usp=sharing"",""น่าน!I327"")"),30)</f>
        <v>30</v>
      </c>
      <c r="J432" s="395">
        <f ca="1">IFERROR(__xludf.DUMMYFUNCTION("IMPORTRANGE(""https://docs.google.com/spreadsheets/d/11923uPwbBZFjjGgGUA6NLw09EwE0CqkOc4q9oUmW1yo/edit?usp=sharing"",""น่าน!J327"")"),0)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IFERROR(__xludf.DUMMYFUNCTION("IMPORTRANGE(""https://docs.google.com/spreadsheets/d/11923uPwbBZFjjGgGUA6NLw09EwE0CqkOc4q9oUmW1yo/edit?usp=sharing"",""น่าน!J328"")"),0)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IFERROR(__xludf.DUMMYFUNCTION("IMPORTRANGE(""https://docs.google.com/spreadsheets/d/11923uPwbBZFjjGgGUA6NLw09EwE0CqkOc4q9oUmW1yo/edit?usp=sharing"",""น่าน!J329"")"),0)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IFERROR(__xludf.DUMMYFUNCTION("IMPORTRANGE(""https://docs.google.com/spreadsheets/d/11923uPwbBZFjjGgGUA6NLw09EwE0CqkOc4q9oUmW1yo/edit?usp=sharing"",""น่าน!I330"")"),35)</f>
        <v>35</v>
      </c>
      <c r="J435" s="411">
        <f ca="1">IFERROR(__xludf.DUMMYFUNCTION("IMPORTRANGE(""https://docs.google.com/spreadsheets/d/11923uPwbBZFjjGgGUA6NLw09EwE0CqkOc4q9oUmW1yo/edit?usp=sharing"",""น่าน!J330"")"),35)</f>
        <v>35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IFERROR(__xludf.DUMMYFUNCTION("IMPORTRANGE(""https://docs.google.com/spreadsheets/d/11923uPwbBZFjjGgGUA6NLw09EwE0CqkOc4q9oUmW1yo/edit?usp=sharing"",""น่าน!L330"")"),128800)</f>
        <v>128800</v>
      </c>
      <c r="M435" s="413"/>
      <c r="N435" s="413">
        <f ca="1">IFERROR(__xludf.DUMMYFUNCTION("IMPORTRANGE(""https://docs.google.com/spreadsheets/d/11923uPwbBZFjjGgGUA6NLw09EwE0CqkOc4q9oUmW1yo/edit?usp=sharing"",""น่าน!M330"")"),67905)</f>
        <v>67905</v>
      </c>
      <c r="O435" s="413">
        <f t="shared" ref="O435:O439" ca="1" si="114">+IF(L435&gt;0,N435*100/L435,0)</f>
        <v>52.721273291925463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IFERROR(__xludf.DUMMYFUNCTION("IMPORTRANGE(""https://docs.google.com/spreadsheets/d/11923uPwbBZFjjGgGUA6NLw09EwE0CqkOc4q9oUmW1yo/edit?usp=sharing"",""น่าน!L331"")"),0)</f>
        <v>0</v>
      </c>
      <c r="M436" s="166"/>
      <c r="N436" s="170">
        <f ca="1">IFERROR(__xludf.DUMMYFUNCTION("IMPORTRANGE(""https://docs.google.com/spreadsheets/d/11923uPwbBZFjjGgGUA6NLw09EwE0CqkOc4q9oUmW1yo/edit?usp=sharing"",""น่าน!M331"")"),0)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IFERROR(__xludf.DUMMYFUNCTION("IMPORTRANGE(""https://docs.google.com/spreadsheets/d/11923uPwbBZFjjGgGUA6NLw09EwE0CqkOc4q9oUmW1yo/edit?usp=sharing"",""น่าน!L332"")"),128800)</f>
        <v>128800</v>
      </c>
      <c r="M437" s="167"/>
      <c r="N437" s="170">
        <f ca="1">IFERROR(__xludf.DUMMYFUNCTION("IMPORTRANGE(""https://docs.google.com/spreadsheets/d/11923uPwbBZFjjGgGUA6NLw09EwE0CqkOc4q9oUmW1yo/edit?usp=sharing"",""น่าน!M332"")"),67905)</f>
        <v>67905</v>
      </c>
      <c r="O437" s="170">
        <f t="shared" ca="1" si="114"/>
        <v>52.721273291925463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IFERROR(__xludf.DUMMYFUNCTION("IMPORTRANGE(""https://docs.google.com/spreadsheets/d/11923uPwbBZFjjGgGUA6NLw09EwE0CqkOc4q9oUmW1yo/edit?usp=sharing"",""น่าน!L333"")"),0)</f>
        <v>0</v>
      </c>
      <c r="M438" s="170"/>
      <c r="N438" s="170">
        <f ca="1">IFERROR(__xludf.DUMMYFUNCTION("IMPORTRANGE(""https://docs.google.com/spreadsheets/d/11923uPwbBZFjjGgGUA6NLw09EwE0CqkOc4q9oUmW1yo/edit?usp=sharing"",""น่าน!M333"")"),0)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IFERROR(__xludf.DUMMYFUNCTION("IMPORTRANGE(""https://docs.google.com/spreadsheets/d/11923uPwbBZFjjGgGUA6NLw09EwE0CqkOc4q9oUmW1yo/edit?usp=sharing"",""น่าน!L334"")"),128800)</f>
        <v>128800</v>
      </c>
      <c r="M439" s="170"/>
      <c r="N439" s="170">
        <f ca="1">IFERROR(__xludf.DUMMYFUNCTION("IMPORTRANGE(""https://docs.google.com/spreadsheets/d/11923uPwbBZFjjGgGUA6NLw09EwE0CqkOc4q9oUmW1yo/edit?usp=sharing"",""น่าน!M334"")"),67905)</f>
        <v>67905</v>
      </c>
      <c r="O439" s="170">
        <f t="shared" ca="1" si="114"/>
        <v>52.721273291925463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IFERROR(__xludf.DUMMYFUNCTION("IMPORTRANGE(""https://docs.google.com/spreadsheets/d/11923uPwbBZFjjGgGUA6NLw09EwE0CqkOc4q9oUmW1yo/edit?usp=sharing"",""น่าน!M335"")"),60025)</f>
        <v>60025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IFERROR(__xludf.DUMMYFUNCTION("IMPORTRANGE(""https://docs.google.com/spreadsheets/d/11923uPwbBZFjjGgGUA6NLw09EwE0CqkOc4q9oUmW1yo/edit?usp=sharing"",""น่าน!M336"")"),0)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IFERROR(__xludf.DUMMYFUNCTION("IMPORTRANGE(""https://docs.google.com/spreadsheets/d/11923uPwbBZFjjGgGUA6NLw09EwE0CqkOc4q9oUmW1yo/edit?usp=sharing"",""น่าน!M337"")"),0)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IFERROR(__xludf.DUMMYFUNCTION("IMPORTRANGE(""https://docs.google.com/spreadsheets/d/11923uPwbBZFjjGgGUA6NLw09EwE0CqkOc4q9oUmW1yo/edit?usp=sharing"",""น่าน!M338"")"),7880)</f>
        <v>7880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IFERROR(__xludf.DUMMYFUNCTION("IMPORTRANGE(""https://docs.google.com/spreadsheets/d/11923uPwbBZFjjGgGUA6NLw09EwE0CqkOc4q9oUmW1yo/edit?usp=sharing"",""น่าน!J340"")"),0)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IFERROR(__xludf.DUMMYFUNCTION("IMPORTRANGE(""https://docs.google.com/spreadsheets/d/11923uPwbBZFjjGgGUA6NLw09EwE0CqkOc4q9oUmW1yo/edit?usp=sharing"",""น่าน!J341"")"),1)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IFERROR(__xludf.DUMMYFUNCTION("IMPORTRANGE(""https://docs.google.com/spreadsheets/d/11923uPwbBZFjjGgGUA6NLw09EwE0CqkOc4q9oUmW1yo/edit?usp=sharing"",""น่าน!J342"")"),1)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IFERROR(__xludf.DUMMYFUNCTION("IMPORTRANGE(""https://docs.google.com/spreadsheets/d/11923uPwbBZFjjGgGUA6NLw09EwE0CqkOc4q9oUmW1yo/edit?usp=sharing"",""น่าน!J343"")"),1)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IFERROR(__xludf.DUMMYFUNCTION("IMPORTRANGE(""https://docs.google.com/spreadsheets/d/11923uPwbBZFjjGgGUA6NLw09EwE0CqkOc4q9oUmW1yo/edit?usp=sharing"",""น่าน!I344"")"),35)</f>
        <v>35</v>
      </c>
      <c r="J449" s="202">
        <f ca="1">IFERROR(__xludf.DUMMYFUNCTION("IMPORTRANGE(""https://docs.google.com/spreadsheets/d/11923uPwbBZFjjGgGUA6NLw09EwE0CqkOc4q9oUmW1yo/edit?usp=sharing"",""น่าน!J344"")"),35)</f>
        <v>35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IFERROR(__xludf.DUMMYFUNCTION("IMPORTRANGE(""https://docs.google.com/spreadsheets/d/11923uPwbBZFjjGgGUA6NLw09EwE0CqkOc4q9oUmW1yo/edit?usp=sharing"",""น่าน!I345"")"),15)</f>
        <v>15</v>
      </c>
      <c r="J450" s="190">
        <f ca="1">IFERROR(__xludf.DUMMYFUNCTION("IMPORTRANGE(""https://docs.google.com/spreadsheets/d/11923uPwbBZFjjGgGUA6NLw09EwE0CqkOc4q9oUmW1yo/edit?usp=sharing"",""น่าน!J345"")"),15)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IFERROR(__xludf.DUMMYFUNCTION("IMPORTRANGE(""https://docs.google.com/spreadsheets/d/11923uPwbBZFjjGgGUA6NLw09EwE0CqkOc4q9oUmW1yo/edit?usp=sharing"",""น่าน!I346"")"),20)</f>
        <v>20</v>
      </c>
      <c r="J451" s="189">
        <f ca="1">IFERROR(__xludf.DUMMYFUNCTION("IMPORTRANGE(""https://docs.google.com/spreadsheets/d/11923uPwbBZFjjGgGUA6NLw09EwE0CqkOc4q9oUmW1yo/edit?usp=sharing"",""น่าน!J346"")"),20)</f>
        <v>20</v>
      </c>
      <c r="K451" s="165">
        <f t="shared" ca="1" si="115"/>
        <v>100</v>
      </c>
      <c r="L451" s="183"/>
      <c r="M451" s="183"/>
      <c r="N451" s="183"/>
      <c r="O451" s="183"/>
      <c r="P451" s="183"/>
    </row>
    <row r="452" spans="1:16" ht="21.75" hidden="1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IFERROR(__xludf.DUMMYFUNCTION("IMPORTRANGE(""https://docs.google.com/spreadsheets/d/11923uPwbBZFjjGgGUA6NLw09EwE0CqkOc4q9oUmW1yo/edit?usp=sharing"",""น่าน!I347"")"),0)</f>
        <v>0</v>
      </c>
      <c r="J452" s="189">
        <f ca="1">IFERROR(__xludf.DUMMYFUNCTION("IMPORTRANGE(""https://docs.google.com/spreadsheets/d/11923uPwbBZFjjGgGUA6NLw09EwE0CqkOc4q9oUmW1yo/edit?usp=sharing"",""น่าน!J347"")"),0)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IFERROR(__xludf.DUMMYFUNCTION("IMPORTRANGE(""https://docs.google.com/spreadsheets/d/11923uPwbBZFjjGgGUA6NLw09EwE0CqkOc4q9oUmW1yo/edit?usp=sharing"",""น่าน!J348"")"),0)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IFERROR(__xludf.DUMMYFUNCTION("IMPORTRANGE(""https://docs.google.com/spreadsheets/d/11923uPwbBZFjjGgGUA6NLw09EwE0CqkOc4q9oUmW1yo/edit?usp=sharing"",""น่าน!J349"")"),0)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IFERROR(__xludf.DUMMYFUNCTION("IMPORTRANGE(""https://docs.google.com/spreadsheets/d/11923uPwbBZFjjGgGUA6NLw09EwE0CqkOc4q9oUmW1yo/edit?usp=sharing"",""น่าน!I350"")"),56567)</f>
        <v>56567</v>
      </c>
      <c r="J455" s="372">
        <f ca="1">IFERROR(__xludf.DUMMYFUNCTION("IMPORTRANGE(""https://docs.google.com/spreadsheets/d/11923uPwbBZFjjGgGUA6NLw09EwE0CqkOc4q9oUmW1yo/edit?usp=sharing"",""น่าน!J350"")"),56593.38)</f>
        <v>56593.38</v>
      </c>
      <c r="K455" s="373">
        <f ca="1">IF(I455&gt;0,J455*100/I455,0)</f>
        <v>100.04663496384818</v>
      </c>
      <c r="L455" s="374">
        <f ca="1">IFERROR(__xludf.DUMMYFUNCTION("IMPORTRANGE(""https://docs.google.com/spreadsheets/d/11923uPwbBZFjjGgGUA6NLw09EwE0CqkOc4q9oUmW1yo/edit?usp=sharing"",""น่าน!L350"")"),616854)</f>
        <v>616854</v>
      </c>
      <c r="M455" s="374"/>
      <c r="N455" s="374">
        <f ca="1">IFERROR(__xludf.DUMMYFUNCTION("IMPORTRANGE(""https://docs.google.com/spreadsheets/d/11923uPwbBZFjjGgGUA6NLw09EwE0CqkOc4q9oUmW1yo/edit?usp=sharing"",""น่าน!M350"")"),106786)</f>
        <v>106786</v>
      </c>
      <c r="O455" s="374">
        <f t="shared" ref="O455:O459" ca="1" si="116">+IF(L455&gt;0,N455*100/L455,0)</f>
        <v>17.311389729174163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IFERROR(__xludf.DUMMYFUNCTION("IMPORTRANGE(""https://docs.google.com/spreadsheets/d/11923uPwbBZFjjGgGUA6NLw09EwE0CqkOc4q9oUmW1yo/edit?usp=sharing"",""น่าน!L351"")"),0)</f>
        <v>0</v>
      </c>
      <c r="M456" s="166"/>
      <c r="N456" s="170">
        <f ca="1">IFERROR(__xludf.DUMMYFUNCTION("IMPORTRANGE(""https://docs.google.com/spreadsheets/d/11923uPwbBZFjjGgGUA6NLw09EwE0CqkOc4q9oUmW1yo/edit?usp=sharing"",""น่าน!M351"")"),0)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IFERROR(__xludf.DUMMYFUNCTION("IMPORTRANGE(""https://docs.google.com/spreadsheets/d/11923uPwbBZFjjGgGUA6NLw09EwE0CqkOc4q9oUmW1yo/edit?usp=sharing"",""น่าน!L352"")"),616854)</f>
        <v>616854</v>
      </c>
      <c r="M457" s="167"/>
      <c r="N457" s="170">
        <f ca="1">IFERROR(__xludf.DUMMYFUNCTION("IMPORTRANGE(""https://docs.google.com/spreadsheets/d/11923uPwbBZFjjGgGUA6NLw09EwE0CqkOc4q9oUmW1yo/edit?usp=sharing"",""น่าน!M352"")"),106786)</f>
        <v>106786</v>
      </c>
      <c r="O457" s="170">
        <f t="shared" ca="1" si="116"/>
        <v>17.311389729174163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IFERROR(__xludf.DUMMYFUNCTION("IMPORTRANGE(""https://docs.google.com/spreadsheets/d/11923uPwbBZFjjGgGUA6NLw09EwE0CqkOc4q9oUmW1yo/edit?usp=sharing"",""น่าน!L353"")"),0)</f>
        <v>0</v>
      </c>
      <c r="M458" s="170"/>
      <c r="N458" s="170">
        <f ca="1">IFERROR(__xludf.DUMMYFUNCTION("IMPORTRANGE(""https://docs.google.com/spreadsheets/d/11923uPwbBZFjjGgGUA6NLw09EwE0CqkOc4q9oUmW1yo/edit?usp=sharing"",""น่าน!M353"")"),0)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IFERROR(__xludf.DUMMYFUNCTION("IMPORTRANGE(""https://docs.google.com/spreadsheets/d/11923uPwbBZFjjGgGUA6NLw09EwE0CqkOc4q9oUmW1yo/edit?usp=sharing"",""น่าน!L354"")"),616854)</f>
        <v>616854</v>
      </c>
      <c r="M459" s="170"/>
      <c r="N459" s="170">
        <f ca="1">IFERROR(__xludf.DUMMYFUNCTION("IMPORTRANGE(""https://docs.google.com/spreadsheets/d/11923uPwbBZFjjGgGUA6NLw09EwE0CqkOc4q9oUmW1yo/edit?usp=sharing"",""น่าน!M354"")"),106786)</f>
        <v>106786</v>
      </c>
      <c r="O459" s="170">
        <f t="shared" ca="1" si="116"/>
        <v>17.311389729174163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IFERROR(__xludf.DUMMYFUNCTION("IMPORTRANGE(""https://docs.google.com/spreadsheets/d/11923uPwbBZFjjGgGUA6NLw09EwE0CqkOc4q9oUmW1yo/edit?usp=sharing"",""น่าน!M355"")"),0)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IFERROR(__xludf.DUMMYFUNCTION("IMPORTRANGE(""https://docs.google.com/spreadsheets/d/11923uPwbBZFjjGgGUA6NLw09EwE0CqkOc4q9oUmW1yo/edit?usp=sharing"",""น่าน!M356"")"),0)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IFERROR(__xludf.DUMMYFUNCTION("IMPORTRANGE(""https://docs.google.com/spreadsheets/d/11923uPwbBZFjjGgGUA6NLw09EwE0CqkOc4q9oUmW1yo/edit?usp=sharing"",""น่าน!M357"")"),53516)</f>
        <v>53516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IFERROR(__xludf.DUMMYFUNCTION("IMPORTRANGE(""https://docs.google.com/spreadsheets/d/11923uPwbBZFjjGgGUA6NLw09EwE0CqkOc4q9oUmW1yo/edit?usp=sharing"",""น่าน!M358"")"),53270)</f>
        <v>53270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IFERROR(__xludf.DUMMYFUNCTION("IMPORTRANGE(""https://docs.google.com/spreadsheets/d/11923uPwbBZFjjGgGUA6NLw09EwE0CqkOc4q9oUmW1yo/edit?usp=sharing"",""น่าน!I359"")"),56567)</f>
        <v>56567</v>
      </c>
      <c r="J464" s="268">
        <f ca="1">IFERROR(__xludf.DUMMYFUNCTION("IMPORTRANGE(""https://docs.google.com/spreadsheets/d/11923uPwbBZFjjGgGUA6NLw09EwE0CqkOc4q9oUmW1yo/edit?usp=sharing"",""น่าน!J359"")"),56593.38)</f>
        <v>56593.38</v>
      </c>
      <c r="K464" s="269">
        <f t="shared" ref="K464:K515" ca="1" si="117">IF(I464&gt;0,J464*100/I464,0)</f>
        <v>100.04663496384818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IFERROR(__xludf.DUMMYFUNCTION("IMPORTRANGE(""https://docs.google.com/spreadsheets/d/11923uPwbBZFjjGgGUA6NLw09EwE0CqkOc4q9oUmW1yo/edit?usp=sharing"",""น่าน!I360"")"),56567)</f>
        <v>56567</v>
      </c>
      <c r="J465" s="422">
        <f ca="1">IFERROR(__xludf.DUMMYFUNCTION("IMPORTRANGE(""https://docs.google.com/spreadsheets/d/11923uPwbBZFjjGgGUA6NLw09EwE0CqkOc4q9oUmW1yo/edit?usp=sharing"",""น่าน!J360"")"),56592)</f>
        <v>56592</v>
      </c>
      <c r="K465" s="203">
        <f t="shared" ca="1" si="117"/>
        <v>100.04419537893118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IFERROR(__xludf.DUMMYFUNCTION("IMPORTRANGE(""https://docs.google.com/spreadsheets/d/11923uPwbBZFjjGgGUA6NLw09EwE0CqkOc4q9oUmW1yo/edit?usp=sharing"",""น่าน!I361"")"),9077)</f>
        <v>9077</v>
      </c>
      <c r="J466" s="422">
        <f ca="1">IFERROR(__xludf.DUMMYFUNCTION("IMPORTRANGE(""https://docs.google.com/spreadsheets/d/11923uPwbBZFjjGgGUA6NLw09EwE0CqkOc4q9oUmW1yo/edit?usp=sharing"",""น่าน!J361"")"),9077)</f>
        <v>9077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IFERROR(__xludf.DUMMYFUNCTION("IMPORTRANGE(""https://docs.google.com/spreadsheets/d/11923uPwbBZFjjGgGUA6NLw09EwE0CqkOc4q9oUmW1yo/edit?usp=sharing"",""น่าน!I362"")"),0)</f>
        <v>0</v>
      </c>
      <c r="J467" s="190">
        <f ca="1">IFERROR(__xludf.DUMMYFUNCTION("IMPORTRANGE(""https://docs.google.com/spreadsheets/d/11923uPwbBZFjjGgGUA6NLw09EwE0CqkOc4q9oUmW1yo/edit?usp=sharing"",""น่าน!J362"")"),52753)</f>
        <v>52753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IFERROR(__xludf.DUMMYFUNCTION("IMPORTRANGE(""https://docs.google.com/spreadsheets/d/11923uPwbBZFjjGgGUA6NLw09EwE0CqkOc4q9oUmW1yo/edit?usp=sharing"",""น่าน!I363"")"),0)</f>
        <v>0</v>
      </c>
      <c r="J468" s="190">
        <f ca="1">IFERROR(__xludf.DUMMYFUNCTION("IMPORTRANGE(""https://docs.google.com/spreadsheets/d/11923uPwbBZFjjGgGUA6NLw09EwE0CqkOc4q9oUmW1yo/edit?usp=sharing"",""น่าน!J363"")"),8626)</f>
        <v>8626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IFERROR(__xludf.DUMMYFUNCTION("IMPORTRANGE(""https://docs.google.com/spreadsheets/d/11923uPwbBZFjjGgGUA6NLw09EwE0CqkOc4q9oUmW1yo/edit?usp=sharing"",""น่าน!I364"")"),0)</f>
        <v>0</v>
      </c>
      <c r="J469" s="190">
        <f ca="1">IFERROR(__xludf.DUMMYFUNCTION("IMPORTRANGE(""https://docs.google.com/spreadsheets/d/11923uPwbBZFjjGgGUA6NLw09EwE0CqkOc4q9oUmW1yo/edit?usp=sharing"",""น่าน!J364"")"),3269)</f>
        <v>3269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IFERROR(__xludf.DUMMYFUNCTION("IMPORTRANGE(""https://docs.google.com/spreadsheets/d/11923uPwbBZFjjGgGUA6NLw09EwE0CqkOc4q9oUmW1yo/edit?usp=sharing"",""น่าน!I365"")"),0)</f>
        <v>0</v>
      </c>
      <c r="J470" s="190">
        <f ca="1">IFERROR(__xludf.DUMMYFUNCTION("IMPORTRANGE(""https://docs.google.com/spreadsheets/d/11923uPwbBZFjjGgGUA6NLw09EwE0CqkOc4q9oUmW1yo/edit?usp=sharing"",""น่าน!J365"")"),345)</f>
        <v>345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IFERROR(__xludf.DUMMYFUNCTION("IMPORTRANGE(""https://docs.google.com/spreadsheets/d/11923uPwbBZFjjGgGUA6NLw09EwE0CqkOc4q9oUmW1yo/edit?usp=sharing"",""น่าน!I366"")"),0)</f>
        <v>0</v>
      </c>
      <c r="J471" s="190">
        <f ca="1">IFERROR(__xludf.DUMMYFUNCTION("IMPORTRANGE(""https://docs.google.com/spreadsheets/d/11923uPwbBZFjjGgGUA6NLw09EwE0CqkOc4q9oUmW1yo/edit?usp=sharing"",""น่าน!J366"")"),570)</f>
        <v>570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IFERROR(__xludf.DUMMYFUNCTION("IMPORTRANGE(""https://docs.google.com/spreadsheets/d/11923uPwbBZFjjGgGUA6NLw09EwE0CqkOc4q9oUmW1yo/edit?usp=sharing"",""น่าน!I367"")"),0)</f>
        <v>0</v>
      </c>
      <c r="J472" s="190">
        <f ca="1">IFERROR(__xludf.DUMMYFUNCTION("IMPORTRANGE(""https://docs.google.com/spreadsheets/d/11923uPwbBZFjjGgGUA6NLw09EwE0CqkOc4q9oUmW1yo/edit?usp=sharing"",""น่าน!J367"")"),106)</f>
        <v>106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IFERROR(__xludf.DUMMYFUNCTION("IMPORTRANGE(""https://docs.google.com/spreadsheets/d/11923uPwbBZFjjGgGUA6NLw09EwE0CqkOc4q9oUmW1yo/edit?usp=sharing"",""น่าน!I368"")"),56567)</f>
        <v>56567</v>
      </c>
      <c r="J473" s="422">
        <f ca="1">IFERROR(__xludf.DUMMYFUNCTION("IMPORTRANGE(""https://docs.google.com/spreadsheets/d/11923uPwbBZFjjGgGUA6NLw09EwE0CqkOc4q9oUmW1yo/edit?usp=sharing"",""น่าน!J368"")"),56592.9399999999)</f>
        <v>56592.9399999999</v>
      </c>
      <c r="K473" s="203">
        <f t="shared" ca="1" si="117"/>
        <v>100.04585712517881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IFERROR(__xludf.DUMMYFUNCTION("IMPORTRANGE(""https://docs.google.com/spreadsheets/d/11923uPwbBZFjjGgGUA6NLw09EwE0CqkOc4q9oUmW1yo/edit?usp=sharing"",""น่าน!I369"")"),9077)</f>
        <v>9077</v>
      </c>
      <c r="J474" s="422">
        <f ca="1">IFERROR(__xludf.DUMMYFUNCTION("IMPORTRANGE(""https://docs.google.com/spreadsheets/d/11923uPwbBZFjjGgGUA6NLw09EwE0CqkOc4q9oUmW1yo/edit?usp=sharing"",""น่าน!J369"")"),9077)</f>
        <v>9077</v>
      </c>
      <c r="K474" s="203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IFERROR(__xludf.DUMMYFUNCTION("IMPORTRANGE(""https://docs.google.com/spreadsheets/d/11923uPwbBZFjjGgGUA6NLw09EwE0CqkOc4q9oUmW1yo/edit?usp=sharing"",""น่าน!I370"")"),0)</f>
        <v>0</v>
      </c>
      <c r="J475" s="190">
        <f ca="1">IFERROR(__xludf.DUMMYFUNCTION("IMPORTRANGE(""https://docs.google.com/spreadsheets/d/11923uPwbBZFjjGgGUA6NLw09EwE0CqkOc4q9oUmW1yo/edit?usp=sharing"",""น่าน!J370"")"),54262.56)</f>
        <v>54262.559999999998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IFERROR(__xludf.DUMMYFUNCTION("IMPORTRANGE(""https://docs.google.com/spreadsheets/d/11923uPwbBZFjjGgGUA6NLw09EwE0CqkOc4q9oUmW1yo/edit?usp=sharing"",""น่าน!I371"")"),0)</f>
        <v>0</v>
      </c>
      <c r="J476" s="190">
        <f ca="1">IFERROR(__xludf.DUMMYFUNCTION("IMPORTRANGE(""https://docs.google.com/spreadsheets/d/11923uPwbBZFjjGgGUA6NLw09EwE0CqkOc4q9oUmW1yo/edit?usp=sharing"",""น่าน!J371"")"),8784)</f>
        <v>8784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IFERROR(__xludf.DUMMYFUNCTION("IMPORTRANGE(""https://docs.google.com/spreadsheets/d/11923uPwbBZFjjGgGUA6NLw09EwE0CqkOc4q9oUmW1yo/edit?usp=sharing"",""น่าน!I372"")"),0)</f>
        <v>0</v>
      </c>
      <c r="J477" s="190">
        <f ca="1">IFERROR(__xludf.DUMMYFUNCTION("IMPORTRANGE(""https://docs.google.com/spreadsheets/d/11923uPwbBZFjjGgGUA6NLw09EwE0CqkOc4q9oUmW1yo/edit?usp=sharing"",""น่าน!J372"")"),1776.21)</f>
        <v>1776.21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IFERROR(__xludf.DUMMYFUNCTION("IMPORTRANGE(""https://docs.google.com/spreadsheets/d/11923uPwbBZFjjGgGUA6NLw09EwE0CqkOc4q9oUmW1yo/edit?usp=sharing"",""น่าน!I373"")"),0)</f>
        <v>0</v>
      </c>
      <c r="J478" s="190">
        <f ca="1">IFERROR(__xludf.DUMMYFUNCTION("IMPORTRANGE(""https://docs.google.com/spreadsheets/d/11923uPwbBZFjjGgGUA6NLw09EwE0CqkOc4q9oUmW1yo/edit?usp=sharing"",""น่าน!J373"")"),190)</f>
        <v>190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IFERROR(__xludf.DUMMYFUNCTION("IMPORTRANGE(""https://docs.google.com/spreadsheets/d/11923uPwbBZFjjGgGUA6NLw09EwE0CqkOc4q9oUmW1yo/edit?usp=sharing"",""น่าน!I374"")"),0)</f>
        <v>0</v>
      </c>
      <c r="J479" s="190">
        <f ca="1">IFERROR(__xludf.DUMMYFUNCTION("IMPORTRANGE(""https://docs.google.com/spreadsheets/d/11923uPwbBZFjjGgGUA6NLw09EwE0CqkOc4q9oUmW1yo/edit?usp=sharing"",""น่าน!J374"")"),554.17)</f>
        <v>554.16999999999996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IFERROR(__xludf.DUMMYFUNCTION("IMPORTRANGE(""https://docs.google.com/spreadsheets/d/11923uPwbBZFjjGgGUA6NLw09EwE0CqkOc4q9oUmW1yo/edit?usp=sharing"",""น่าน!I375"")"),0)</f>
        <v>0</v>
      </c>
      <c r="J480" s="190">
        <f ca="1">IFERROR(__xludf.DUMMYFUNCTION("IMPORTRANGE(""https://docs.google.com/spreadsheets/d/11923uPwbBZFjjGgGUA6NLw09EwE0CqkOc4q9oUmW1yo/edit?usp=sharing"",""น่าน!J375"")"),103)</f>
        <v>103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IFERROR(__xludf.DUMMYFUNCTION("IMPORTRANGE(""https://docs.google.com/spreadsheets/d/11923uPwbBZFjjGgGUA6NLw09EwE0CqkOc4q9oUmW1yo/edit?usp=sharing"",""น่าน!I376"")"),56567)</f>
        <v>56567</v>
      </c>
      <c r="J481" s="422">
        <f ca="1">IFERROR(__xludf.DUMMYFUNCTION("IMPORTRANGE(""https://docs.google.com/spreadsheets/d/11923uPwbBZFjjGgGUA6NLw09EwE0CqkOc4q9oUmW1yo/edit?usp=sharing"",""น่าน!J376"")"),56593.38)</f>
        <v>56593.38</v>
      </c>
      <c r="K481" s="203">
        <f t="shared" ca="1" si="117"/>
        <v>100.04663496384818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IFERROR(__xludf.DUMMYFUNCTION("IMPORTRANGE(""https://docs.google.com/spreadsheets/d/11923uPwbBZFjjGgGUA6NLw09EwE0CqkOc4q9oUmW1yo/edit?usp=sharing"",""น่าน!I377"")"),9077)</f>
        <v>9077</v>
      </c>
      <c r="J482" s="422">
        <f ca="1">IFERROR(__xludf.DUMMYFUNCTION("IMPORTRANGE(""https://docs.google.com/spreadsheets/d/11923uPwbBZFjjGgGUA6NLw09EwE0CqkOc4q9oUmW1yo/edit?usp=sharing"",""น่าน!J377"")"),9077)</f>
        <v>9077</v>
      </c>
      <c r="K482" s="165">
        <f t="shared" ca="1" si="117"/>
        <v>100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IFERROR(__xludf.DUMMYFUNCTION("IMPORTRANGE(""https://docs.google.com/spreadsheets/d/11923uPwbBZFjjGgGUA6NLw09EwE0CqkOc4q9oUmW1yo/edit?usp=sharing"",""น่าน!I378"")"),0)</f>
        <v>0</v>
      </c>
      <c r="J483" s="190">
        <f ca="1">IFERROR(__xludf.DUMMYFUNCTION("IMPORTRANGE(""https://docs.google.com/spreadsheets/d/11923uPwbBZFjjGgGUA6NLw09EwE0CqkOc4q9oUmW1yo/edit?usp=sharing"",""น่าน!J378"")"),54263)</f>
        <v>54263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IFERROR(__xludf.DUMMYFUNCTION("IMPORTRANGE(""https://docs.google.com/spreadsheets/d/11923uPwbBZFjjGgGUA6NLw09EwE0CqkOc4q9oUmW1yo/edit?usp=sharing"",""น่าน!I379"")"),0)</f>
        <v>0</v>
      </c>
      <c r="J484" s="190">
        <f ca="1">IFERROR(__xludf.DUMMYFUNCTION("IMPORTRANGE(""https://docs.google.com/spreadsheets/d/11923uPwbBZFjjGgGUA6NLw09EwE0CqkOc4q9oUmW1yo/edit?usp=sharing"",""น่าน!J379"")"),8784)</f>
        <v>8784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IFERROR(__xludf.DUMMYFUNCTION("IMPORTRANGE(""https://docs.google.com/spreadsheets/d/11923uPwbBZFjjGgGUA6NLw09EwE0CqkOc4q9oUmW1yo/edit?usp=sharing"",""น่าน!I380"")"),0)</f>
        <v>0</v>
      </c>
      <c r="J485" s="190">
        <f ca="1">IFERROR(__xludf.DUMMYFUNCTION("IMPORTRANGE(""https://docs.google.com/spreadsheets/d/11923uPwbBZFjjGgGUA6NLw09EwE0CqkOc4q9oUmW1yo/edit?usp=sharing"",""น่าน!J380"")"),1748.72)</f>
        <v>1748.72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IFERROR(__xludf.DUMMYFUNCTION("IMPORTRANGE(""https://docs.google.com/spreadsheets/d/11923uPwbBZFjjGgGUA6NLw09EwE0CqkOc4q9oUmW1yo/edit?usp=sharing"",""น่าน!I381"")"),0)</f>
        <v>0</v>
      </c>
      <c r="J486" s="190">
        <f ca="1">IFERROR(__xludf.DUMMYFUNCTION("IMPORTRANGE(""https://docs.google.com/spreadsheets/d/11923uPwbBZFjjGgGUA6NLw09EwE0CqkOc4q9oUmW1yo/edit?usp=sharing"",""น่าน!J381"")"),186)</f>
        <v>186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IFERROR(__xludf.DUMMYFUNCTION("IMPORTRANGE(""https://docs.google.com/spreadsheets/d/11923uPwbBZFjjGgGUA6NLw09EwE0CqkOc4q9oUmW1yo/edit?usp=sharing"",""น่าน!I382"")"),0)</f>
        <v>0</v>
      </c>
      <c r="J487" s="422">
        <f ca="1">IFERROR(__xludf.DUMMYFUNCTION("IMPORTRANGE(""https://docs.google.com/spreadsheets/d/11923uPwbBZFjjGgGUA6NLw09EwE0CqkOc4q9oUmW1yo/edit?usp=sharing"",""น่าน!J382"")"),581.66)</f>
        <v>581.66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IFERROR(__xludf.DUMMYFUNCTION("IMPORTRANGE(""https://docs.google.com/spreadsheets/d/11923uPwbBZFjjGgGUA6NLw09EwE0CqkOc4q9oUmW1yo/edit?usp=sharing"",""น่าน!I383"")"),0)</f>
        <v>0</v>
      </c>
      <c r="J488" s="422">
        <f ca="1">IFERROR(__xludf.DUMMYFUNCTION("IMPORTRANGE(""https://docs.google.com/spreadsheets/d/11923uPwbBZFjjGgGUA6NLw09EwE0CqkOc4q9oUmW1yo/edit?usp=sharing"",""น่าน!J383"")"),107)</f>
        <v>107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IFERROR(__xludf.DUMMYFUNCTION("IMPORTRANGE(""https://docs.google.com/spreadsheets/d/11923uPwbBZFjjGgGUA6NLw09EwE0CqkOc4q9oUmW1yo/edit?usp=sharing"",""น่าน!I384"")"),0)</f>
        <v>0</v>
      </c>
      <c r="J489" s="190">
        <f ca="1">IFERROR(__xludf.DUMMYFUNCTION("IMPORTRANGE(""https://docs.google.com/spreadsheets/d/11923uPwbBZFjjGgGUA6NLw09EwE0CqkOc4q9oUmW1yo/edit?usp=sharing"",""น่าน!J384"")"),554.17)</f>
        <v>554.16999999999996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IFERROR(__xludf.DUMMYFUNCTION("IMPORTRANGE(""https://docs.google.com/spreadsheets/d/11923uPwbBZFjjGgGUA6NLw09EwE0CqkOc4q9oUmW1yo/edit?usp=sharing"",""น่าน!I385"")"),0)</f>
        <v>0</v>
      </c>
      <c r="J490" s="190">
        <f ca="1">IFERROR(__xludf.DUMMYFUNCTION("IMPORTRANGE(""https://docs.google.com/spreadsheets/d/11923uPwbBZFjjGgGUA6NLw09EwE0CqkOc4q9oUmW1yo/edit?usp=sharing"",""น่าน!J385"")"),103)</f>
        <v>103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IFERROR(__xludf.DUMMYFUNCTION("IMPORTRANGE(""https://docs.google.com/spreadsheets/d/11923uPwbBZFjjGgGUA6NLw09EwE0CqkOc4q9oUmW1yo/edit?usp=sharing"",""น่าน!I386"")"),0)</f>
        <v>0</v>
      </c>
      <c r="J491" s="190">
        <f ca="1">IFERROR(__xludf.DUMMYFUNCTION("IMPORTRANGE(""https://docs.google.com/spreadsheets/d/11923uPwbBZFjjGgGUA6NLw09EwE0CqkOc4q9oUmW1yo/edit?usp=sharing"",""น่าน!J386"")"),27.49)</f>
        <v>27.49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IFERROR(__xludf.DUMMYFUNCTION("IMPORTRANGE(""https://docs.google.com/spreadsheets/d/11923uPwbBZFjjGgGUA6NLw09EwE0CqkOc4q9oUmW1yo/edit?usp=sharing"",""น่าน!I387"")"),0)</f>
        <v>0</v>
      </c>
      <c r="J492" s="190">
        <f ca="1">IFERROR(__xludf.DUMMYFUNCTION("IMPORTRANGE(""https://docs.google.com/spreadsheets/d/11923uPwbBZFjjGgGUA6NLw09EwE0CqkOc4q9oUmW1yo/edit?usp=sharing"",""น่าน!J387"")"),4)</f>
        <v>4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IFERROR(__xludf.DUMMYFUNCTION("IMPORTRANGE(""https://docs.google.com/spreadsheets/d/11923uPwbBZFjjGgGUA6NLw09EwE0CqkOc4q9oUmW1yo/edit?usp=sharing"",""น่าน!I388"")"),0)</f>
        <v>0</v>
      </c>
      <c r="J493" s="190">
        <f ca="1">IFERROR(__xludf.DUMMYFUNCTION("IMPORTRANGE(""https://docs.google.com/spreadsheets/d/11923uPwbBZFjjGgGUA6NLw09EwE0CqkOc4q9oUmW1yo/edit?usp=sharing"",""น่าน!J388"")"),0)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IFERROR(__xludf.DUMMYFUNCTION("IMPORTRANGE(""https://docs.google.com/spreadsheets/d/11923uPwbBZFjjGgGUA6NLw09EwE0CqkOc4q9oUmW1yo/edit?usp=sharing"",""น่าน!I389"")"),0)</f>
        <v>0</v>
      </c>
      <c r="J494" s="438">
        <f ca="1">IFERROR(__xludf.DUMMYFUNCTION("IMPORTRANGE(""https://docs.google.com/spreadsheets/d/11923uPwbBZFjjGgGUA6NLw09EwE0CqkOc4q9oUmW1yo/edit?usp=sharing"",""น่าน!J389"")"),0)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IFERROR(__xludf.DUMMYFUNCTION("IMPORTRANGE(""https://docs.google.com/spreadsheets/d/11923uPwbBZFjjGgGUA6NLw09EwE0CqkOc4q9oUmW1yo/edit?usp=sharing"",""น่าน!I390"")"),0)</f>
        <v>0</v>
      </c>
      <c r="J495" s="438">
        <f ca="1">IFERROR(__xludf.DUMMYFUNCTION("IMPORTRANGE(""https://docs.google.com/spreadsheets/d/11923uPwbBZFjjGgGUA6NLw09EwE0CqkOc4q9oUmW1yo/edit?usp=sharing"",""น่าน!J390"")"),0)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IFERROR(__xludf.DUMMYFUNCTION("IMPORTRANGE(""https://docs.google.com/spreadsheets/d/11923uPwbBZFjjGgGUA6NLw09EwE0CqkOc4q9oUmW1yo/edit?usp=sharing"",""น่าน!I391"")"),0)</f>
        <v>0</v>
      </c>
      <c r="J496" s="438">
        <f ca="1">IFERROR(__xludf.DUMMYFUNCTION("IMPORTRANGE(""https://docs.google.com/spreadsheets/d/11923uPwbBZFjjGgGUA6NLw09EwE0CqkOc4q9oUmW1yo/edit?usp=sharing"",""น่าน!J391"")"),0)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IFERROR(__xludf.DUMMYFUNCTION("IMPORTRANGE(""https://docs.google.com/spreadsheets/d/11923uPwbBZFjjGgGUA6NLw09EwE0CqkOc4q9oUmW1yo/edit?usp=sharing"",""น่าน!I392"")"),575)</f>
        <v>575</v>
      </c>
      <c r="J497" s="445">
        <f ca="1">IFERROR(__xludf.DUMMYFUNCTION("IMPORTRANGE(""https://docs.google.com/spreadsheets/d/11923uPwbBZFjjGgGUA6NLw09EwE0CqkOc4q9oUmW1yo/edit?usp=sharing"",""น่าน!J392"")"),0)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IFERROR(__xludf.DUMMYFUNCTION("IMPORTRANGE(""https://docs.google.com/spreadsheets/d/11923uPwbBZFjjGgGUA6NLw09EwE0CqkOc4q9oUmW1yo/edit?usp=sharing"",""น่าน!I393"")"),575)</f>
        <v>575</v>
      </c>
      <c r="J498" s="422">
        <f ca="1">IFERROR(__xludf.DUMMYFUNCTION("IMPORTRANGE(""https://docs.google.com/spreadsheets/d/11923uPwbBZFjjGgGUA6NLw09EwE0CqkOc4q9oUmW1yo/edit?usp=sharing"",""น่าน!J393"")"),0)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IFERROR(__xludf.DUMMYFUNCTION("IMPORTRANGE(""https://docs.google.com/spreadsheets/d/11923uPwbBZFjjGgGUA6NLw09EwE0CqkOc4q9oUmW1yo/edit?usp=sharing"",""น่าน!I394"")"),187)</f>
        <v>187</v>
      </c>
      <c r="J499" s="422">
        <f ca="1">IFERROR(__xludf.DUMMYFUNCTION("IMPORTRANGE(""https://docs.google.com/spreadsheets/d/11923uPwbBZFjjGgGUA6NLw09EwE0CqkOc4q9oUmW1yo/edit?usp=sharing"",""น่าน!J394"")"),0)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IFERROR(__xludf.DUMMYFUNCTION("IMPORTRANGE(""https://docs.google.com/spreadsheets/d/11923uPwbBZFjjGgGUA6NLw09EwE0CqkOc4q9oUmW1yo/edit?usp=sharing"",""น่าน!I395"")"),0)</f>
        <v>0</v>
      </c>
      <c r="J500" s="164">
        <f ca="1">IFERROR(__xludf.DUMMYFUNCTION("IMPORTRANGE(""https://docs.google.com/spreadsheets/d/11923uPwbBZFjjGgGUA6NLw09EwE0CqkOc4q9oUmW1yo/edit?usp=sharing"",""น่าน!J395"")"),0)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IFERROR(__xludf.DUMMYFUNCTION("IMPORTRANGE(""https://docs.google.com/spreadsheets/d/11923uPwbBZFjjGgGUA6NLw09EwE0CqkOc4q9oUmW1yo/edit?usp=sharing"",""น่าน!I396"")"),0)</f>
        <v>0</v>
      </c>
      <c r="J501" s="164">
        <f ca="1">IFERROR(__xludf.DUMMYFUNCTION("IMPORTRANGE(""https://docs.google.com/spreadsheets/d/11923uPwbBZFjjGgGUA6NLw09EwE0CqkOc4q9oUmW1yo/edit?usp=sharing"",""น่าน!J396"")"),0)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IFERROR(__xludf.DUMMYFUNCTION("IMPORTRANGE(""https://docs.google.com/spreadsheets/d/11923uPwbBZFjjGgGUA6NLw09EwE0CqkOc4q9oUmW1yo/edit?usp=sharing"",""น่าน!I397"")"),0)</f>
        <v>0</v>
      </c>
      <c r="J502" s="190">
        <f ca="1">IFERROR(__xludf.DUMMYFUNCTION("IMPORTRANGE(""https://docs.google.com/spreadsheets/d/11923uPwbBZFjjGgGUA6NLw09EwE0CqkOc4q9oUmW1yo/edit?usp=sharing"",""น่าน!J397"")"),0)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IFERROR(__xludf.DUMMYFUNCTION("IMPORTRANGE(""https://docs.google.com/spreadsheets/d/11923uPwbBZFjjGgGUA6NLw09EwE0CqkOc4q9oUmW1yo/edit?usp=sharing"",""น่าน!I398"")"),0)</f>
        <v>0</v>
      </c>
      <c r="J503" s="199">
        <f ca="1">IFERROR(__xludf.DUMMYFUNCTION("IMPORTRANGE(""https://docs.google.com/spreadsheets/d/11923uPwbBZFjjGgGUA6NLw09EwE0CqkOc4q9oUmW1yo/edit?usp=sharing"",""น่าน!J398"")"),0)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IFERROR(__xludf.DUMMYFUNCTION("IMPORTRANGE(""https://docs.google.com/spreadsheets/d/11923uPwbBZFjjGgGUA6NLw09EwE0CqkOc4q9oUmW1yo/edit?usp=sharing"",""น่าน!I399"")"),0)</f>
        <v>0</v>
      </c>
      <c r="J504" s="190">
        <f ca="1">IFERROR(__xludf.DUMMYFUNCTION("IMPORTRANGE(""https://docs.google.com/spreadsheets/d/11923uPwbBZFjjGgGUA6NLw09EwE0CqkOc4q9oUmW1yo/edit?usp=sharing"",""น่าน!J399"")"),0)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IFERROR(__xludf.DUMMYFUNCTION("IMPORTRANGE(""https://docs.google.com/spreadsheets/d/11923uPwbBZFjjGgGUA6NLw09EwE0CqkOc4q9oUmW1yo/edit?usp=sharing"",""น่าน!I400"")"),0)</f>
        <v>0</v>
      </c>
      <c r="J505" s="199">
        <f ca="1">IFERROR(__xludf.DUMMYFUNCTION("IMPORTRANGE(""https://docs.google.com/spreadsheets/d/11923uPwbBZFjjGgGUA6NLw09EwE0CqkOc4q9oUmW1yo/edit?usp=sharing"",""น่าน!J400"")"),0)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IFERROR(__xludf.DUMMYFUNCTION("IMPORTRANGE(""https://docs.google.com/spreadsheets/d/11923uPwbBZFjjGgGUA6NLw09EwE0CqkOc4q9oUmW1yo/edit?usp=sharing"",""น่าน!I401"")"),0)</f>
        <v>0</v>
      </c>
      <c r="J506" s="190">
        <f ca="1">IFERROR(__xludf.DUMMYFUNCTION("IMPORTRANGE(""https://docs.google.com/spreadsheets/d/11923uPwbBZFjjGgGUA6NLw09EwE0CqkOc4q9oUmW1yo/edit?usp=sharing"",""น่าน!J401"")"),0)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IFERROR(__xludf.DUMMYFUNCTION("IMPORTRANGE(""https://docs.google.com/spreadsheets/d/11923uPwbBZFjjGgGUA6NLw09EwE0CqkOc4q9oUmW1yo/edit?usp=sharing"",""น่าน!I402"")"),0)</f>
        <v>0</v>
      </c>
      <c r="J507" s="199">
        <f ca="1">IFERROR(__xludf.DUMMYFUNCTION("IMPORTRANGE(""https://docs.google.com/spreadsheets/d/11923uPwbBZFjjGgGUA6NLw09EwE0CqkOc4q9oUmW1yo/edit?usp=sharing"",""น่าน!J402"")"),0)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IFERROR(__xludf.DUMMYFUNCTION("IMPORTRANGE(""https://docs.google.com/spreadsheets/d/11923uPwbBZFjjGgGUA6NLw09EwE0CqkOc4q9oUmW1yo/edit?usp=sharing"",""น่าน!I403"")"),0)</f>
        <v>0</v>
      </c>
      <c r="J508" s="164">
        <f ca="1">IFERROR(__xludf.DUMMYFUNCTION("IMPORTRANGE(""https://docs.google.com/spreadsheets/d/11923uPwbBZFjjGgGUA6NLw09EwE0CqkOc4q9oUmW1yo/edit?usp=sharing"",""น่าน!J403"")"),0)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IFERROR(__xludf.DUMMYFUNCTION("IMPORTRANGE(""https://docs.google.com/spreadsheets/d/11923uPwbBZFjjGgGUA6NLw09EwE0CqkOc4q9oUmW1yo/edit?usp=sharing"",""น่าน!I404"")"),0)</f>
        <v>0</v>
      </c>
      <c r="J509" s="164">
        <f ca="1">IFERROR(__xludf.DUMMYFUNCTION("IMPORTRANGE(""https://docs.google.com/spreadsheets/d/11923uPwbBZFjjGgGUA6NLw09EwE0CqkOc4q9oUmW1yo/edit?usp=sharing"",""น่าน!J404"")"),0)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IFERROR(__xludf.DUMMYFUNCTION("IMPORTRANGE(""https://docs.google.com/spreadsheets/d/11923uPwbBZFjjGgGUA6NLw09EwE0CqkOc4q9oUmW1yo/edit?usp=sharing"",""น่าน!I405"")"),0)</f>
        <v>0</v>
      </c>
      <c r="J510" s="199">
        <f ca="1">IFERROR(__xludf.DUMMYFUNCTION("IMPORTRANGE(""https://docs.google.com/spreadsheets/d/11923uPwbBZFjjGgGUA6NLw09EwE0CqkOc4q9oUmW1yo/edit?usp=sharing"",""น่าน!J405"")"),0)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IFERROR(__xludf.DUMMYFUNCTION("IMPORTRANGE(""https://docs.google.com/spreadsheets/d/11923uPwbBZFjjGgGUA6NLw09EwE0CqkOc4q9oUmW1yo/edit?usp=sharing"",""น่าน!I406"")"),0)</f>
        <v>0</v>
      </c>
      <c r="J511" s="199">
        <f ca="1">IFERROR(__xludf.DUMMYFUNCTION("IMPORTRANGE(""https://docs.google.com/spreadsheets/d/11923uPwbBZFjjGgGUA6NLw09EwE0CqkOc4q9oUmW1yo/edit?usp=sharing"",""น่าน!J406"")"),0)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IFERROR(__xludf.DUMMYFUNCTION("IMPORTRANGE(""https://docs.google.com/spreadsheets/d/11923uPwbBZFjjGgGUA6NLw09EwE0CqkOc4q9oUmW1yo/edit?usp=sharing"",""น่าน!I407"")"),0)</f>
        <v>0</v>
      </c>
      <c r="J512" s="199">
        <f ca="1">IFERROR(__xludf.DUMMYFUNCTION("IMPORTRANGE(""https://docs.google.com/spreadsheets/d/11923uPwbBZFjjGgGUA6NLw09EwE0CqkOc4q9oUmW1yo/edit?usp=sharing"",""น่าน!J407"")"),0)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IFERROR(__xludf.DUMMYFUNCTION("IMPORTRANGE(""https://docs.google.com/spreadsheets/d/11923uPwbBZFjjGgGUA6NLw09EwE0CqkOc4q9oUmW1yo/edit?usp=sharing"",""น่าน!I408"")"),0)</f>
        <v>0</v>
      </c>
      <c r="J513" s="199">
        <f ca="1">IFERROR(__xludf.DUMMYFUNCTION("IMPORTRANGE(""https://docs.google.com/spreadsheets/d/11923uPwbBZFjjGgGUA6NLw09EwE0CqkOc4q9oUmW1yo/edit?usp=sharing"",""น่าน!J408"")"),0)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IFERROR(__xludf.DUMMYFUNCTION("IMPORTRANGE(""https://docs.google.com/spreadsheets/d/11923uPwbBZFjjGgGUA6NLw09EwE0CqkOc4q9oUmW1yo/edit?usp=sharing"",""น่าน!I409"")"),0)</f>
        <v>0</v>
      </c>
      <c r="J514" s="199">
        <f ca="1">IFERROR(__xludf.DUMMYFUNCTION("IMPORTRANGE(""https://docs.google.com/spreadsheets/d/11923uPwbBZFjjGgGUA6NLw09EwE0CqkOc4q9oUmW1yo/edit?usp=sharing"",""น่าน!J409"")"),0)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IFERROR(__xludf.DUMMYFUNCTION("IMPORTRANGE(""https://docs.google.com/spreadsheets/d/11923uPwbBZFjjGgGUA6NLw09EwE0CqkOc4q9oUmW1yo/edit?usp=sharing"",""น่าน!I410"")"),0)</f>
        <v>0</v>
      </c>
      <c r="J515" s="199">
        <f ca="1">IFERROR(__xludf.DUMMYFUNCTION("IMPORTRANGE(""https://docs.google.com/spreadsheets/d/11923uPwbBZFjjGgGUA6NLw09EwE0CqkOc4q9oUmW1yo/edit?usp=sharing"",""น่าน!J410"")"),0)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IFERROR(__xludf.DUMMYFUNCTION("IMPORTRANGE(""https://docs.google.com/spreadsheets/d/11923uPwbBZFjjGgGUA6NLw09EwE0CqkOc4q9oUmW1yo/edit?usp=sharing"",""น่าน!I411"")"),0)</f>
        <v>0</v>
      </c>
      <c r="J516" s="268">
        <f ca="1">IFERROR(__xludf.DUMMYFUNCTION("IMPORTRANGE(""https://docs.google.com/spreadsheets/d/11923uPwbBZFjjGgGUA6NLw09EwE0CqkOc4q9oUmW1yo/edit?usp=sharing"",""น่าน!J411"")"),0)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IFERROR(__xludf.DUMMYFUNCTION("IMPORTRANGE(""https://docs.google.com/spreadsheets/d/11923uPwbBZFjjGgGUA6NLw09EwE0CqkOc4q9oUmW1yo/edit?usp=sharing"",""น่าน!I412"")"),0)</f>
        <v>0</v>
      </c>
      <c r="J517" s="285">
        <f ca="1">IFERROR(__xludf.DUMMYFUNCTION("IMPORTRANGE(""https://docs.google.com/spreadsheets/d/11923uPwbBZFjjGgGUA6NLw09EwE0CqkOc4q9oUmW1yo/edit?usp=sharing"",""น่าน!J412"")"),0)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IFERROR(__xludf.DUMMYFUNCTION("IMPORTRANGE(""https://docs.google.com/spreadsheets/d/11923uPwbBZFjjGgGUA6NLw09EwE0CqkOc4q9oUmW1yo/edit?usp=sharing"",""น่าน!I413"")"),0)</f>
        <v>0</v>
      </c>
      <c r="J518" s="285">
        <f ca="1">IFERROR(__xludf.DUMMYFUNCTION("IMPORTRANGE(""https://docs.google.com/spreadsheets/d/11923uPwbBZFjjGgGUA6NLw09EwE0CqkOc4q9oUmW1yo/edit?usp=sharing"",""น่าน!J413"")"),0)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IFERROR(__xludf.DUMMYFUNCTION("IMPORTRANGE(""https://docs.google.com/spreadsheets/d/11923uPwbBZFjjGgGUA6NLw09EwE0CqkOc4q9oUmW1yo/edit?usp=sharing"",""น่าน!I414"")"),0)</f>
        <v>0</v>
      </c>
      <c r="J519" s="189">
        <f ca="1">IFERROR(__xludf.DUMMYFUNCTION("IMPORTRANGE(""https://docs.google.com/spreadsheets/d/11923uPwbBZFjjGgGUA6NLw09EwE0CqkOc4q9oUmW1yo/edit?usp=sharing"",""น่าน!J414"")"),0)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IFERROR(__xludf.DUMMYFUNCTION("IMPORTRANGE(""https://docs.google.com/spreadsheets/d/11923uPwbBZFjjGgGUA6NLw09EwE0CqkOc4q9oUmW1yo/edit?usp=sharing"",""น่าน!I415"")"),0)</f>
        <v>0</v>
      </c>
      <c r="J520" s="189">
        <f ca="1">IFERROR(__xludf.DUMMYFUNCTION("IMPORTRANGE(""https://docs.google.com/spreadsheets/d/11923uPwbBZFjjGgGUA6NLw09EwE0CqkOc4q9oUmW1yo/edit?usp=sharing"",""น่าน!J415"")"),0)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IFERROR(__xludf.DUMMYFUNCTION("IMPORTRANGE(""https://docs.google.com/spreadsheets/d/11923uPwbBZFjjGgGUA6NLw09EwE0CqkOc4q9oUmW1yo/edit?usp=sharing"",""น่าน!I416"")"),0)</f>
        <v>0</v>
      </c>
      <c r="J521" s="189">
        <f ca="1">IFERROR(__xludf.DUMMYFUNCTION("IMPORTRANGE(""https://docs.google.com/spreadsheets/d/11923uPwbBZFjjGgGUA6NLw09EwE0CqkOc4q9oUmW1yo/edit?usp=sharing"",""น่าน!J416"")"),0)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IFERROR(__xludf.DUMMYFUNCTION("IMPORTRANGE(""https://docs.google.com/spreadsheets/d/11923uPwbBZFjjGgGUA6NLw09EwE0CqkOc4q9oUmW1yo/edit?usp=sharing"",""น่าน!I417"")"),0)</f>
        <v>0</v>
      </c>
      <c r="J522" s="189">
        <f ca="1">IFERROR(__xludf.DUMMYFUNCTION("IMPORTRANGE(""https://docs.google.com/spreadsheets/d/11923uPwbBZFjjGgGUA6NLw09EwE0CqkOc4q9oUmW1yo/edit?usp=sharing"",""น่าน!J417"")"),0)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IFERROR(__xludf.DUMMYFUNCTION("IMPORTRANGE(""https://docs.google.com/spreadsheets/d/11923uPwbBZFjjGgGUA6NLw09EwE0CqkOc4q9oUmW1yo/edit?usp=sharing"",""น่าน!I418"")"),0)</f>
        <v>0</v>
      </c>
      <c r="J523" s="189">
        <f ca="1">IFERROR(__xludf.DUMMYFUNCTION("IMPORTRANGE(""https://docs.google.com/spreadsheets/d/11923uPwbBZFjjGgGUA6NLw09EwE0CqkOc4q9oUmW1yo/edit?usp=sharing"",""น่าน!J418"")"),13)</f>
        <v>13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IFERROR(__xludf.DUMMYFUNCTION("IMPORTRANGE(""https://docs.google.com/spreadsheets/d/11923uPwbBZFjjGgGUA6NLw09EwE0CqkOc4q9oUmW1yo/edit?usp=sharing"",""น่าน!I419"")"),0)</f>
        <v>0</v>
      </c>
      <c r="J524" s="189">
        <f ca="1">IFERROR(__xludf.DUMMYFUNCTION("IMPORTRANGE(""https://docs.google.com/spreadsheets/d/11923uPwbBZFjjGgGUA6NLw09EwE0CqkOc4q9oUmW1yo/edit?usp=sharing"",""น่าน!J419"")"),4)</f>
        <v>4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IFERROR(__xludf.DUMMYFUNCTION("IMPORTRANGE(""https://docs.google.com/spreadsheets/d/11923uPwbBZFjjGgGUA6NLw09EwE0CqkOc4q9oUmW1yo/edit?usp=sharing"",""น่าน!I420"")"),13)</f>
        <v>13</v>
      </c>
      <c r="J525" s="285">
        <f ca="1">IFERROR(__xludf.DUMMYFUNCTION("IMPORTRANGE(""https://docs.google.com/spreadsheets/d/11923uPwbBZFjjGgGUA6NLw09EwE0CqkOc4q9oUmW1yo/edit?usp=sharing"",""น่าน!J420"")"),0)</f>
        <v>0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IFERROR(__xludf.DUMMYFUNCTION("IMPORTRANGE(""https://docs.google.com/spreadsheets/d/11923uPwbBZFjjGgGUA6NLw09EwE0CqkOc4q9oUmW1yo/edit?usp=sharing"",""น่าน!I421"")"),4)</f>
        <v>4</v>
      </c>
      <c r="J526" s="285">
        <f ca="1">IFERROR(__xludf.DUMMYFUNCTION("IMPORTRANGE(""https://docs.google.com/spreadsheets/d/11923uPwbBZFjjGgGUA6NLw09EwE0CqkOc4q9oUmW1yo/edit?usp=sharing"",""น่าน!J421"")"),0)</f>
        <v>0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IFERROR(__xludf.DUMMYFUNCTION("IMPORTRANGE(""https://docs.google.com/spreadsheets/d/11923uPwbBZFjjGgGUA6NLw09EwE0CqkOc4q9oUmW1yo/edit?usp=sharing"",""น่าน!I422"")"),0)</f>
        <v>0</v>
      </c>
      <c r="J527" s="199">
        <f ca="1">IFERROR(__xludf.DUMMYFUNCTION("IMPORTRANGE(""https://docs.google.com/spreadsheets/d/11923uPwbBZFjjGgGUA6NLw09EwE0CqkOc4q9oUmW1yo/edit?usp=sharing"",""น่าน!J422"")"),0)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IFERROR(__xludf.DUMMYFUNCTION("IMPORTRANGE(""https://docs.google.com/spreadsheets/d/11923uPwbBZFjjGgGUA6NLw09EwE0CqkOc4q9oUmW1yo/edit?usp=sharing"",""น่าน!I423"")"),0)</f>
        <v>0</v>
      </c>
      <c r="J528" s="199">
        <f ca="1">IFERROR(__xludf.DUMMYFUNCTION("IMPORTRANGE(""https://docs.google.com/spreadsheets/d/11923uPwbBZFjjGgGUA6NLw09EwE0CqkOc4q9oUmW1yo/edit?usp=sharing"",""น่าน!J423"")"),0)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IFERROR(__xludf.DUMMYFUNCTION("IMPORTRANGE(""https://docs.google.com/spreadsheets/d/11923uPwbBZFjjGgGUA6NLw09EwE0CqkOc4q9oUmW1yo/edit?usp=sharing"",""น่าน!I424"")"),0)</f>
        <v>0</v>
      </c>
      <c r="J529" s="199">
        <f ca="1">IFERROR(__xludf.DUMMYFUNCTION("IMPORTRANGE(""https://docs.google.com/spreadsheets/d/11923uPwbBZFjjGgGUA6NLw09EwE0CqkOc4q9oUmW1yo/edit?usp=sharing"",""น่าน!J424"")"),0)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IFERROR(__xludf.DUMMYFUNCTION("IMPORTRANGE(""https://docs.google.com/spreadsheets/d/11923uPwbBZFjjGgGUA6NLw09EwE0CqkOc4q9oUmW1yo/edit?usp=sharing"",""น่าน!I425"")"),0)</f>
        <v>0</v>
      </c>
      <c r="J530" s="199">
        <f ca="1">IFERROR(__xludf.DUMMYFUNCTION("IMPORTRANGE(""https://docs.google.com/spreadsheets/d/11923uPwbBZFjjGgGUA6NLw09EwE0CqkOc4q9oUmW1yo/edit?usp=sharing"",""น่าน!J425"")"),0)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IFERROR(__xludf.DUMMYFUNCTION("IMPORTRANGE(""https://docs.google.com/spreadsheets/d/11923uPwbBZFjjGgGUA6NLw09EwE0CqkOc4q9oUmW1yo/edit?usp=sharing"",""น่าน!I426"")"),0)</f>
        <v>0</v>
      </c>
      <c r="J531" s="199">
        <f ca="1">IFERROR(__xludf.DUMMYFUNCTION("IMPORTRANGE(""https://docs.google.com/spreadsheets/d/11923uPwbBZFjjGgGUA6NLw09EwE0CqkOc4q9oUmW1yo/edit?usp=sharing"",""น่าน!J426"")"),0)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IFERROR(__xludf.DUMMYFUNCTION("IMPORTRANGE(""https://docs.google.com/spreadsheets/d/11923uPwbBZFjjGgGUA6NLw09EwE0CqkOc4q9oUmW1yo/edit?usp=sharing"",""น่าน!I427"")"),0)</f>
        <v>0</v>
      </c>
      <c r="J532" s="468">
        <f ca="1">IFERROR(__xludf.DUMMYFUNCTION("IMPORTRANGE(""https://docs.google.com/spreadsheets/d/11923uPwbBZFjjGgGUA6NLw09EwE0CqkOc4q9oUmW1yo/edit?usp=sharing"",""น่าน!J427"")"),0)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IFERROR(__xludf.DUMMYFUNCTION("IMPORTRANGE(""https://docs.google.com/spreadsheets/d/11923uPwbBZFjjGgGUA6NLw09EwE0CqkOc4q9oUmW1yo/edit?usp=sharing"",""น่าน!I428"")"),22)</f>
        <v>22</v>
      </c>
      <c r="J533" s="411">
        <f ca="1">IFERROR(__xludf.DUMMYFUNCTION("IMPORTRANGE(""https://docs.google.com/spreadsheets/d/11923uPwbBZFjjGgGUA6NLw09EwE0CqkOc4q9oUmW1yo/edit?usp=sharing"",""น่าน!J428"")"),22)</f>
        <v>22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IFERROR(__xludf.DUMMYFUNCTION("IMPORTRANGE(""https://docs.google.com/spreadsheets/d/11923uPwbBZFjjGgGUA6NLw09EwE0CqkOc4q9oUmW1yo/edit?usp=sharing"",""น่าน!L428"")"),34340)</f>
        <v>34340</v>
      </c>
      <c r="M533" s="413"/>
      <c r="N533" s="413">
        <f ca="1">IFERROR(__xludf.DUMMYFUNCTION("IMPORTRANGE(""https://docs.google.com/spreadsheets/d/11923uPwbBZFjjGgGUA6NLw09EwE0CqkOc4q9oUmW1yo/edit?usp=sharing"",""น่าน!M428"")"),26076)</f>
        <v>26076</v>
      </c>
      <c r="O533" s="413">
        <f t="shared" ref="O533:O537" ca="1" si="118">+IF(L533&gt;0,N533*100/L533,0)</f>
        <v>75.934769947582993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IFERROR(__xludf.DUMMYFUNCTION("IMPORTRANGE(""https://docs.google.com/spreadsheets/d/11923uPwbBZFjjGgGUA6NLw09EwE0CqkOc4q9oUmW1yo/edit?usp=sharing"",""น่าน!L429"")"),0)</f>
        <v>0</v>
      </c>
      <c r="M534" s="166"/>
      <c r="N534" s="170">
        <f ca="1">IFERROR(__xludf.DUMMYFUNCTION("IMPORTRANGE(""https://docs.google.com/spreadsheets/d/11923uPwbBZFjjGgGUA6NLw09EwE0CqkOc4q9oUmW1yo/edit?usp=sharing"",""น่าน!M429"")"),0)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IFERROR(__xludf.DUMMYFUNCTION("IMPORTRANGE(""https://docs.google.com/spreadsheets/d/11923uPwbBZFjjGgGUA6NLw09EwE0CqkOc4q9oUmW1yo/edit?usp=sharing"",""น่าน!L430"")"),34340)</f>
        <v>34340</v>
      </c>
      <c r="M535" s="167"/>
      <c r="N535" s="170">
        <f ca="1">IFERROR(__xludf.DUMMYFUNCTION("IMPORTRANGE(""https://docs.google.com/spreadsheets/d/11923uPwbBZFjjGgGUA6NLw09EwE0CqkOc4q9oUmW1yo/edit?usp=sharing"",""น่าน!M430"")"),26076)</f>
        <v>26076</v>
      </c>
      <c r="O535" s="170">
        <f t="shared" ca="1" si="118"/>
        <v>75.934769947582993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IFERROR(__xludf.DUMMYFUNCTION("IMPORTRANGE(""https://docs.google.com/spreadsheets/d/11923uPwbBZFjjGgGUA6NLw09EwE0CqkOc4q9oUmW1yo/edit?usp=sharing"",""น่าน!L431"")"),0)</f>
        <v>0</v>
      </c>
      <c r="M536" s="170"/>
      <c r="N536" s="170">
        <f ca="1">IFERROR(__xludf.DUMMYFUNCTION("IMPORTRANGE(""https://docs.google.com/spreadsheets/d/11923uPwbBZFjjGgGUA6NLw09EwE0CqkOc4q9oUmW1yo/edit?usp=sharing"",""น่าน!M431"")"),0)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IFERROR(__xludf.DUMMYFUNCTION("IMPORTRANGE(""https://docs.google.com/spreadsheets/d/11923uPwbBZFjjGgGUA6NLw09EwE0CqkOc4q9oUmW1yo/edit?usp=sharing"",""น่าน!L432"")"),34340)</f>
        <v>34340</v>
      </c>
      <c r="M537" s="170"/>
      <c r="N537" s="170">
        <f ca="1">IFERROR(__xludf.DUMMYFUNCTION("IMPORTRANGE(""https://docs.google.com/spreadsheets/d/11923uPwbBZFjjGgGUA6NLw09EwE0CqkOc4q9oUmW1yo/edit?usp=sharing"",""น่าน!M432"")"),26076)</f>
        <v>26076</v>
      </c>
      <c r="O537" s="170">
        <f t="shared" ca="1" si="118"/>
        <v>75.934769947582993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IFERROR(__xludf.DUMMYFUNCTION("IMPORTRANGE(""https://docs.google.com/spreadsheets/d/11923uPwbBZFjjGgGUA6NLw09EwE0CqkOc4q9oUmW1yo/edit?usp=sharing"",""น่าน!M433"")"),18966)</f>
        <v>18966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IFERROR(__xludf.DUMMYFUNCTION("IMPORTRANGE(""https://docs.google.com/spreadsheets/d/11923uPwbBZFjjGgGUA6NLw09EwE0CqkOc4q9oUmW1yo/edit?usp=sharing"",""น่าน!M434"")"),0)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IFERROR(__xludf.DUMMYFUNCTION("IMPORTRANGE(""https://docs.google.com/spreadsheets/d/11923uPwbBZFjjGgGUA6NLw09EwE0CqkOc4q9oUmW1yo/edit?usp=sharing"",""น่าน!M435"")"),0)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IFERROR(__xludf.DUMMYFUNCTION("IMPORTRANGE(""https://docs.google.com/spreadsheets/d/11923uPwbBZFjjGgGUA6NLw09EwE0CqkOc4q9oUmW1yo/edit?usp=sharing"",""น่าน!M436"")"),7110)</f>
        <v>7110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IFERROR(__xludf.DUMMYFUNCTION("IMPORTRANGE(""https://docs.google.com/spreadsheets/d/11923uPwbBZFjjGgGUA6NLw09EwE0CqkOc4q9oUmW1yo/edit?usp=sharing"",""น่าน!J438"")"),0)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IFERROR(__xludf.DUMMYFUNCTION("IMPORTRANGE(""https://docs.google.com/spreadsheets/d/11923uPwbBZFjjGgGUA6NLw09EwE0CqkOc4q9oUmW1yo/edit?usp=sharing"",""น่าน!J439"")"),1)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IFERROR(__xludf.DUMMYFUNCTION("IMPORTRANGE(""https://docs.google.com/spreadsheets/d/11923uPwbBZFjjGgGUA6NLw09EwE0CqkOc4q9oUmW1yo/edit?usp=sharing"",""น่าน!J440"")"),1)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IFERROR(__xludf.DUMMYFUNCTION("IMPORTRANGE(""https://docs.google.com/spreadsheets/d/11923uPwbBZFjjGgGUA6NLw09EwE0CqkOc4q9oUmW1yo/edit?usp=sharing"",""น่าน!J441"")"),1)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IFERROR(__xludf.DUMMYFUNCTION("IMPORTRANGE(""https://docs.google.com/spreadsheets/d/11923uPwbBZFjjGgGUA6NLw09EwE0CqkOc4q9oUmW1yo/edit?usp=sharing"",""น่าน!I442"")"),22)</f>
        <v>22</v>
      </c>
      <c r="J547" s="190">
        <f ca="1">IFERROR(__xludf.DUMMYFUNCTION("IMPORTRANGE(""https://docs.google.com/spreadsheets/d/11923uPwbBZFjjGgGUA6NLw09EwE0CqkOc4q9oUmW1yo/edit?usp=sharing"",""น่าน!J442"")"),22)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IFERROR(__xludf.DUMMYFUNCTION("IMPORTRANGE(""https://docs.google.com/spreadsheets/d/11923uPwbBZFjjGgGUA6NLw09EwE0CqkOc4q9oUmW1yo/edit?usp=sharing"",""น่าน!J166"")"),0)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IFERROR(__xludf.DUMMYFUNCTION("IMPORTRANGE(""https://docs.google.com/spreadsheets/d/11923uPwbBZFjjGgGUA6NLw09EwE0CqkOc4q9oUmW1yo/edit?usp=sharing"",""น่าน!J444"")"),0)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IFERROR(__xludf.DUMMYFUNCTION("IMPORTRANGE(""https://docs.google.com/spreadsheets/d/11923uPwbBZFjjGgGUA6NLw09EwE0CqkOc4q9oUmW1yo/edit?usp=sharing"",""น่าน!J445"")"),0)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IFERROR(__xludf.DUMMYFUNCTION("IMPORTRANGE(""https://docs.google.com/spreadsheets/d/11923uPwbBZFjjGgGUA6NLw09EwE0CqkOc4q9oUmW1yo/edit?usp=sharing"",""น่าน!I446"")"),0)</f>
        <v>0</v>
      </c>
      <c r="J551" s="411">
        <f ca="1">IFERROR(__xludf.DUMMYFUNCTION("IMPORTRANGE(""https://docs.google.com/spreadsheets/d/11923uPwbBZFjjGgGUA6NLw09EwE0CqkOc4q9oUmW1yo/edit?usp=sharing"",""น่าน!J446"")"),0)</f>
        <v>0</v>
      </c>
      <c r="K551" s="412">
        <f ca="1">IF(I551&gt;0,J551*100/I551,0)</f>
        <v>0</v>
      </c>
      <c r="L551" s="413">
        <f ca="1">IFERROR(__xludf.DUMMYFUNCTION("IMPORTRANGE(""https://docs.google.com/spreadsheets/d/11923uPwbBZFjjGgGUA6NLw09EwE0CqkOc4q9oUmW1yo/edit?usp=sharing"",""น่าน!L446"")"),0)</f>
        <v>0</v>
      </c>
      <c r="M551" s="413"/>
      <c r="N551" s="413">
        <f ca="1">IFERROR(__xludf.DUMMYFUNCTION("IMPORTRANGE(""https://docs.google.com/spreadsheets/d/11923uPwbBZFjjGgGUA6NLw09EwE0CqkOc4q9oUmW1yo/edit?usp=sharing"",""น่าน!M446"")"),0)</f>
        <v>0</v>
      </c>
      <c r="O551" s="413">
        <f t="shared" ref="O551:O555" ca="1" si="120">+IF(L551&gt;0,N551*100/L551,0)</f>
        <v>0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IFERROR(__xludf.DUMMYFUNCTION("IMPORTRANGE(""https://docs.google.com/spreadsheets/d/11923uPwbBZFjjGgGUA6NLw09EwE0CqkOc4q9oUmW1yo/edit?usp=sharing"",""น่าน!L447"")"),0)</f>
        <v>0</v>
      </c>
      <c r="M552" s="166"/>
      <c r="N552" s="170">
        <f ca="1">IFERROR(__xludf.DUMMYFUNCTION("IMPORTRANGE(""https://docs.google.com/spreadsheets/d/11923uPwbBZFjjGgGUA6NLw09EwE0CqkOc4q9oUmW1yo/edit?usp=sharing"",""น่าน!M447"")"),0)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IFERROR(__xludf.DUMMYFUNCTION("IMPORTRANGE(""https://docs.google.com/spreadsheets/d/11923uPwbBZFjjGgGUA6NLw09EwE0CqkOc4q9oUmW1yo/edit?usp=sharing"",""น่าน!L448"")"),0)</f>
        <v>0</v>
      </c>
      <c r="M553" s="167"/>
      <c r="N553" s="170">
        <f ca="1">IFERROR(__xludf.DUMMYFUNCTION("IMPORTRANGE(""https://docs.google.com/spreadsheets/d/11923uPwbBZFjjGgGUA6NLw09EwE0CqkOc4q9oUmW1yo/edit?usp=sharing"",""น่าน!M448"")"),0)</f>
        <v>0</v>
      </c>
      <c r="O553" s="170">
        <f t="shared" ca="1" si="120"/>
        <v>0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IFERROR(__xludf.DUMMYFUNCTION("IMPORTRANGE(""https://docs.google.com/spreadsheets/d/11923uPwbBZFjjGgGUA6NLw09EwE0CqkOc4q9oUmW1yo/edit?usp=sharing"",""น่าน!L449"")"),0)</f>
        <v>0</v>
      </c>
      <c r="M554" s="170"/>
      <c r="N554" s="170">
        <f ca="1">IFERROR(__xludf.DUMMYFUNCTION("IMPORTRANGE(""https://docs.google.com/spreadsheets/d/11923uPwbBZFjjGgGUA6NLw09EwE0CqkOc4q9oUmW1yo/edit?usp=sharing"",""น่าน!M449"")"),0)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IFERROR(__xludf.DUMMYFUNCTION("IMPORTRANGE(""https://docs.google.com/spreadsheets/d/11923uPwbBZFjjGgGUA6NLw09EwE0CqkOc4q9oUmW1yo/edit?usp=sharing"",""น่าน!L450"")"),0)</f>
        <v>0</v>
      </c>
      <c r="M555" s="170"/>
      <c r="N555" s="170">
        <f ca="1">IFERROR(__xludf.DUMMYFUNCTION("IMPORTRANGE(""https://docs.google.com/spreadsheets/d/11923uPwbBZFjjGgGUA6NLw09EwE0CqkOc4q9oUmW1yo/edit?usp=sharing"",""น่าน!M450"")"),0)</f>
        <v>0</v>
      </c>
      <c r="O555" s="170">
        <f t="shared" ca="1" si="120"/>
        <v>0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IFERROR(__xludf.DUMMYFUNCTION("IMPORTRANGE(""https://docs.google.com/spreadsheets/d/11923uPwbBZFjjGgGUA6NLw09EwE0CqkOc4q9oUmW1yo/edit?usp=sharing"",""น่าน!M451"")"),0)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IFERROR(__xludf.DUMMYFUNCTION("IMPORTRANGE(""https://docs.google.com/spreadsheets/d/11923uPwbBZFjjGgGUA6NLw09EwE0CqkOc4q9oUmW1yo/edit?usp=sharing"",""น่าน!M452"")"),0)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IFERROR(__xludf.DUMMYFUNCTION("IMPORTRANGE(""https://docs.google.com/spreadsheets/d/11923uPwbBZFjjGgGUA6NLw09EwE0CqkOc4q9oUmW1yo/edit?usp=sharing"",""น่าน!M453"")"),0)</f>
        <v>0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IFERROR(__xludf.DUMMYFUNCTION("IMPORTRANGE(""https://docs.google.com/spreadsheets/d/11923uPwbBZFjjGgGUA6NLw09EwE0CqkOc4q9oUmW1yo/edit?usp=sharing"",""น่าน!M454"")"),0)</f>
        <v>0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IFERROR(__xludf.DUMMYFUNCTION("IMPORTRANGE(""https://docs.google.com/spreadsheets/d/11923uPwbBZFjjGgGUA6NLw09EwE0CqkOc4q9oUmW1yo/edit?usp=sharing"",""น่าน!I455"")"),0)</f>
        <v>0</v>
      </c>
      <c r="J560" s="164">
        <f ca="1">IFERROR(__xludf.DUMMYFUNCTION("IMPORTRANGE(""https://docs.google.com/spreadsheets/d/11923uPwbBZFjjGgGUA6NLw09EwE0CqkOc4q9oUmW1yo/edit?usp=sharing"",""น่าน!J455"")"),0)</f>
        <v>0</v>
      </c>
      <c r="K560" s="225">
        <f t="shared" ref="K560:K561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IFERROR(__xludf.DUMMYFUNCTION("IMPORTRANGE(""https://docs.google.com/spreadsheets/d/11923uPwbBZFjjGgGUA6NLw09EwE0CqkOc4q9oUmW1yo/edit?usp=sharing"",""น่าน!I456"")"),0)</f>
        <v>0</v>
      </c>
      <c r="J561" s="205">
        <f ca="1">IFERROR(__xludf.DUMMYFUNCTION("IMPORTRANGE(""https://docs.google.com/spreadsheets/d/11923uPwbBZFjjGgGUA6NLw09EwE0CqkOc4q9oUmW1yo/edit?usp=sharing"",""น่าน!J456"")"),0)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IFERROR(__xludf.DUMMYFUNCTION("IMPORTRANGE(""https://docs.google.com/spreadsheets/d/11923uPwbBZFjjGgGUA6NLw09EwE0CqkOc4q9oUmW1yo/edit?usp=sharing"",""น่าน!I459"")"),2150)</f>
        <v>2150</v>
      </c>
      <c r="J564" s="372">
        <f ca="1">IFERROR(__xludf.DUMMYFUNCTION("IMPORTRANGE(""https://docs.google.com/spreadsheets/d/11923uPwbBZFjjGgGUA6NLw09EwE0CqkOc4q9oUmW1yo/edit?usp=sharing"",""น่าน!J459"")"),1137)</f>
        <v>1137</v>
      </c>
      <c r="K564" s="373">
        <f ca="1">IF(I564&gt;0,J564*100/I564,0)</f>
        <v>52.883720930232556</v>
      </c>
      <c r="L564" s="374">
        <f ca="1">IFERROR(__xludf.DUMMYFUNCTION("IMPORTRANGE(""https://docs.google.com/spreadsheets/d/11923uPwbBZFjjGgGUA6NLw09EwE0CqkOc4q9oUmW1yo/edit?usp=sharing"",""น่าน!L459"")"),144800)</f>
        <v>144800</v>
      </c>
      <c r="M564" s="374"/>
      <c r="N564" s="374">
        <f ca="1">IFERROR(__xludf.DUMMYFUNCTION("IMPORTRANGE(""https://docs.google.com/spreadsheets/d/11923uPwbBZFjjGgGUA6NLw09EwE0CqkOc4q9oUmW1yo/edit?usp=sharing"",""น่าน!M459"")"),54790)</f>
        <v>54790</v>
      </c>
      <c r="O564" s="374">
        <f t="shared" ref="O564:O568" ca="1" si="122">+IF(L564&gt;0,N564*100/L564,0)</f>
        <v>37.838397790055247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IFERROR(__xludf.DUMMYFUNCTION("IMPORTRANGE(""https://docs.google.com/spreadsheets/d/11923uPwbBZFjjGgGUA6NLw09EwE0CqkOc4q9oUmW1yo/edit?usp=sharing"",""น่าน!L460"")"),0)</f>
        <v>0</v>
      </c>
      <c r="M565" s="166"/>
      <c r="N565" s="170">
        <f ca="1">IFERROR(__xludf.DUMMYFUNCTION("IMPORTRANGE(""https://docs.google.com/spreadsheets/d/11923uPwbBZFjjGgGUA6NLw09EwE0CqkOc4q9oUmW1yo/edit?usp=sharing"",""น่าน!M460"")"),0)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IFERROR(__xludf.DUMMYFUNCTION("IMPORTRANGE(""https://docs.google.com/spreadsheets/d/11923uPwbBZFjjGgGUA6NLw09EwE0CqkOc4q9oUmW1yo/edit?usp=sharing"",""น่าน!L461"")"),144800)</f>
        <v>144800</v>
      </c>
      <c r="M566" s="167"/>
      <c r="N566" s="170">
        <f ca="1">IFERROR(__xludf.DUMMYFUNCTION("IMPORTRANGE(""https://docs.google.com/spreadsheets/d/11923uPwbBZFjjGgGUA6NLw09EwE0CqkOc4q9oUmW1yo/edit?usp=sharing"",""น่าน!M461"")"),54790)</f>
        <v>54790</v>
      </c>
      <c r="O566" s="170">
        <f t="shared" ca="1" si="122"/>
        <v>37.838397790055247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IFERROR(__xludf.DUMMYFUNCTION("IMPORTRANGE(""https://docs.google.com/spreadsheets/d/11923uPwbBZFjjGgGUA6NLw09EwE0CqkOc4q9oUmW1yo/edit?usp=sharing"",""น่าน!L462"")"),0)</f>
        <v>0</v>
      </c>
      <c r="M567" s="170"/>
      <c r="N567" s="170">
        <f ca="1">IFERROR(__xludf.DUMMYFUNCTION("IMPORTRANGE(""https://docs.google.com/spreadsheets/d/11923uPwbBZFjjGgGUA6NLw09EwE0CqkOc4q9oUmW1yo/edit?usp=sharing"",""น่าน!M462"")"),0)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IFERROR(__xludf.DUMMYFUNCTION("IMPORTRANGE(""https://docs.google.com/spreadsheets/d/11923uPwbBZFjjGgGUA6NLw09EwE0CqkOc4q9oUmW1yo/edit?usp=sharing"",""น่าน!L463"")"),144800)</f>
        <v>144800</v>
      </c>
      <c r="M568" s="170"/>
      <c r="N568" s="170">
        <f ca="1">IFERROR(__xludf.DUMMYFUNCTION("IMPORTRANGE(""https://docs.google.com/spreadsheets/d/11923uPwbBZFjjGgGUA6NLw09EwE0CqkOc4q9oUmW1yo/edit?usp=sharing"",""น่าน!M463"")"),54790)</f>
        <v>54790</v>
      </c>
      <c r="O568" s="170">
        <f t="shared" ca="1" si="122"/>
        <v>37.838397790055247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IFERROR(__xludf.DUMMYFUNCTION("IMPORTRANGE(""https://docs.google.com/spreadsheets/d/11923uPwbBZFjjGgGUA6NLw09EwE0CqkOc4q9oUmW1yo/edit?usp=sharing"",""น่าน!M464"")"),0)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IFERROR(__xludf.DUMMYFUNCTION("IMPORTRANGE(""https://docs.google.com/spreadsheets/d/11923uPwbBZFjjGgGUA6NLw09EwE0CqkOc4q9oUmW1yo/edit?usp=sharing"",""น่าน!M465"")"),0)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IFERROR(__xludf.DUMMYFUNCTION("IMPORTRANGE(""https://docs.google.com/spreadsheets/d/11923uPwbBZFjjGgGUA6NLw09EwE0CqkOc4q9oUmW1yo/edit?usp=sharing"",""น่าน!M466"")"),52830)</f>
        <v>52830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IFERROR(__xludf.DUMMYFUNCTION("IMPORTRANGE(""https://docs.google.com/spreadsheets/d/11923uPwbBZFjjGgGUA6NLw09EwE0CqkOc4q9oUmW1yo/edit?usp=sharing"",""น่าน!M467"")"),1960)</f>
        <v>1960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IFERROR(__xludf.DUMMYFUNCTION("IMPORTRANGE(""https://docs.google.com/spreadsheets/d/11923uPwbBZFjjGgGUA6NLw09EwE0CqkOc4q9oUmW1yo/edit?usp=sharing"",""น่าน!I468"")"),2150)</f>
        <v>2150</v>
      </c>
      <c r="J573" s="422">
        <f ca="1">IFERROR(__xludf.DUMMYFUNCTION("IMPORTRANGE(""https://docs.google.com/spreadsheets/d/11923uPwbBZFjjGgGUA6NLw09EwE0CqkOc4q9oUmW1yo/edit?usp=sharing"",""น่าน!J468"")"),1137)</f>
        <v>1137</v>
      </c>
      <c r="K573" s="203">
        <f ca="1">IF(I573&gt;0,J573*100/I573,0)</f>
        <v>52.883720930232556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IFERROR(__xludf.DUMMYFUNCTION("IMPORTRANGE(""https://docs.google.com/spreadsheets/d/11923uPwbBZFjjGgGUA6NLw09EwE0CqkOc4q9oUmW1yo/edit?usp=sharing"",""น่าน!I470"")"),0)</f>
        <v>0</v>
      </c>
      <c r="J575" s="199">
        <f ca="1">IFERROR(__xludf.DUMMYFUNCTION("IMPORTRANGE(""https://docs.google.com/spreadsheets/d/11923uPwbBZFjjGgGUA6NLw09EwE0CqkOc4q9oUmW1yo/edit?usp=sharing"",""น่าน!J470"")"),3)</f>
        <v>3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IFERROR(__xludf.DUMMYFUNCTION("IMPORTRANGE(""https://docs.google.com/spreadsheets/d/11923uPwbBZFjjGgGUA6NLw09EwE0CqkOc4q9oUmW1yo/edit?usp=sharing"",""น่าน!I471"")"),0)</f>
        <v>0</v>
      </c>
      <c r="J576" s="199">
        <f ca="1">IFERROR(__xludf.DUMMYFUNCTION("IMPORTRANGE(""https://docs.google.com/spreadsheets/d/11923uPwbBZFjjGgGUA6NLw09EwE0CqkOc4q9oUmW1yo/edit?usp=sharing"",""น่าน!J471"")"),163)</f>
        <v>163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IFERROR(__xludf.DUMMYFUNCTION("IMPORTRANGE(""https://docs.google.com/spreadsheets/d/11923uPwbBZFjjGgGUA6NLw09EwE0CqkOc4q9oUmW1yo/edit?usp=sharing"",""น่าน!I472"")"),0)</f>
        <v>0</v>
      </c>
      <c r="J577" s="190">
        <f ca="1">IFERROR(__xludf.DUMMYFUNCTION("IMPORTRANGE(""https://docs.google.com/spreadsheets/d/11923uPwbBZFjjGgGUA6NLw09EwE0CqkOc4q9oUmW1yo/edit?usp=sharing"",""น่าน!J472"")"),954)</f>
        <v>954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IFERROR(__xludf.DUMMYFUNCTION("IMPORTRANGE(""https://docs.google.com/spreadsheets/d/11923uPwbBZFjjGgGUA6NLw09EwE0CqkOc4q9oUmW1yo/edit?usp=sharing"",""น่าน!I473"")"),0)</f>
        <v>0</v>
      </c>
      <c r="J578" s="199">
        <f ca="1">IFERROR(__xludf.DUMMYFUNCTION("IMPORTRANGE(""https://docs.google.com/spreadsheets/d/11923uPwbBZFjjGgGUA6NLw09EwE0CqkOc4q9oUmW1yo/edit?usp=sharing"",""น่าน!J473"")"),20)</f>
        <v>20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IFERROR(__xludf.DUMMYFUNCTION("IMPORTRANGE(""https://docs.google.com/spreadsheets/d/11923uPwbBZFjjGgGUA6NLw09EwE0CqkOc4q9oUmW1yo/edit?usp=sharing"",""น่าน!I474"")"),0)</f>
        <v>0</v>
      </c>
      <c r="J579" s="199">
        <f ca="1">IFERROR(__xludf.DUMMYFUNCTION("IMPORTRANGE(""https://docs.google.com/spreadsheets/d/11923uPwbBZFjjGgGUA6NLw09EwE0CqkOc4q9oUmW1yo/edit?usp=sharing"",""น่าน!J474"")"),0)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IFERROR(__xludf.DUMMYFUNCTION("IMPORTRANGE(""https://docs.google.com/spreadsheets/d/11923uPwbBZFjjGgGUA6NLw09EwE0CqkOc4q9oUmW1yo/edit?usp=sharing"",""น่าน!I475"")"),70)</f>
        <v>70</v>
      </c>
      <c r="J580" s="372">
        <f ca="1">IFERROR(__xludf.DUMMYFUNCTION("IMPORTRANGE(""https://docs.google.com/spreadsheets/d/11923uPwbBZFjjGgGUA6NLw09EwE0CqkOc4q9oUmW1yo/edit?usp=sharing"",""น่าน!J475"")"),4)</f>
        <v>4</v>
      </c>
      <c r="K580" s="373">
        <f ca="1">IF(I580&gt;0,J580*100/I580,0)</f>
        <v>5.7142857142857144</v>
      </c>
      <c r="L580" s="374">
        <f ca="1">IFERROR(__xludf.DUMMYFUNCTION("IMPORTRANGE(""https://docs.google.com/spreadsheets/d/11923uPwbBZFjjGgGUA6NLw09EwE0CqkOc4q9oUmW1yo/edit?usp=sharing"",""น่าน!L475"")"),298470)</f>
        <v>298470</v>
      </c>
      <c r="M580" s="374"/>
      <c r="N580" s="374">
        <f ca="1">IFERROR(__xludf.DUMMYFUNCTION("IMPORTRANGE(""https://docs.google.com/spreadsheets/d/11923uPwbBZFjjGgGUA6NLw09EwE0CqkOc4q9oUmW1yo/edit?usp=sharing"",""น่าน!M475"")"),54370)</f>
        <v>54370</v>
      </c>
      <c r="O580" s="374">
        <f t="shared" ref="O580:O584" ca="1" si="124">+IF(L580&gt;0,N580*100/L580,0)</f>
        <v>18.216236137635274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IFERROR(__xludf.DUMMYFUNCTION("IMPORTRANGE(""https://docs.google.com/spreadsheets/d/11923uPwbBZFjjGgGUA6NLw09EwE0CqkOc4q9oUmW1yo/edit?usp=sharing"",""น่าน!L476"")"),0)</f>
        <v>0</v>
      </c>
      <c r="M581" s="166"/>
      <c r="N581" s="170">
        <f ca="1">IFERROR(__xludf.DUMMYFUNCTION("IMPORTRANGE(""https://docs.google.com/spreadsheets/d/11923uPwbBZFjjGgGUA6NLw09EwE0CqkOc4q9oUmW1yo/edit?usp=sharing"",""น่าน!M476"")"),0)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IFERROR(__xludf.DUMMYFUNCTION("IMPORTRANGE(""https://docs.google.com/spreadsheets/d/11923uPwbBZFjjGgGUA6NLw09EwE0CqkOc4q9oUmW1yo/edit?usp=sharing"",""น่าน!L477"")"),298470)</f>
        <v>298470</v>
      </c>
      <c r="M582" s="167"/>
      <c r="N582" s="170">
        <f ca="1">IFERROR(__xludf.DUMMYFUNCTION("IMPORTRANGE(""https://docs.google.com/spreadsheets/d/11923uPwbBZFjjGgGUA6NLw09EwE0CqkOc4q9oUmW1yo/edit?usp=sharing"",""น่าน!M477"")"),54370)</f>
        <v>54370</v>
      </c>
      <c r="O582" s="170">
        <f t="shared" ca="1" si="124"/>
        <v>18.216236137635274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IFERROR(__xludf.DUMMYFUNCTION("IMPORTRANGE(""https://docs.google.com/spreadsheets/d/11923uPwbBZFjjGgGUA6NLw09EwE0CqkOc4q9oUmW1yo/edit?usp=sharing"",""น่าน!L478"")"),0)</f>
        <v>0</v>
      </c>
      <c r="M583" s="170"/>
      <c r="N583" s="170">
        <f ca="1">IFERROR(__xludf.DUMMYFUNCTION("IMPORTRANGE(""https://docs.google.com/spreadsheets/d/11923uPwbBZFjjGgGUA6NLw09EwE0CqkOc4q9oUmW1yo/edit?usp=sharing"",""น่าน!M478"")"),0)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IFERROR(__xludf.DUMMYFUNCTION("IMPORTRANGE(""https://docs.google.com/spreadsheets/d/11923uPwbBZFjjGgGUA6NLw09EwE0CqkOc4q9oUmW1yo/edit?usp=sharing"",""น่าน!L479"")"),298470)</f>
        <v>298470</v>
      </c>
      <c r="M584" s="170"/>
      <c r="N584" s="170">
        <f ca="1">IFERROR(__xludf.DUMMYFUNCTION("IMPORTRANGE(""https://docs.google.com/spreadsheets/d/11923uPwbBZFjjGgGUA6NLw09EwE0CqkOc4q9oUmW1yo/edit?usp=sharing"",""น่าน!M479"")"),54370)</f>
        <v>54370</v>
      </c>
      <c r="O584" s="170">
        <f t="shared" ca="1" si="124"/>
        <v>18.216236137635274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IFERROR(__xludf.DUMMYFUNCTION("IMPORTRANGE(""https://docs.google.com/spreadsheets/d/11923uPwbBZFjjGgGUA6NLw09EwE0CqkOc4q9oUmW1yo/edit?usp=sharing"",""น่าน!M480"")"),0)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IFERROR(__xludf.DUMMYFUNCTION("IMPORTRANGE(""https://docs.google.com/spreadsheets/d/11923uPwbBZFjjGgGUA6NLw09EwE0CqkOc4q9oUmW1yo/edit?usp=sharing"",""น่าน!M481"")"),0)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IFERROR(__xludf.DUMMYFUNCTION("IMPORTRANGE(""https://docs.google.com/spreadsheets/d/11923uPwbBZFjjGgGUA6NLw09EwE0CqkOc4q9oUmW1yo/edit?usp=sharing"",""น่าน!M482"")"),51320)</f>
        <v>51320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IFERROR(__xludf.DUMMYFUNCTION("IMPORTRANGE(""https://docs.google.com/spreadsheets/d/11923uPwbBZFjjGgGUA6NLw09EwE0CqkOc4q9oUmW1yo/edit?usp=sharing"",""น่าน!M483"")"),3050)</f>
        <v>3050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IFERROR(__xludf.DUMMYFUNCTION("IMPORTRANGE(""https://docs.google.com/spreadsheets/d/11923uPwbBZFjjGgGUA6NLw09EwE0CqkOc4q9oUmW1yo/edit?usp=sharing"",""น่าน!I484"")"),70)</f>
        <v>70</v>
      </c>
      <c r="J589" s="189">
        <f ca="1">IFERROR(__xludf.DUMMYFUNCTION("IMPORTRANGE(""https://docs.google.com/spreadsheets/d/11923uPwbBZFjjGgGUA6NLw09EwE0CqkOc4q9oUmW1yo/edit?usp=sharing"",""น่าน!J484"")"),1)</f>
        <v>1</v>
      </c>
      <c r="K589" s="165">
        <f t="shared" ref="K589:K596" ca="1" si="125">IF(I589&gt;0,J589*100/I589,0)</f>
        <v>1.4285714285714286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IFERROR(__xludf.DUMMYFUNCTION("IMPORTRANGE(""https://docs.google.com/spreadsheets/d/11923uPwbBZFjjGgGUA6NLw09EwE0CqkOc4q9oUmW1yo/edit?usp=sharing"",""น่าน!I485"")"),0)</f>
        <v>0</v>
      </c>
      <c r="J590" s="189">
        <f ca="1">IFERROR(__xludf.DUMMYFUNCTION("IMPORTRANGE(""https://docs.google.com/spreadsheets/d/11923uPwbBZFjjGgGUA6NLw09EwE0CqkOc4q9oUmW1yo/edit?usp=sharing"",""น่าน!J485"")"),1.75)</f>
        <v>1.75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IFERROR(__xludf.DUMMYFUNCTION("IMPORTRANGE(""https://docs.google.com/spreadsheets/d/11923uPwbBZFjjGgGUA6NLw09EwE0CqkOc4q9oUmW1yo/edit?usp=sharing"",""น่าน!I486"")"),70)</f>
        <v>70</v>
      </c>
      <c r="J591" s="189">
        <f ca="1">IFERROR(__xludf.DUMMYFUNCTION("IMPORTRANGE(""https://docs.google.com/spreadsheets/d/11923uPwbBZFjjGgGUA6NLw09EwE0CqkOc4q9oUmW1yo/edit?usp=sharing"",""น่าน!J486"")"),2)</f>
        <v>2</v>
      </c>
      <c r="K591" s="165">
        <f t="shared" ca="1" si="125"/>
        <v>2.8571428571428572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IFERROR(__xludf.DUMMYFUNCTION("IMPORTRANGE(""https://docs.google.com/spreadsheets/d/11923uPwbBZFjjGgGUA6NLw09EwE0CqkOc4q9oUmW1yo/edit?usp=sharing"",""น่าน!I487"")"),0)</f>
        <v>0</v>
      </c>
      <c r="J592" s="189">
        <f ca="1">IFERROR(__xludf.DUMMYFUNCTION("IMPORTRANGE(""https://docs.google.com/spreadsheets/d/11923uPwbBZFjjGgGUA6NLw09EwE0CqkOc4q9oUmW1yo/edit?usp=sharing"",""น่าน!J487"")"),0.77)</f>
        <v>0.77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IFERROR(__xludf.DUMMYFUNCTION("IMPORTRANGE(""https://docs.google.com/spreadsheets/d/11923uPwbBZFjjGgGUA6NLw09EwE0CqkOc4q9oUmW1yo/edit?usp=sharing"",""น่าน!I488"")"),70)</f>
        <v>70</v>
      </c>
      <c r="J593" s="189">
        <f ca="1">IFERROR(__xludf.DUMMYFUNCTION("IMPORTRANGE(""https://docs.google.com/spreadsheets/d/11923uPwbBZFjjGgGUA6NLw09EwE0CqkOc4q9oUmW1yo/edit?usp=sharing"",""น่าน!J488"")"),0)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IFERROR(__xludf.DUMMYFUNCTION("IMPORTRANGE(""https://docs.google.com/spreadsheets/d/11923uPwbBZFjjGgGUA6NLw09EwE0CqkOc4q9oUmW1yo/edit?usp=sharing"",""น่าน!I489"")"),0)</f>
        <v>0</v>
      </c>
      <c r="J594" s="189">
        <f ca="1">IFERROR(__xludf.DUMMYFUNCTION("IMPORTRANGE(""https://docs.google.com/spreadsheets/d/11923uPwbBZFjjGgGUA6NLw09EwE0CqkOc4q9oUmW1yo/edit?usp=sharing"",""น่าน!J489"")"),0)</f>
        <v>0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IFERROR(__xludf.DUMMYFUNCTION("IMPORTRANGE(""https://docs.google.com/spreadsheets/d/11923uPwbBZFjjGgGUA6NLw09EwE0CqkOc4q9oUmW1yo/edit?usp=sharing"",""น่าน!I490"")"),70)</f>
        <v>70</v>
      </c>
      <c r="J595" s="189">
        <f ca="1">IFERROR(__xludf.DUMMYFUNCTION("IMPORTRANGE(""https://docs.google.com/spreadsheets/d/11923uPwbBZFjjGgGUA6NLw09EwE0CqkOc4q9oUmW1yo/edit?usp=sharing"",""น่าน!J490"")"),4)</f>
        <v>4</v>
      </c>
      <c r="K595" s="165">
        <f t="shared" ca="1" si="125"/>
        <v>5.7142857142857144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IFERROR(__xludf.DUMMYFUNCTION("IMPORTRANGE(""https://docs.google.com/spreadsheets/d/11923uPwbBZFjjGgGUA6NLw09EwE0CqkOc4q9oUmW1yo/edit?usp=sharing"",""น่าน!I491"")"),0)</f>
        <v>0</v>
      </c>
      <c r="J596" s="242">
        <f ca="1">IFERROR(__xludf.DUMMYFUNCTION("IMPORTRANGE(""https://docs.google.com/spreadsheets/d/11923uPwbBZFjjGgGUA6NLw09EwE0CqkOc4q9oUmW1yo/edit?usp=sharing"",""น่าน!J491"")"),0.88)</f>
        <v>0.88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IFERROR(__xludf.DUMMYFUNCTION("IMPORTRANGE(""https://docs.google.com/spreadsheets/d/11923uPwbBZFjjGgGUA6NLw09EwE0CqkOc4q9oUmW1yo/edit?usp=sharing"",""น่าน!I492"")"),100)</f>
        <v>100</v>
      </c>
      <c r="J597" s="489">
        <f ca="1">IFERROR(__xludf.DUMMYFUNCTION("IMPORTRANGE(""https://docs.google.com/spreadsheets/d/11923uPwbBZFjjGgGUA6NLw09EwE0CqkOc4q9oUmW1yo/edit?usp=sharing"",""น่าน!J492"")"),0)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IFERROR(__xludf.DUMMYFUNCTION("IMPORTRANGE(""https://docs.google.com/spreadsheets/d/11923uPwbBZFjjGgGUA6NLw09EwE0CqkOc4q9oUmW1yo/edit?usp=sharing"",""น่าน!L492"")"),8900)</f>
        <v>8900</v>
      </c>
      <c r="M597" s="413"/>
      <c r="N597" s="413">
        <f ca="1">IFERROR(__xludf.DUMMYFUNCTION("IMPORTRANGE(""https://docs.google.com/spreadsheets/d/11923uPwbBZFjjGgGUA6NLw09EwE0CqkOc4q9oUmW1yo/edit?usp=sharing"",""น่าน!M492"")"),1800)</f>
        <v>1800</v>
      </c>
      <c r="O597" s="413">
        <f t="shared" ref="O597:O601" ca="1" si="126">+IF(L597&gt;0,N597*100/L597,0)</f>
        <v>20.224719101123597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IFERROR(__xludf.DUMMYFUNCTION("IMPORTRANGE(""https://docs.google.com/spreadsheets/d/11923uPwbBZFjjGgGUA6NLw09EwE0CqkOc4q9oUmW1yo/edit?usp=sharing"",""น่าน!L493"")"),0)</f>
        <v>0</v>
      </c>
      <c r="M598" s="166"/>
      <c r="N598" s="170">
        <f ca="1">IFERROR(__xludf.DUMMYFUNCTION("IMPORTRANGE(""https://docs.google.com/spreadsheets/d/11923uPwbBZFjjGgGUA6NLw09EwE0CqkOc4q9oUmW1yo/edit?usp=sharing"",""น่าน!M493"")"),0)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IFERROR(__xludf.DUMMYFUNCTION("IMPORTRANGE(""https://docs.google.com/spreadsheets/d/11923uPwbBZFjjGgGUA6NLw09EwE0CqkOc4q9oUmW1yo/edit?usp=sharing"",""น่าน!L494"")"),8900)</f>
        <v>8900</v>
      </c>
      <c r="M599" s="167"/>
      <c r="N599" s="170">
        <f ca="1">IFERROR(__xludf.DUMMYFUNCTION("IMPORTRANGE(""https://docs.google.com/spreadsheets/d/11923uPwbBZFjjGgGUA6NLw09EwE0CqkOc4q9oUmW1yo/edit?usp=sharing"",""น่าน!M494"")"),1800)</f>
        <v>1800</v>
      </c>
      <c r="O599" s="170">
        <f t="shared" ca="1" si="126"/>
        <v>20.224719101123597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IFERROR(__xludf.DUMMYFUNCTION("IMPORTRANGE(""https://docs.google.com/spreadsheets/d/11923uPwbBZFjjGgGUA6NLw09EwE0CqkOc4q9oUmW1yo/edit?usp=sharing"",""น่าน!L495"")"),0)</f>
        <v>0</v>
      </c>
      <c r="M600" s="170"/>
      <c r="N600" s="170">
        <f ca="1">IFERROR(__xludf.DUMMYFUNCTION("IMPORTRANGE(""https://docs.google.com/spreadsheets/d/11923uPwbBZFjjGgGUA6NLw09EwE0CqkOc4q9oUmW1yo/edit?usp=sharing"",""น่าน!M495"")"),0)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IFERROR(__xludf.DUMMYFUNCTION("IMPORTRANGE(""https://docs.google.com/spreadsheets/d/11923uPwbBZFjjGgGUA6NLw09EwE0CqkOc4q9oUmW1yo/edit?usp=sharing"",""น่าน!L496"")"),8900)</f>
        <v>8900</v>
      </c>
      <c r="M601" s="170"/>
      <c r="N601" s="170">
        <f ca="1">IFERROR(__xludf.DUMMYFUNCTION("IMPORTRANGE(""https://docs.google.com/spreadsheets/d/11923uPwbBZFjjGgGUA6NLw09EwE0CqkOc4q9oUmW1yo/edit?usp=sharing"",""น่าน!M496"")"),1800)</f>
        <v>1800</v>
      </c>
      <c r="O601" s="170">
        <f t="shared" ca="1" si="126"/>
        <v>20.224719101123597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IFERROR(__xludf.DUMMYFUNCTION("IMPORTRANGE(""https://docs.google.com/spreadsheets/d/11923uPwbBZFjjGgGUA6NLw09EwE0CqkOc4q9oUmW1yo/edit?usp=sharing"",""น่าน!M497"")"),0)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IFERROR(__xludf.DUMMYFUNCTION("IMPORTRANGE(""https://docs.google.com/spreadsheets/d/11923uPwbBZFjjGgGUA6NLw09EwE0CqkOc4q9oUmW1yo/edit?usp=sharing"",""น่าน!M498"")"),0)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IFERROR(__xludf.DUMMYFUNCTION("IMPORTRANGE(""https://docs.google.com/spreadsheets/d/11923uPwbBZFjjGgGUA6NLw09EwE0CqkOc4q9oUmW1yo/edit?usp=sharing"",""น่าน!M499"")"),0)</f>
        <v>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IFERROR(__xludf.DUMMYFUNCTION("IMPORTRANGE(""https://docs.google.com/spreadsheets/d/11923uPwbBZFjjGgGUA6NLw09EwE0CqkOc4q9oUmW1yo/edit?usp=sharing"",""น่าน!M500"")"),1800)</f>
        <v>1800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IFERROR(__xludf.DUMMYFUNCTION("IMPORTRANGE(""https://docs.google.com/spreadsheets/d/11923uPwbBZFjjGgGUA6NLw09EwE0CqkOc4q9oUmW1yo/edit?usp=sharing"",""น่าน!J502"")"),0)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IFERROR(__xludf.DUMMYFUNCTION("IMPORTRANGE(""https://docs.google.com/spreadsheets/d/11923uPwbBZFjjGgGUA6NLw09EwE0CqkOc4q9oUmW1yo/edit?usp=sharing"",""น่าน!J503"")"),1)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IFERROR(__xludf.DUMMYFUNCTION("IMPORTRANGE(""https://docs.google.com/spreadsheets/d/11923uPwbBZFjjGgGUA6NLw09EwE0CqkOc4q9oUmW1yo/edit?usp=sharing"",""น่าน!J166"")"),0)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IFERROR(__xludf.DUMMYFUNCTION("IMPORTRANGE(""https://docs.google.com/spreadsheets/d/11923uPwbBZFjjGgGUA6NLw09EwE0CqkOc4q9oUmW1yo/edit?usp=sharing"",""น่าน!J166"")"),0)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IFERROR(__xludf.DUMMYFUNCTION("IMPORTRANGE(""https://docs.google.com/spreadsheets/d/11923uPwbBZFjjGgGUA6NLw09EwE0CqkOc4q9oUmW1yo/edit?usp=sharing"",""น่าน!I506"")"),100)</f>
        <v>100</v>
      </c>
      <c r="J611" s="164">
        <f ca="1">IFERROR(__xludf.DUMMYFUNCTION("IMPORTRANGE(""https://docs.google.com/spreadsheets/d/11923uPwbBZFjjGgGUA6NLw09EwE0CqkOc4q9oUmW1yo/edit?usp=sharing"",""น่าน!J506"")"),0)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IFERROR(__xludf.DUMMYFUNCTION("IMPORTRANGE(""https://docs.google.com/spreadsheets/d/11923uPwbBZFjjGgGUA6NLw09EwE0CqkOc4q9oUmW1yo/edit?usp=sharing"",""น่าน!I507"")"),0)</f>
        <v>0</v>
      </c>
      <c r="J612" s="199">
        <f ca="1">IFERROR(__xludf.DUMMYFUNCTION("IMPORTRANGE(""https://docs.google.com/spreadsheets/d/11923uPwbBZFjjGgGUA6NLw09EwE0CqkOc4q9oUmW1yo/edit?usp=sharing"",""น่าน!J507"")"),164)</f>
        <v>164</v>
      </c>
      <c r="K612" s="165">
        <f t="shared" ca="1" si="127"/>
        <v>164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IFERROR(__xludf.DUMMYFUNCTION("IMPORTRANGE(""https://docs.google.com/spreadsheets/d/11923uPwbBZFjjGgGUA6NLw09EwE0CqkOc4q9oUmW1yo/edit?usp=sharing"",""น่าน!I508"")"),0)</f>
        <v>0</v>
      </c>
      <c r="J613" s="199">
        <f ca="1">IFERROR(__xludf.DUMMYFUNCTION("IMPORTRANGE(""https://docs.google.com/spreadsheets/d/11923uPwbBZFjjGgGUA6NLw09EwE0CqkOc4q9oUmW1yo/edit?usp=sharing"",""น่าน!J508"")"),129)</f>
        <v>129</v>
      </c>
      <c r="K613" s="165">
        <f t="shared" ca="1" si="127"/>
        <v>129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IFERROR(__xludf.DUMMYFUNCTION("IMPORTRANGE(""https://docs.google.com/spreadsheets/d/11923uPwbBZFjjGgGUA6NLw09EwE0CqkOc4q9oUmW1yo/edit?usp=sharing"",""น่าน!I509"")"),0)</f>
        <v>0</v>
      </c>
      <c r="J614" s="199">
        <f ca="1">IFERROR(__xludf.DUMMYFUNCTION("IMPORTRANGE(""https://docs.google.com/spreadsheets/d/11923uPwbBZFjjGgGUA6NLw09EwE0CqkOc4q9oUmW1yo/edit?usp=sharing"",""น่าน!J509"")"),129)</f>
        <v>129</v>
      </c>
      <c r="K614" s="165">
        <f t="shared" ca="1" si="127"/>
        <v>129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IFERROR(__xludf.DUMMYFUNCTION("IMPORTRANGE(""https://docs.google.com/spreadsheets/d/11923uPwbBZFjjGgGUA6NLw09EwE0CqkOc4q9oUmW1yo/edit?usp=sharing"",""น่าน!I510"")"),0)</f>
        <v>0</v>
      </c>
      <c r="J615" s="199">
        <f ca="1">IFERROR(__xludf.DUMMYFUNCTION("IMPORTRANGE(""https://docs.google.com/spreadsheets/d/11923uPwbBZFjjGgGUA6NLw09EwE0CqkOc4q9oUmW1yo/edit?usp=sharing"",""น่าน!J510"")"),129)</f>
        <v>129</v>
      </c>
      <c r="K615" s="165">
        <f t="shared" ca="1" si="127"/>
        <v>129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IFERROR(__xludf.DUMMYFUNCTION("IMPORTRANGE(""https://docs.google.com/spreadsheets/d/11923uPwbBZFjjGgGUA6NLw09EwE0CqkOc4q9oUmW1yo/edit?usp=sharing"",""น่าน!I511"")"),0)</f>
        <v>0</v>
      </c>
      <c r="J616" s="199">
        <f ca="1">IFERROR(__xludf.DUMMYFUNCTION("IMPORTRANGE(""https://docs.google.com/spreadsheets/d/11923uPwbBZFjjGgGUA6NLw09EwE0CqkOc4q9oUmW1yo/edit?usp=sharing"",""น่าน!J511"")"),0)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IFERROR(__xludf.DUMMYFUNCTION("IMPORTRANGE(""https://docs.google.com/spreadsheets/d/11923uPwbBZFjjGgGUA6NLw09EwE0CqkOc4q9oUmW1yo/edit?usp=sharing"",""น่าน!I512"")"),0)</f>
        <v>0</v>
      </c>
      <c r="J617" s="189">
        <f ca="1">IFERROR(__xludf.DUMMYFUNCTION("IMPORTRANGE(""https://docs.google.com/spreadsheets/d/11923uPwbBZFjjGgGUA6NLw09EwE0CqkOc4q9oUmW1yo/edit?usp=sharing"",""น่าน!J512"")"),0)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IFERROR(__xludf.DUMMYFUNCTION("IMPORTRANGE(""https://docs.google.com/spreadsheets/d/11923uPwbBZFjjGgGUA6NLw09EwE0CqkOc4q9oUmW1yo/edit?usp=sharing"",""น่าน!I513"")"),0)</f>
        <v>0</v>
      </c>
      <c r="J618" s="190">
        <f ca="1">IFERROR(__xludf.DUMMYFUNCTION("IMPORTRANGE(""https://docs.google.com/spreadsheets/d/11923uPwbBZFjjGgGUA6NLw09EwE0CqkOc4q9oUmW1yo/edit?usp=sharing"",""น่าน!J513"")"),0)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IFERROR(__xludf.DUMMYFUNCTION("IMPORTRANGE(""https://docs.google.com/spreadsheets/d/11923uPwbBZFjjGgGUA6NLw09EwE0CqkOc4q9oUmW1yo/edit?usp=sharing"",""น่าน!I514"")"),0)</f>
        <v>0</v>
      </c>
      <c r="J619" s="190">
        <f ca="1">IFERROR(__xludf.DUMMYFUNCTION("IMPORTRANGE(""https://docs.google.com/spreadsheets/d/11923uPwbBZFjjGgGUA6NLw09EwE0CqkOc4q9oUmW1yo/edit?usp=sharing"",""น่าน!J514"")"),0)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IFERROR(__xludf.DUMMYFUNCTION("IMPORTRANGE(""https://docs.google.com/spreadsheets/d/11923uPwbBZFjjGgGUA6NLw09EwE0CqkOc4q9oUmW1yo/edit?usp=sharing"",""น่าน!I515"")"),0)</f>
        <v>0</v>
      </c>
      <c r="J620" s="204">
        <f ca="1">IFERROR(__xludf.DUMMYFUNCTION("IMPORTRANGE(""https://docs.google.com/spreadsheets/d/11923uPwbBZFjjGgGUA6NLw09EwE0CqkOc4q9oUmW1yo/edit?usp=sharing"",""น่าน!J515"")"),0)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IFERROR(__xludf.DUMMYFUNCTION("IMPORTRANGE(""https://docs.google.com/spreadsheets/d/11923uPwbBZFjjGgGUA6NLw09EwE0CqkOc4q9oUmW1yo/edit?usp=sharing"",""น่าน!I516"")"),0)</f>
        <v>0</v>
      </c>
      <c r="J621" s="204">
        <f ca="1">IFERROR(__xludf.DUMMYFUNCTION("IMPORTRANGE(""https://docs.google.com/spreadsheets/d/11923uPwbBZFjjGgGUA6NLw09EwE0CqkOc4q9oUmW1yo/edit?usp=sharing"",""น่าน!J516"")"),0)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IFERROR(__xludf.DUMMYFUNCTION("IMPORTRANGE(""https://docs.google.com/spreadsheets/d/11923uPwbBZFjjGgGUA6NLw09EwE0CqkOc4q9oUmW1yo/edit?usp=sharing"",""น่าน!I517"")"),0)</f>
        <v>0</v>
      </c>
      <c r="J622" s="190">
        <f ca="1">IFERROR(__xludf.DUMMYFUNCTION("IMPORTRANGE(""https://docs.google.com/spreadsheets/d/11923uPwbBZFjjGgGUA6NLw09EwE0CqkOc4q9oUmW1yo/edit?usp=sharing"",""น่าน!J517"")"),0)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IFERROR(__xludf.DUMMYFUNCTION("IMPORTRANGE(""https://docs.google.com/spreadsheets/d/11923uPwbBZFjjGgGUA6NLw09EwE0CqkOc4q9oUmW1yo/edit?usp=sharing"",""น่าน!I518"")"),0)</f>
        <v>0</v>
      </c>
      <c r="J623" s="190">
        <f ca="1">IFERROR(__xludf.DUMMYFUNCTION("IMPORTRANGE(""https://docs.google.com/spreadsheets/d/11923uPwbBZFjjGgGUA6NLw09EwE0CqkOc4q9oUmW1yo/edit?usp=sharing"",""น่าน!J518"")"),0)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IFERROR(__xludf.DUMMYFUNCTION("IMPORTRANGE(""https://docs.google.com/spreadsheets/d/11923uPwbBZFjjGgGUA6NLw09EwE0CqkOc4q9oUmW1yo/edit?usp=sharing"",""น่าน!I519"")"),0)</f>
        <v>0</v>
      </c>
      <c r="J624" s="189">
        <f ca="1">IFERROR(__xludf.DUMMYFUNCTION("IMPORTRANGE(""https://docs.google.com/spreadsheets/d/11923uPwbBZFjjGgGUA6NLw09EwE0CqkOc4q9oUmW1yo/edit?usp=sharing"",""น่าน!J519"")"),0)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IFERROR(__xludf.DUMMYFUNCTION("IMPORTRANGE(""https://docs.google.com/spreadsheets/d/11923uPwbBZFjjGgGUA6NLw09EwE0CqkOc4q9oUmW1yo/edit?usp=sharing"",""น่าน!I520"")"),0)</f>
        <v>0</v>
      </c>
      <c r="J625" s="190">
        <f ca="1">IFERROR(__xludf.DUMMYFUNCTION("IMPORTRANGE(""https://docs.google.com/spreadsheets/d/11923uPwbBZFjjGgGUA6NLw09EwE0CqkOc4q9oUmW1yo/edit?usp=sharing"",""น่าน!J520"")"),0)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IFERROR(__xludf.DUMMYFUNCTION("IMPORTRANGE(""https://docs.google.com/spreadsheets/d/11923uPwbBZFjjGgGUA6NLw09EwE0CqkOc4q9oUmW1yo/edit?usp=sharing"",""น่าน!I521"")"),0)</f>
        <v>0</v>
      </c>
      <c r="J626" s="190">
        <f ca="1">IFERROR(__xludf.DUMMYFUNCTION("IMPORTRANGE(""https://docs.google.com/spreadsheets/d/11923uPwbBZFjjGgGUA6NLw09EwE0CqkOc4q9oUmW1yo/edit?usp=sharing"",""น่าน!J521"")"),0)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IFERROR(__xludf.DUMMYFUNCTION("IMPORTRANGE(""https://docs.google.com/spreadsheets/d/11923uPwbBZFjjGgGUA6NLw09EwE0CqkOc4q9oUmW1yo/edit?usp=sharing"",""น่าน!I523"")"),5152563.63)</f>
        <v>5152563.63</v>
      </c>
      <c r="J628" s="342">
        <f ca="1">IFERROR(__xludf.DUMMYFUNCTION("IMPORTRANGE(""https://docs.google.com/spreadsheets/d/11923uPwbBZFjjGgGUA6NLw09EwE0CqkOc4q9oUmW1yo/edit?usp=sharing"",""น่าน!J523"")"),2486464.66)</f>
        <v>2486464.66</v>
      </c>
      <c r="K628" s="343">
        <f t="shared" ref="K628:K635" ca="1" si="129">IF(I628&gt;0,J628*100/I628,0)</f>
        <v>48.256845301685289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IFERROR(__xludf.DUMMYFUNCTION("IMPORTRANGE(""https://docs.google.com/spreadsheets/d/11923uPwbBZFjjGgGUA6NLw09EwE0CqkOc4q9oUmW1yo/edit?usp=sharing"",""น่าน!I524"")"),327)</f>
        <v>327</v>
      </c>
      <c r="J629" s="342">
        <f ca="1">IFERROR(__xludf.DUMMYFUNCTION("IMPORTRANGE(""https://docs.google.com/spreadsheets/d/11923uPwbBZFjjGgGUA6NLw09EwE0CqkOc4q9oUmW1yo/edit?usp=sharing"",""น่าน!J524"")"),164)</f>
        <v>164</v>
      </c>
      <c r="K629" s="343">
        <f t="shared" ca="1" si="129"/>
        <v>50.152905198776757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IFERROR(__xludf.DUMMYFUNCTION("IMPORTRANGE(""https://docs.google.com/spreadsheets/d/11923uPwbBZFjjGgGUA6NLw09EwE0CqkOc4q9oUmW1yo/edit?usp=sharing"",""น่าน!I525"")"),1068977.23)</f>
        <v>1068977.23</v>
      </c>
      <c r="J630" s="342">
        <f ca="1">IFERROR(__xludf.DUMMYFUNCTION("IMPORTRANGE(""https://docs.google.com/spreadsheets/d/11923uPwbBZFjjGgGUA6NLw09EwE0CqkOc4q9oUmW1yo/edit?usp=sharing"",""น่าน!J525"")"),355449.51)</f>
        <v>355449.51</v>
      </c>
      <c r="K630" s="343">
        <f t="shared" ca="1" si="129"/>
        <v>33.251364016425306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IFERROR(__xludf.DUMMYFUNCTION("IMPORTRANGE(""https://docs.google.com/spreadsheets/d/11923uPwbBZFjjGgGUA6NLw09EwE0CqkOc4q9oUmW1yo/edit?usp=sharing"",""น่าน!I526"")"),68)</f>
        <v>68</v>
      </c>
      <c r="J631" s="342">
        <f ca="1">IFERROR(__xludf.DUMMYFUNCTION("IMPORTRANGE(""https://docs.google.com/spreadsheets/d/11923uPwbBZFjjGgGUA6NLw09EwE0CqkOc4q9oUmW1yo/edit?usp=sharing"",""น่าน!J526"")"),58)</f>
        <v>58</v>
      </c>
      <c r="K631" s="343">
        <f t="shared" ca="1" si="129"/>
        <v>85.294117647058826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IFERROR(__xludf.DUMMYFUNCTION("IMPORTRANGE(""https://docs.google.com/spreadsheets/d/11923uPwbBZFjjGgGUA6NLw09EwE0CqkOc4q9oUmW1yo/edit?usp=sharing"",""น่าน!I527"")"),0)</f>
        <v>0</v>
      </c>
      <c r="J632" s="342">
        <f ca="1">IFERROR(__xludf.DUMMYFUNCTION("IMPORTRANGE(""https://docs.google.com/spreadsheets/d/11923uPwbBZFjjGgGUA6NLw09EwE0CqkOc4q9oUmW1yo/edit?usp=sharing"",""น่าน!J527"")"),0)</f>
        <v>0</v>
      </c>
      <c r="K632" s="343">
        <f t="shared" ca="1" si="129"/>
        <v>0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IFERROR(__xludf.DUMMYFUNCTION("IMPORTRANGE(""https://docs.google.com/spreadsheets/d/11923uPwbBZFjjGgGUA6NLw09EwE0CqkOc4q9oUmW1yo/edit?usp=sharing"",""น่าน!I528"")"),0)</f>
        <v>0</v>
      </c>
      <c r="J633" s="342">
        <f ca="1">IFERROR(__xludf.DUMMYFUNCTION("IMPORTRANGE(""https://docs.google.com/spreadsheets/d/11923uPwbBZFjjGgGUA6NLw09EwE0CqkOc4q9oUmW1yo/edit?usp=sharing"",""น่าน!J528"")"),0)</f>
        <v>0</v>
      </c>
      <c r="K633" s="343">
        <f t="shared" ca="1" si="129"/>
        <v>0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IFERROR(__xludf.DUMMYFUNCTION("IMPORTRANGE(""https://docs.google.com/spreadsheets/d/11923uPwbBZFjjGgGUA6NLw09EwE0CqkOc4q9oUmW1yo/edit?usp=sharing"",""น่าน!I529"")"),6000000)</f>
        <v>6000000</v>
      </c>
      <c r="J634" s="342">
        <f ca="1">IFERROR(__xludf.DUMMYFUNCTION("IMPORTRANGE(""https://docs.google.com/spreadsheets/d/11923uPwbBZFjjGgGUA6NLw09EwE0CqkOc4q9oUmW1yo/edit?usp=sharing"",""น่าน!J529"")"),2210000)</f>
        <v>2210000</v>
      </c>
      <c r="K634" s="343">
        <f t="shared" ca="1" si="129"/>
        <v>36.833333333333336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IFERROR(__xludf.DUMMYFUNCTION("IMPORTRANGE(""https://docs.google.com/spreadsheets/d/11923uPwbBZFjjGgGUA6NLw09EwE0CqkOc4q9oUmW1yo/edit?usp=sharing"",""น่าน!I530"")"),223)</f>
        <v>223</v>
      </c>
      <c r="J635" s="506">
        <f ca="1">IFERROR(__xludf.DUMMYFUNCTION("IMPORTRANGE(""https://docs.google.com/spreadsheets/d/11923uPwbBZFjjGgGUA6NLw09EwE0CqkOc4q9oUmW1yo/edit?usp=sharing"",""น่าน!J530"")"),52)</f>
        <v>52</v>
      </c>
      <c r="K635" s="488">
        <f t="shared" ca="1" si="129"/>
        <v>23.318385650224215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IFERROR(__xludf.DUMMYFUNCTION("IMPORTRANGE(""https://docs.google.com/spreadsheets/d/11923uPwbBZFjjGgGUA6NLw09EwE0CqkOc4q9oUmW1yo/edit?usp=sharing"",""น่าน!J541"")"),0)</f>
        <v>0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IFERROR(__xludf.DUMMYFUNCTION("IMPORTRANGE(""https://docs.google.com/spreadsheets/d/11923uPwbBZFjjGgGUA6NLw09EwE0CqkOc4q9oUmW1yo/edit?usp=sharing"",""น่าน!J542"")"),0)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IFERROR(__xludf.DUMMYFUNCTION("IMPORTRANGE(""https://docs.google.com/spreadsheets/d/11923uPwbBZFjjGgGUA6NLw09EwE0CqkOc4q9oUmW1yo/edit?usp=sharing"",""น่าน!I543"")"),0)</f>
        <v>0</v>
      </c>
      <c r="J648" s="537">
        <f ca="1">IFERROR(__xludf.DUMMYFUNCTION("IMPORTRANGE(""https://docs.google.com/spreadsheets/d/11923uPwbBZFjjGgGUA6NLw09EwE0CqkOc4q9oUmW1yo/edit?usp=sharing"",""น่าน!J543"")"),0)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IFERROR(__xludf.DUMMYFUNCTION("IMPORTRANGE(""https://docs.google.com/spreadsheets/d/11923uPwbBZFjjGgGUA6NLw09EwE0CqkOc4q9oUmW1yo/edit?usp=sharing"",""น่าน!L543"")"),0)</f>
        <v>0</v>
      </c>
      <c r="M648" s="522"/>
      <c r="N648" s="539">
        <f ca="1">IFERROR(__xludf.DUMMYFUNCTION("IMPORTRANGE(""https://docs.google.com/spreadsheets/d/11923uPwbBZFjjGgGUA6NLw09EwE0CqkOc4q9oUmW1yo/edit?usp=sharing"",""น่าน!M543"")"),0)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IFERROR(__xludf.DUMMYFUNCTION("IMPORTRANGE(""https://docs.google.com/spreadsheets/d/11923uPwbBZFjjGgGUA6NLw09EwE0CqkOc4q9oUmW1yo/edit?usp=sharing"",""น่าน!I544"")"),0)</f>
        <v>0</v>
      </c>
      <c r="J649" s="537">
        <f ca="1">IFERROR(__xludf.DUMMYFUNCTION("IMPORTRANGE(""https://docs.google.com/spreadsheets/d/11923uPwbBZFjjGgGUA6NLw09EwE0CqkOc4q9oUmW1yo/edit?usp=sharing"",""น่าน!J544"")"),0)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IFERROR(__xludf.DUMMYFUNCTION("IMPORTRANGE(""https://docs.google.com/spreadsheets/d/11923uPwbBZFjjGgGUA6NLw09EwE0CqkOc4q9oUmW1yo/edit?usp=sharing"",""น่าน!L544"")"),0)</f>
        <v>0</v>
      </c>
      <c r="M649" s="522"/>
      <c r="N649" s="539">
        <f ca="1">IFERROR(__xludf.DUMMYFUNCTION("IMPORTRANGE(""https://docs.google.com/spreadsheets/d/11923uPwbBZFjjGgGUA6NLw09EwE0CqkOc4q9oUmW1yo/edit?usp=sharing"",""น่าน!M544"")"),0)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IFERROR(__xludf.DUMMYFUNCTION("IMPORTRANGE(""https://docs.google.com/spreadsheets/d/11923uPwbBZFjjGgGUA6NLw09EwE0CqkOc4q9oUmW1yo/edit?usp=sharing"",""น่าน!I545"")"),0)</f>
        <v>0</v>
      </c>
      <c r="J650" s="537">
        <f ca="1">IFERROR(__xludf.DUMMYFUNCTION("IMPORTRANGE(""https://docs.google.com/spreadsheets/d/11923uPwbBZFjjGgGUA6NLw09EwE0CqkOc4q9oUmW1yo/edit?usp=sharing"",""น่าน!J545"")"),0)</f>
        <v>0</v>
      </c>
      <c r="K650" s="538">
        <f t="shared" ca="1" si="131"/>
        <v>0</v>
      </c>
      <c r="L650" s="523">
        <f ca="1">IFERROR(__xludf.DUMMYFUNCTION("IMPORTRANGE(""https://docs.google.com/spreadsheets/d/11923uPwbBZFjjGgGUA6NLw09EwE0CqkOc4q9oUmW1yo/edit?usp=sharing"",""น่าน!L545"")"),0)</f>
        <v>0</v>
      </c>
      <c r="M650" s="522"/>
      <c r="N650" s="539">
        <f ca="1">IFERROR(__xludf.DUMMYFUNCTION("IMPORTRANGE(""https://docs.google.com/spreadsheets/d/11923uPwbBZFjjGgGUA6NLw09EwE0CqkOc4q9oUmW1yo/edit?usp=sharing"",""น่าน!M545"")"),0)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IFERROR(__xludf.DUMMYFUNCTION("IMPORTRANGE(""https://docs.google.com/spreadsheets/d/11923uPwbBZFjjGgGUA6NLw09EwE0CqkOc4q9oUmW1yo/edit?usp=sharing"",""น่าน!I546"")"),0)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IFERROR(__xludf.DUMMYFUNCTION("IMPORTRANGE(""https://docs.google.com/spreadsheets/d/11923uPwbBZFjjGgGUA6NLw09EwE0CqkOc4q9oUmW1yo/edit?usp=sharing"",""น่าน!L546"")"),0)</f>
        <v>0</v>
      </c>
      <c r="M651" s="522"/>
      <c r="N651" s="539">
        <f ca="1">IFERROR(__xludf.DUMMYFUNCTION("IMPORTRANGE(""https://docs.google.com/spreadsheets/d/11923uPwbBZFjjGgGUA6NLw09EwE0CqkOc4q9oUmW1yo/edit?usp=sharing"",""น่าน!M546"")"),0)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IFERROR(__xludf.DUMMYFUNCTION("IMPORTRANGE(""https://docs.google.com/spreadsheets/d/11923uPwbBZFjjGgGUA6NLw09EwE0CqkOc4q9oUmW1yo/edit?usp=sharing"",""น่าน!J547"")"),0)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IFERROR(__xludf.DUMMYFUNCTION("IMPORTRANGE(""https://docs.google.com/spreadsheets/d/11923uPwbBZFjjGgGUA6NLw09EwE0CqkOc4q9oUmW1yo/edit?usp=sharing"",""น่าน!J548"")"),0)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IFERROR(__xludf.DUMMYFUNCTION("IMPORTRANGE(""https://docs.google.com/spreadsheets/d/11923uPwbBZFjjGgGUA6NLw09EwE0CqkOc4q9oUmW1yo/edit?usp=sharing"",""น่าน!J550"")"),0)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IFERROR(__xludf.DUMMYFUNCTION("IMPORTRANGE(""https://docs.google.com/spreadsheets/d/11923uPwbBZFjjGgGUA6NLw09EwE0CqkOc4q9oUmW1yo/edit?usp=sharing"",""น่าน!J551"")"),0)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IFERROR(__xludf.DUMMYFUNCTION("IMPORTRANGE(""https://docs.google.com/spreadsheets/d/11923uPwbBZFjjGgGUA6NLw09EwE0CqkOc4q9oUmW1yo/edit?usp=sharing"",""น่าน!J552"")"),0)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IFERROR(__xludf.DUMMYFUNCTION("IMPORTRANGE(""https://docs.google.com/spreadsheets/d/11923uPwbBZFjjGgGUA6NLw09EwE0CqkOc4q9oUmW1yo/edit?usp=sharing"",""น่าน!J553"")"),0)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IFERROR(__xludf.DUMMYFUNCTION("IMPORTRANGE(""https://docs.google.com/spreadsheets/d/11923uPwbBZFjjGgGUA6NLw09EwE0CqkOc4q9oUmW1yo/edit?usp=sharing"",""น่าน!J554"")"),0)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IFERROR(__xludf.DUMMYFUNCTION("IMPORTRANGE(""https://docs.google.com/spreadsheets/d/11923uPwbBZFjjGgGUA6NLw09EwE0CqkOc4q9oUmW1yo/edit?usp=sharing"",""น่าน!J555"")"),0)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IFERROR(__xludf.DUMMYFUNCTION("IMPORTRANGE(""https://docs.google.com/spreadsheets/d/11923uPwbBZFjjGgGUA6NLw09EwE0CqkOc4q9oUmW1yo/edit?usp=sharing"",""น่าน!J556"")"),0)</f>
        <v>0</v>
      </c>
      <c r="K661" s="538"/>
      <c r="L661" s="523">
        <f ca="1">IFERROR(__xludf.DUMMYFUNCTION("IMPORTRANGE(""https://docs.google.com/spreadsheets/d/11923uPwbBZFjjGgGUA6NLw09EwE0CqkOc4q9oUmW1yo/edit?usp=sharing"",""น่าน!L556"")"),0)</f>
        <v>0</v>
      </c>
      <c r="M661" s="522"/>
      <c r="N661" s="539">
        <f ca="1">IFERROR(__xludf.DUMMYFUNCTION("IMPORTRANGE(""https://docs.google.com/spreadsheets/d/11923uPwbBZFjjGgGUA6NLw09EwE0CqkOc4q9oUmW1yo/edit?usp=sharing"",""น่าน!M556"")"),0)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IFERROR(__xludf.DUMMYFUNCTION("IMPORTRANGE(""https://docs.google.com/spreadsheets/d/11923uPwbBZFjjGgGUA6NLw09EwE0CqkOc4q9oUmW1yo/edit?usp=sharing"",""น่าน!J557"")"),0)</f>
        <v>0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IFERROR(__xludf.DUMMYFUNCTION("IMPORTRANGE(""https://docs.google.com/spreadsheets/d/11923uPwbBZFjjGgGUA6NLw09EwE0CqkOc4q9oUmW1yo/edit?usp=sharing"",""น่าน!I558"")"),0)</f>
        <v>0</v>
      </c>
      <c r="J663" s="537">
        <f ca="1">IFERROR(__xludf.DUMMYFUNCTION("IMPORTRANGE(""https://docs.google.com/spreadsheets/d/11923uPwbBZFjjGgGUA6NLw09EwE0CqkOc4q9oUmW1yo/edit?usp=sharing"",""น่าน!J558"")"),0)</f>
        <v>0</v>
      </c>
      <c r="K663" s="538">
        <f ca="1">IF(I663&gt;0,J663*100/I663,0)</f>
        <v>0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IFERROR(__xludf.DUMMYFUNCTION("IMPORTRANGE(""https://docs.google.com/spreadsheets/d/11923uPwbBZFjjGgGUA6NLw09EwE0CqkOc4q9oUmW1yo/edit?usp=sharing"",""น่าน!I560"")"),0)</f>
        <v>0</v>
      </c>
      <c r="J665" s="537">
        <f ca="1">IFERROR(__xludf.DUMMYFUNCTION("IMPORTRANGE(""https://docs.google.com/spreadsheets/d/11923uPwbBZFjjGgGUA6NLw09EwE0CqkOc4q9oUmW1yo/edit?usp=sharing"",""น่าน!J560"")"),0)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IFERROR(__xludf.DUMMYFUNCTION("IMPORTRANGE(""https://docs.google.com/spreadsheets/d/11923uPwbBZFjjGgGUA6NLw09EwE0CqkOc4q9oUmW1yo/edit?usp=sharing"",""น่าน!L560"")"),0)</f>
        <v>0</v>
      </c>
      <c r="M665" s="522"/>
      <c r="N665" s="539">
        <f ca="1">IFERROR(__xludf.DUMMYFUNCTION("IMPORTRANGE(""https://docs.google.com/spreadsheets/d/11923uPwbBZFjjGgGUA6NLw09EwE0CqkOc4q9oUmW1yo/edit?usp=sharing"",""น่าน!M560"")"),0)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IFERROR(__xludf.DUMMYFUNCTION("IMPORTRANGE(""https://docs.google.com/spreadsheets/d/11923uPwbBZFjjGgGUA6NLw09EwE0CqkOc4q9oUmW1yo/edit?usp=sharing"",""น่าน!J561"")"),0)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IFERROR(__xludf.DUMMYFUNCTION("IMPORTRANGE(""https://docs.google.com/spreadsheets/d/11923uPwbBZFjjGgGUA6NLw09EwE0CqkOc4q9oUmW1yo/edit?usp=sharing"",""น่าน!J562"")"),0)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IFERROR(__xludf.DUMMYFUNCTION("IMPORTRANGE(""https://docs.google.com/spreadsheets/d/11923uPwbBZFjjGgGUA6NLw09EwE0CqkOc4q9oUmW1yo/edit?usp=sharing"",""น่าน!I563"")"),0)</f>
        <v>0</v>
      </c>
      <c r="J668" s="537">
        <f ca="1">IFERROR(__xludf.DUMMYFUNCTION("IMPORTRANGE(""https://docs.google.com/spreadsheets/d/11923uPwbBZFjjGgGUA6NLw09EwE0CqkOc4q9oUmW1yo/edit?usp=sharing"",""น่าน!J563"")"),0)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IFERROR(__xludf.DUMMYFUNCTION("IMPORTRANGE(""https://docs.google.com/spreadsheets/d/11923uPwbBZFjjGgGUA6NLw09EwE0CqkOc4q9oUmW1yo/edit?usp=sharing"",""น่าน!L563"")"),0)</f>
        <v>0</v>
      </c>
      <c r="M668" s="522"/>
      <c r="N668" s="539">
        <f ca="1">IFERROR(__xludf.DUMMYFUNCTION("IMPORTRANGE(""https://docs.google.com/spreadsheets/d/11923uPwbBZFjjGgGUA6NLw09EwE0CqkOc4q9oUmW1yo/edit?usp=sharing"",""น่าน!M563"")"),0)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IFERROR(__xludf.DUMMYFUNCTION("IMPORTRANGE(""https://docs.google.com/spreadsheets/d/11923uPwbBZFjjGgGUA6NLw09EwE0CqkOc4q9oUmW1yo/edit?usp=sharing"",""น่าน!J564"")"),0)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IFERROR(__xludf.DUMMYFUNCTION("IMPORTRANGE(""https://docs.google.com/spreadsheets/d/11923uPwbBZFjjGgGUA6NLw09EwE0CqkOc4q9oUmW1yo/edit?usp=sharing"",""น่าน!J565"")"),0)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IFERROR(__xludf.DUMMYFUNCTION("IMPORTRANGE(""https://docs.google.com/spreadsheets/d/11923uPwbBZFjjGgGUA6NLw09EwE0CqkOc4q9oUmW1yo/edit?usp=sharing"",""น่าน!I566"")"),0)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IFERROR(__xludf.DUMMYFUNCTION("IMPORTRANGE(""https://docs.google.com/spreadsheets/d/11923uPwbBZFjjGgGUA6NLw09EwE0CqkOc4q9oUmW1yo/edit?usp=sharing"",""น่าน!L566"")"),0)</f>
        <v>0</v>
      </c>
      <c r="M671" s="522"/>
      <c r="N671" s="539">
        <f ca="1">IFERROR(__xludf.DUMMYFUNCTION("IMPORTRANGE(""https://docs.google.com/spreadsheets/d/11923uPwbBZFjjGgGUA6NLw09EwE0CqkOc4q9oUmW1yo/edit?usp=sharing"",""น่าน!M566"")"),0)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IFERROR(__xludf.DUMMYFUNCTION("IMPORTRANGE(""https://docs.google.com/spreadsheets/d/11923uPwbBZFjjGgGUA6NLw09EwE0CqkOc4q9oUmW1yo/edit?usp=sharing"",""น่าน!J567"")"),0)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IFERROR(__xludf.DUMMYFUNCTION("IMPORTRANGE(""https://docs.google.com/spreadsheets/d/11923uPwbBZFjjGgGUA6NLw09EwE0CqkOc4q9oUmW1yo/edit?usp=sharing"",""น่าน!J568"")"),0)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IFERROR(__xludf.DUMMYFUNCTION("IMPORTRANGE(""https://docs.google.com/spreadsheets/d/11923uPwbBZFjjGgGUA6NLw09EwE0CqkOc4q9oUmW1yo/edit?usp=sharing"",""น่าน!J569"")"),0)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IFERROR(__xludf.DUMMYFUNCTION("IMPORTRANGE(""https://docs.google.com/spreadsheets/d/11923uPwbBZFjjGgGUA6NLw09EwE0CqkOc4q9oUmW1yo/edit?usp=sharing"",""น่าน!J570"")"),0)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IFERROR(__xludf.DUMMYFUNCTION("IMPORTRANGE(""https://docs.google.com/spreadsheets/d/11923uPwbBZFjjGgGUA6NLw09EwE0CqkOc4q9oUmW1yo/edit?usp=sharing"",""น่าน!J571"")"),0)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IFERROR(__xludf.DUMMYFUNCTION("IMPORTRANGE(""https://docs.google.com/spreadsheets/d/11923uPwbBZFjjGgGUA6NLw09EwE0CqkOc4q9oUmW1yo/edit?usp=sharing"",""น่าน!J572"")"),0)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272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6316311</v>
      </c>
      <c r="M8" s="25">
        <f t="shared" ca="1" si="0"/>
        <v>3142024.3</v>
      </c>
      <c r="N8" s="25">
        <f t="shared" ca="1" si="0"/>
        <v>3082281.1599999988</v>
      </c>
      <c r="O8" s="24">
        <f t="shared" ref="O8:O16" ca="1" si="1">IF(L8&gt;0,N8*100/L8,0)</f>
        <v>48.798755476099878</v>
      </c>
      <c r="P8" s="24">
        <f t="shared" ref="P8:P16" ca="1" si="2">IF(M8&gt;0,N8*100/M8,0)</f>
        <v>98.098578040914546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6316311</v>
      </c>
      <c r="M10" s="32">
        <f t="shared" ca="1" si="4"/>
        <v>3142024.3</v>
      </c>
      <c r="N10" s="32">
        <f t="shared" ca="1" si="4"/>
        <v>3082281.1599999988</v>
      </c>
      <c r="O10" s="31">
        <f t="shared" ca="1" si="1"/>
        <v>48.798755476099878</v>
      </c>
      <c r="P10" s="31">
        <f t="shared" ca="1" si="2"/>
        <v>98.098578040914546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5924511</v>
      </c>
      <c r="M12" s="41">
        <f t="shared" ca="1" si="6"/>
        <v>2750224.3</v>
      </c>
      <c r="N12" s="41">
        <f t="shared" ca="1" si="6"/>
        <v>2690481.1599999988</v>
      </c>
      <c r="O12" s="41">
        <f t="shared" ca="1" si="1"/>
        <v>45.412712711648247</v>
      </c>
      <c r="P12" s="41">
        <f t="shared" ca="1" si="2"/>
        <v>97.827699362557411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1732200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4192311</v>
      </c>
      <c r="M14" s="41">
        <f t="shared" si="8"/>
        <v>0</v>
      </c>
      <c r="N14" s="41">
        <f t="shared" ca="1" si="8"/>
        <v>839965.78999999899</v>
      </c>
      <c r="O14" s="41">
        <f t="shared" ca="1" si="1"/>
        <v>20.03586542124377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391800</v>
      </c>
      <c r="M16" s="41">
        <f t="shared" ca="1" si="10"/>
        <v>391800</v>
      </c>
      <c r="N16" s="41">
        <f t="shared" ca="1" si="10"/>
        <v>391800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3768875</v>
      </c>
      <c r="M18" s="25">
        <f t="shared" ca="1" si="11"/>
        <v>3142024.3</v>
      </c>
      <c r="N18" s="25">
        <f t="shared" ca="1" si="11"/>
        <v>2242315.37</v>
      </c>
      <c r="O18" s="24">
        <f t="shared" ref="O18:O20" ca="1" si="12">IF(L18&gt;0,N18*100/L18,0)</f>
        <v>59.495615269808631</v>
      </c>
      <c r="P18" s="24">
        <f t="shared" ref="P18:P26" ca="1" si="13">IF(M18&gt;0,N18*100/M18,0)</f>
        <v>71.365309619024913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3768875</v>
      </c>
      <c r="M20" s="32">
        <f t="shared" ca="1" si="15"/>
        <v>3142024.3</v>
      </c>
      <c r="N20" s="32">
        <f t="shared" ca="1" si="15"/>
        <v>2242315.37</v>
      </c>
      <c r="O20" s="31">
        <f t="shared" ca="1" si="12"/>
        <v>59.495615269808631</v>
      </c>
      <c r="P20" s="31">
        <f t="shared" ca="1" si="13"/>
        <v>71.365309619024913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3377075</v>
      </c>
      <c r="M22" s="44">
        <f t="shared" ca="1" si="18"/>
        <v>2750224.3</v>
      </c>
      <c r="N22" s="41">
        <f t="shared" ca="1" si="18"/>
        <v>1850515.3699999999</v>
      </c>
      <c r="O22" s="41">
        <f t="shared" ca="1" si="17"/>
        <v>54.796395401345841</v>
      </c>
      <c r="P22" s="41">
        <f t="shared" ca="1" si="13"/>
        <v>67.285979910802183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1732200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1644875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391800</v>
      </c>
      <c r="M26" s="52">
        <f t="shared" ca="1" si="22"/>
        <v>391800</v>
      </c>
      <c r="N26" s="52">
        <f t="shared" ca="1" si="22"/>
        <v>391800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2547436</v>
      </c>
      <c r="M28" s="25">
        <f t="shared" si="23"/>
        <v>0</v>
      </c>
      <c r="N28" s="25">
        <f t="shared" ca="1" si="23"/>
        <v>839965.78999999899</v>
      </c>
      <c r="O28" s="24">
        <f t="shared" ref="O28:O30" ca="1" si="24">IF(L28&gt;0,N28*100/L28,0)</f>
        <v>32.972988919054252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2547436</v>
      </c>
      <c r="M30" s="32">
        <f t="shared" si="27"/>
        <v>0</v>
      </c>
      <c r="N30" s="32">
        <f t="shared" ca="1" si="27"/>
        <v>839965.78999999899</v>
      </c>
      <c r="O30" s="31">
        <f t="shared" ca="1" si="24"/>
        <v>32.972988919054252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2547436</v>
      </c>
      <c r="M32" s="41">
        <f t="shared" si="30"/>
        <v>0</v>
      </c>
      <c r="N32" s="41">
        <f t="shared" ca="1" si="30"/>
        <v>839965.78999999899</v>
      </c>
      <c r="O32" s="41">
        <f t="shared" ca="1" si="29"/>
        <v>32.972988919054252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2547436</v>
      </c>
      <c r="M34" s="41">
        <f t="shared" si="32"/>
        <v>0</v>
      </c>
      <c r="N34" s="41">
        <f t="shared" ca="1" si="32"/>
        <v>839965.78999999899</v>
      </c>
      <c r="O34" s="41">
        <f t="shared" ca="1" si="29"/>
        <v>32.972988919054252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3768875</v>
      </c>
      <c r="M37" s="57">
        <f t="shared" ca="1" si="33"/>
        <v>3142024.3</v>
      </c>
      <c r="N37" s="57">
        <f t="shared" ca="1" si="33"/>
        <v>2242315.37</v>
      </c>
      <c r="O37" s="58">
        <f t="shared" ca="1" si="29"/>
        <v>59.495615269808631</v>
      </c>
      <c r="P37" s="58">
        <f t="shared" ca="1" si="25"/>
        <v>71.365309619024913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811700</v>
      </c>
      <c r="M41" s="81">
        <f t="shared" ca="1" si="34"/>
        <v>656800</v>
      </c>
      <c r="N41" s="81">
        <f t="shared" ca="1" si="34"/>
        <v>508602.41</v>
      </c>
      <c r="O41" s="80">
        <f t="shared" ref="O41:O43" ca="1" si="35">IF(L41&gt;0,N41*100/L41,0)</f>
        <v>62.658914623629421</v>
      </c>
      <c r="P41" s="80">
        <f t="shared" ref="P41:P43" ca="1" si="36">IF(M41&gt;0,N41*100/M41,0)</f>
        <v>77.436420523751522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811700</v>
      </c>
      <c r="M43" s="81">
        <f t="shared" ca="1" si="38"/>
        <v>656800</v>
      </c>
      <c r="N43" s="81">
        <f t="shared" ca="1" si="38"/>
        <v>508602.41</v>
      </c>
      <c r="O43" s="80">
        <f t="shared" ca="1" si="35"/>
        <v>62.658914623629421</v>
      </c>
      <c r="P43" s="80">
        <f t="shared" ca="1" si="36"/>
        <v>77.436420523751522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619700</v>
      </c>
      <c r="M45" s="52">
        <f ca="1">IFERROR(__xludf.DUMMYFUNCTION("IMPORTRANGE(""https://docs.google.com/spreadsheets/d/1Yj_ptqi66GCucihVvJfMjLAmec39IyEx_6qawtMGysU/edit?usp=sharing"",""สบก!Q26"")"),464800)</f>
        <v>464800</v>
      </c>
      <c r="N45" s="52">
        <f ca="1">IFERROR(__xludf.DUMMYFUNCTION("IMPORTRANGE(""https://docs.google.com/spreadsheets/d/1Yj_ptqi66GCucihVvJfMjLAmec39IyEx_6qawtMGysU/edit?usp=sharing"",""สบก!R26"")"),316602.41)</f>
        <v>316602.40999999997</v>
      </c>
      <c r="O45" s="41">
        <f ca="1">IF(L45&gt;0,N45*100/L45,0)</f>
        <v>51.08962562530256</v>
      </c>
      <c r="P45" s="41">
        <f ca="1">IF(M45&gt;0,N45*100/M45,0)</f>
        <v>68.115836919104979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IFERROR(__xludf.DUMMYFUNCTION("IMPORTRANGE(""https://docs.google.com/spreadsheets/d/1Yj_ptqi66GCucihVvJfMjLAmec39IyEx_6qawtMGysU/edit?usp=sharing"",""สบก!M26"")"),619700)</f>
        <v>619700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IFERROR(__xludf.DUMMYFUNCTION("IMPORTRANGE(""https://docs.google.com/spreadsheets/d/1Yj_ptqi66GCucihVvJfMjLAmec39IyEx_6qawtMGysU/edit?usp=sharing"",""สบก!N26"")"),0)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IFERROR(__xludf.DUMMYFUNCTION("IMPORTRANGE(""https://docs.google.com/spreadsheets/d/1Yj_ptqi66GCucihVvJfMjLAmec39IyEx_6qawtMGysU/edit?usp=sharing"",""สบก!O26"")"),192000)</f>
        <v>192000</v>
      </c>
      <c r="M49" s="52">
        <f ca="1">L49</f>
        <v>192000</v>
      </c>
      <c r="N49" s="52">
        <f ca="1">IFERROR(__xludf.DUMMYFUNCTION("IMPORTRANGE(""https://docs.google.com/spreadsheets/d/1Yj_ptqi66GCucihVvJfMjLAmec39IyEx_6qawtMGysU/edit?usp=sharing"",""สบก!S26"")"),192000)</f>
        <v>192000</v>
      </c>
      <c r="O49" s="52">
        <f ca="1">IF(L49&gt;0,N49*100/L49,0)</f>
        <v>100</v>
      </c>
      <c r="P49" s="52">
        <f ca="1">IF(M49&gt;0,N49*100/M49,0)</f>
        <v>100</v>
      </c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456000</v>
      </c>
      <c r="M53" s="123">
        <f t="shared" ca="1" si="39"/>
        <v>363649.3</v>
      </c>
      <c r="N53" s="123">
        <f t="shared" ca="1" si="39"/>
        <v>262230</v>
      </c>
      <c r="O53" s="122">
        <f t="shared" ref="O53:O55" ca="1" si="40">IF(L53&gt;0,N53*100/L53,0)</f>
        <v>57.506578947368418</v>
      </c>
      <c r="P53" s="122">
        <f t="shared" ref="P53:P55" ca="1" si="41">IF(M53&gt;0,N53*100/M53,0)</f>
        <v>72.11068466239314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456000</v>
      </c>
      <c r="M55" s="123">
        <f t="shared" ca="1" si="43"/>
        <v>363649.3</v>
      </c>
      <c r="N55" s="123">
        <f t="shared" ca="1" si="43"/>
        <v>262230</v>
      </c>
      <c r="O55" s="122">
        <f t="shared" ca="1" si="40"/>
        <v>57.506578947368418</v>
      </c>
      <c r="P55" s="122">
        <f t="shared" ca="1" si="41"/>
        <v>72.11068466239314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456000</v>
      </c>
      <c r="M57" s="52">
        <f ca="1">IFERROR(__xludf.DUMMYFUNCTION("IMPORTRANGE(""https://docs.google.com/spreadsheets/d/1Yj_ptqi66GCucihVvJfMjLAmec39IyEx_6qawtMGysU/edit?usp=sharing"",""สบก!Z26"")"),363649.3)</f>
        <v>363649.3</v>
      </c>
      <c r="N57" s="52">
        <f ca="1">IFERROR(__xludf.DUMMYFUNCTION("IMPORTRANGE(""https://docs.google.com/spreadsheets/d/1Yj_ptqi66GCucihVvJfMjLAmec39IyEx_6qawtMGysU/edit?usp=sharing"",""สบก!AA26"")"),262230)</f>
        <v>262230</v>
      </c>
      <c r="O57" s="41">
        <f ca="1">IF(L57&gt;0,N57*100/L57,0)</f>
        <v>57.506578947368418</v>
      </c>
      <c r="P57" s="41">
        <f ca="1">IF(M57&gt;0,N57*100/M57,0)</f>
        <v>72.11068466239314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IFERROR(__xludf.DUMMYFUNCTION("IMPORTRANGE(""https://docs.google.com/spreadsheets/d/1Yj_ptqi66GCucihVvJfMjLAmec39IyEx_6qawtMGysU/edit?usp=sharing"",""สบก!V26"")"),456000)</f>
        <v>456000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IFERROR(__xludf.DUMMYFUNCTION("IMPORTRANGE(""https://docs.google.com/spreadsheets/d/1Yj_ptqi66GCucihVvJfMjLAmec39IyEx_6qawtMGysU/edit?usp=sharing"",""สบก!W26"")"),0)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IFERROR(__xludf.DUMMYFUNCTION("IMPORTRANGE(""https://docs.google.com/spreadsheets/d/1Yj_ptqi66GCucihVvJfMjLAmec39IyEx_6qawtMGysU/edit?usp=sharing"",""สบก!X26"")"),0)</f>
        <v>0</v>
      </c>
      <c r="M61" s="52"/>
      <c r="N61" s="52">
        <f ca="1">IFERROR(__xludf.DUMMYFUNCTION("IMPORTRANGE(""https://docs.google.com/spreadsheets/d/1Yj_ptqi66GCucihVvJfMjLAmec39IyEx_6qawtMGysU/edit?usp=sharing"",""สบก!AB26"")"),0)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IFERROR(__xludf.DUMMYFUNCTION("IMPORTRANGE(""https://docs.google.com/spreadsheets/d/11923uPwbBZFjjGgGUA6NLw09EwE0CqkOc4q9oUmW1yo/edit?usp=sharing"",""พะเยา!I9"")"),1)</f>
        <v>1</v>
      </c>
      <c r="J64" s="144">
        <f ca="1">IFERROR(__xludf.DUMMYFUNCTION("IMPORTRANGE(""https://docs.google.com/spreadsheets/d/11923uPwbBZFjjGgGUA6NLw09EwE0CqkOc4q9oUmW1yo/edit?usp=sharing"",""พะเยา!J9"")"),1)</f>
        <v>1</v>
      </c>
      <c r="K64" s="145">
        <f t="shared" ref="K64:K65" ca="1" si="44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IFERROR(__xludf.DUMMYFUNCTION("IMPORTRANGE(""https://docs.google.com/spreadsheets/d/11923uPwbBZFjjGgGUA6NLw09EwE0CqkOc4q9oUmW1yo/edit?usp=sharing"",""พะเยา!I10"")"),30)</f>
        <v>30</v>
      </c>
      <c r="J65" s="144">
        <f ca="1">IFERROR(__xludf.DUMMYFUNCTION("IMPORTRANGE(""https://docs.google.com/spreadsheets/d/11923uPwbBZFjjGgGUA6NLw09EwE0CqkOc4q9oUmW1yo/edit?usp=sharing"",""พะเยา!J10"")"),30)</f>
        <v>30</v>
      </c>
      <c r="K65" s="145">
        <f t="shared" ca="1" si="44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382000</v>
      </c>
      <c r="M66" s="154">
        <f t="shared" ca="1" si="45"/>
        <v>338620</v>
      </c>
      <c r="N66" s="154">
        <f t="shared" ca="1" si="45"/>
        <v>132208.74</v>
      </c>
      <c r="O66" s="153">
        <f t="shared" ref="O66:O68" ca="1" si="46">IF(L66&gt;0,N66*100/L66,0)</f>
        <v>34.609617801047122</v>
      </c>
      <c r="P66" s="153">
        <f t="shared" ref="P66:P68" ca="1" si="47">IF(M66&gt;0,N66*100/M66,0)</f>
        <v>39.043393774732742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382000</v>
      </c>
      <c r="M68" s="90">
        <f t="shared" ca="1" si="49"/>
        <v>338620</v>
      </c>
      <c r="N68" s="90">
        <f t="shared" ca="1" si="49"/>
        <v>132208.74</v>
      </c>
      <c r="O68" s="158">
        <f t="shared" ca="1" si="46"/>
        <v>34.609617801047122</v>
      </c>
      <c r="P68" s="158">
        <f t="shared" ca="1" si="47"/>
        <v>39.043393774732742</v>
      </c>
    </row>
    <row r="69" spans="1:16" ht="21.75" customHeight="1">
      <c r="A69" s="159"/>
      <c r="B69" s="160"/>
      <c r="C69" s="160" t="s">
        <v>16</v>
      </c>
      <c r="D69" s="570" t="s">
        <v>20</v>
      </c>
      <c r="E69" s="565"/>
      <c r="F69" s="565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382000</v>
      </c>
      <c r="M70" s="169">
        <f ca="1">IFERROR(__xludf.DUMMYFUNCTION("IMPORTRANGE(""https://docs.google.com/spreadsheets/d/1Yj_ptqi66GCucihVvJfMjLAmec39IyEx_6qawtMGysU/edit?usp=sharing"",""สบก!AI26"")"),338620)</f>
        <v>338620</v>
      </c>
      <c r="N70" s="170">
        <f ca="1">IFERROR(__xludf.DUMMYFUNCTION("IMPORTRANGE(""https://docs.google.com/spreadsheets/d/1Yj_ptqi66GCucihVvJfMjLAmec39IyEx_6qawtMGysU/edit?usp=sharing"",""สบก!AJ26"")"),132208.74)</f>
        <v>132208.74</v>
      </c>
      <c r="O70" s="170">
        <f ca="1">IF(L70&gt;0,N70*100/L70,0)</f>
        <v>34.609617801047122</v>
      </c>
      <c r="P70" s="170">
        <f ca="1">IF(M70&gt;0,N70*100/M70,0)</f>
        <v>39.043393774732742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IFERROR(__xludf.DUMMYFUNCTION("IMPORTRANGE(""https://docs.google.com/spreadsheets/d/1Yj_ptqi66GCucihVvJfMjLAmec39IyEx_6qawtMGysU/edit?usp=sharing"",""สบก!AE26"")"),0)</f>
        <v>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IFERROR(__xludf.DUMMYFUNCTION("IMPORTRANGE(""https://docs.google.com/spreadsheets/d/1Yj_ptqi66GCucihVvJfMjLAmec39IyEx_6qawtMGysU/edit?usp=sharing"",""สบก!AF26"")"),382000)</f>
        <v>382000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IFERROR(__xludf.DUMMYFUNCTION("IMPORTRANGE(""https://docs.google.com/spreadsheets/d/1Yj_ptqi66GCucihVvJfMjLAmec39IyEx_6qawtMGysU/edit?usp=sharing"",""สบก!AG26"")"),0)</f>
        <v>0</v>
      </c>
      <c r="M74" s="52"/>
      <c r="N74" s="52">
        <f ca="1">IFERROR(__xludf.DUMMYFUNCTION("IMPORTRANGE(""https://docs.google.com/spreadsheets/d/1Yj_ptqi66GCucihVvJfMjLAmec39IyEx_6qawtMGysU/edit?usp=sharing"",""สบก!AK26"")"),0)</f>
        <v>0</v>
      </c>
      <c r="O74" s="52">
        <f ca="1">IF(L74&gt;0,N74*100/L74,0)</f>
        <v>0</v>
      </c>
      <c r="P74" s="52"/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IFERROR(__xludf.DUMMYFUNCTION("IMPORTRANGE(""https://docs.google.com/spreadsheets/d/11923uPwbBZFjjGgGUA6NLw09EwE0CqkOc4q9oUmW1yo/edit?usp=sharing"",""พะเยา!J16"")"),0)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IFERROR(__xludf.DUMMYFUNCTION("IMPORTRANGE(""https://docs.google.com/spreadsheets/d/11923uPwbBZFjjGgGUA6NLw09EwE0CqkOc4q9oUmW1yo/edit?usp=sharing"",""พะเยา!J17"")"),1)</f>
        <v>1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IFERROR(__xludf.DUMMYFUNCTION("IMPORTRANGE(""https://docs.google.com/spreadsheets/d/11923uPwbBZFjjGgGUA6NLw09EwE0CqkOc4q9oUmW1yo/edit?usp=sharing"",""พะเยา!J18"")"),1)</f>
        <v>1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IFERROR(__xludf.DUMMYFUNCTION("IMPORTRANGE(""https://docs.google.com/spreadsheets/d/11923uPwbBZFjjGgGUA6NLw09EwE0CqkOc4q9oUmW1yo/edit?usp=sharing"",""พะเยา!J19"")"),1)</f>
        <v>1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IFERROR(__xludf.DUMMYFUNCTION("IMPORTRANGE(""https://docs.google.com/spreadsheets/d/11923uPwbBZFjjGgGUA6NLw09EwE0CqkOc4q9oUmW1yo/edit?usp=sharing"",""พะเยา!I20"")"),1)</f>
        <v>1</v>
      </c>
      <c r="J80" s="202">
        <f ca="1">IFERROR(__xludf.DUMMYFUNCTION("IMPORTRANGE(""https://docs.google.com/spreadsheets/d/11923uPwbBZFjjGgGUA6NLw09EwE0CqkOc4q9oUmW1yo/edit?usp=sharing"",""พะเยา!J20"")"),1)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IFERROR(__xludf.DUMMYFUNCTION("IMPORTRANGE(""https://docs.google.com/spreadsheets/d/11923uPwbBZFjjGgGUA6NLw09EwE0CqkOc4q9oUmW1yo/edit?usp=sharing"",""พะเยา!I21"")"),30)</f>
        <v>30</v>
      </c>
      <c r="J81" s="202">
        <f ca="1">IFERROR(__xludf.DUMMYFUNCTION("IMPORTRANGE(""https://docs.google.com/spreadsheets/d/11923uPwbBZFjjGgGUA6NLw09EwE0CqkOc4q9oUmW1yo/edit?usp=sharing"",""พะเยา!J21"")"),30)</f>
        <v>30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IFERROR(__xludf.DUMMYFUNCTION("IMPORTRANGE(""https://docs.google.com/spreadsheets/d/11923uPwbBZFjjGgGUA6NLw09EwE0CqkOc4q9oUmW1yo/edit?usp=sharing"",""พะเยา!I22"")"),1)</f>
        <v>1</v>
      </c>
      <c r="J82" s="205">
        <f ca="1">IFERROR(__xludf.DUMMYFUNCTION("IMPORTRANGE(""https://docs.google.com/spreadsheets/d/11923uPwbBZFjjGgGUA6NLw09EwE0CqkOc4q9oUmW1yo/edit?usp=sharing"",""พะเยา!J22"")"),1)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IFERROR(__xludf.DUMMYFUNCTION("IMPORTRANGE(""https://docs.google.com/spreadsheets/d/11923uPwbBZFjjGgGUA6NLw09EwE0CqkOc4q9oUmW1yo/edit?usp=sharing"",""พะเยา!I23"")"),30)</f>
        <v>30</v>
      </c>
      <c r="J83" s="205">
        <f ca="1">IFERROR(__xludf.DUMMYFUNCTION("IMPORTRANGE(""https://docs.google.com/spreadsheets/d/11923uPwbBZFjjGgGUA6NLw09EwE0CqkOc4q9oUmW1yo/edit?usp=sharing"",""พะเยา!J23"")"),30)</f>
        <v>30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IFERROR(__xludf.DUMMYFUNCTION("IMPORTRANGE(""https://docs.google.com/spreadsheets/d/11923uPwbBZFjjGgGUA6NLw09EwE0CqkOc4q9oUmW1yo/edit?usp=sharing"",""พะเยา!I24"")"),0)</f>
        <v>0</v>
      </c>
      <c r="J84" s="190">
        <f ca="1">IFERROR(__xludf.DUMMYFUNCTION("IMPORTRANGE(""https://docs.google.com/spreadsheets/d/11923uPwbBZFjjGgGUA6NLw09EwE0CqkOc4q9oUmW1yo/edit?usp=sharing"",""พะเยา!J24"")"),0)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IFERROR(__xludf.DUMMYFUNCTION("IMPORTRANGE(""https://docs.google.com/spreadsheets/d/11923uPwbBZFjjGgGUA6NLw09EwE0CqkOc4q9oUmW1yo/edit?usp=sharing"",""พะเยา!I25"")"),0)</f>
        <v>0</v>
      </c>
      <c r="J85" s="190">
        <f ca="1">IFERROR(__xludf.DUMMYFUNCTION("IMPORTRANGE(""https://docs.google.com/spreadsheets/d/11923uPwbBZFjjGgGUA6NLw09EwE0CqkOc4q9oUmW1yo/edit?usp=sharing"",""พะเยา!J25"")"),0)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IFERROR(__xludf.DUMMYFUNCTION("IMPORTRANGE(""https://docs.google.com/spreadsheets/d/11923uPwbBZFjjGgGUA6NLw09EwE0CqkOc4q9oUmW1yo/edit?usp=sharing"",""พะเยา!I26"")"),0)</f>
        <v>0</v>
      </c>
      <c r="J86" s="205">
        <f ca="1">IFERROR(__xludf.DUMMYFUNCTION("IMPORTRANGE(""https://docs.google.com/spreadsheets/d/11923uPwbBZFjjGgGUA6NLw09EwE0CqkOc4q9oUmW1yo/edit?usp=sharing"",""พะเยา!J26"")"),0)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IFERROR(__xludf.DUMMYFUNCTION("IMPORTRANGE(""https://docs.google.com/spreadsheets/d/11923uPwbBZFjjGgGUA6NLw09EwE0CqkOc4q9oUmW1yo/edit?usp=sharing"",""พะเยา!I27"")"),0)</f>
        <v>0</v>
      </c>
      <c r="J87" s="205">
        <f ca="1">IFERROR(__xludf.DUMMYFUNCTION("IMPORTRANGE(""https://docs.google.com/spreadsheets/d/11923uPwbBZFjjGgGUA6NLw09EwE0CqkOc4q9oUmW1yo/edit?usp=sharing"",""พะเยา!J27"")"),0)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IFERROR(__xludf.DUMMYFUNCTION("IMPORTRANGE(""https://docs.google.com/spreadsheets/d/11923uPwbBZFjjGgGUA6NLw09EwE0CqkOc4q9oUmW1yo/edit?usp=sharing"",""พะเยา!I28"")"),30)</f>
        <v>30</v>
      </c>
      <c r="J88" s="205">
        <f ca="1">IFERROR(__xludf.DUMMYFUNCTION("IMPORTRANGE(""https://docs.google.com/spreadsheets/d/11923uPwbBZFjjGgGUA6NLw09EwE0CqkOc4q9oUmW1yo/edit?usp=sharing"",""พะเยา!J28"")"),0)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IFERROR(__xludf.DUMMYFUNCTION("IMPORTRANGE(""https://docs.google.com/spreadsheets/d/11923uPwbBZFjjGgGUA6NLw09EwE0CqkOc4q9oUmW1yo/edit?usp=sharing"",""พะเยา!J29"")"),0)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IFERROR(__xludf.DUMMYFUNCTION("IMPORTRANGE(""https://docs.google.com/spreadsheets/d/11923uPwbBZFjjGgGUA6NLw09EwE0CqkOc4q9oUmW1yo/edit?usp=sharing"",""พะเยา!J30"")"),0)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IFERROR(__xludf.DUMMYFUNCTION("IMPORTRANGE(""https://docs.google.com/spreadsheets/d/11923uPwbBZFjjGgGUA6NLw09EwE0CqkOc4q9oUmW1yo/edit?usp=sharing"",""พะเยา!I32"")"),7)</f>
        <v>7</v>
      </c>
      <c r="J92" s="144">
        <f ca="1">IFERROR(__xludf.DUMMYFUNCTION("IMPORTRANGE(""https://docs.google.com/spreadsheets/d/11923uPwbBZFjjGgGUA6NLw09EwE0CqkOc4q9oUmW1yo/edit?usp=sharing"",""พะเยา!J32"")"),7)</f>
        <v>7</v>
      </c>
      <c r="K92" s="145">
        <f t="shared" ref="K92:K93" ca="1" si="51">IF(I92&gt;0,J92*100/I92,0)</f>
        <v>100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IFERROR(__xludf.DUMMYFUNCTION("IMPORTRANGE(""https://docs.google.com/spreadsheets/d/11923uPwbBZFjjGgGUA6NLw09EwE0CqkOc4q9oUmW1yo/edit?usp=sharing"",""พะเยา!I33"")"),2)</f>
        <v>2</v>
      </c>
      <c r="J93" s="144">
        <f ca="1">IFERROR(__xludf.DUMMYFUNCTION("IMPORTRANGE(""https://docs.google.com/spreadsheets/d/11923uPwbBZFjjGgGUA6NLw09EwE0CqkOc4q9oUmW1yo/edit?usp=sharing"",""พะเยา!J33"")"),2)</f>
        <v>2</v>
      </c>
      <c r="K93" s="145">
        <f t="shared" ca="1" si="51"/>
        <v>100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318960</v>
      </c>
      <c r="M94" s="154">
        <f t="shared" ca="1" si="52"/>
        <v>298915</v>
      </c>
      <c r="N94" s="154">
        <f t="shared" ca="1" si="52"/>
        <v>254715</v>
      </c>
      <c r="O94" s="153">
        <f t="shared" ref="O94:O96" ca="1" si="53">IF(L94&gt;0,N94*100/L94,0)</f>
        <v>79.857975921745677</v>
      </c>
      <c r="P94" s="153">
        <f t="shared" ref="P94:P96" ca="1" si="54">IF(M94&gt;0,N94*100/M94,0)</f>
        <v>85.213187695498718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318960</v>
      </c>
      <c r="M96" s="90">
        <f t="shared" ca="1" si="56"/>
        <v>298915</v>
      </c>
      <c r="N96" s="90">
        <f t="shared" ca="1" si="56"/>
        <v>254715</v>
      </c>
      <c r="O96" s="158">
        <f t="shared" ca="1" si="53"/>
        <v>79.857975921745677</v>
      </c>
      <c r="P96" s="158">
        <f t="shared" ca="1" si="54"/>
        <v>85.213187695498718</v>
      </c>
    </row>
    <row r="97" spans="1:16" ht="21.75" customHeight="1">
      <c r="A97" s="159"/>
      <c r="B97" s="160"/>
      <c r="C97" s="160" t="s">
        <v>16</v>
      </c>
      <c r="D97" s="570" t="s">
        <v>20</v>
      </c>
      <c r="E97" s="565"/>
      <c r="F97" s="565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134160</v>
      </c>
      <c r="M98" s="169">
        <f ca="1">IFERROR(__xludf.DUMMYFUNCTION("IMPORTRANGE(""https://docs.google.com/spreadsheets/d/1Yj_ptqi66GCucihVvJfMjLAmec39IyEx_6qawtMGysU/edit?usp=sharing"",""สบก!AR26"")"),114115)</f>
        <v>114115</v>
      </c>
      <c r="N98" s="170">
        <f ca="1">IFERROR(__xludf.DUMMYFUNCTION("IMPORTRANGE(""https://docs.google.com/spreadsheets/d/1Yj_ptqi66GCucihVvJfMjLAmec39IyEx_6qawtMGysU/edit?usp=sharing"",""สบก!AS26"")"),69915)</f>
        <v>69915</v>
      </c>
      <c r="O98" s="170">
        <f ca="1">IF(L98&gt;0,N98*100/L98,0)</f>
        <v>52.113148479427551</v>
      </c>
      <c r="P98" s="170">
        <f ca="1">IF(M98&gt;0,N98*100/M98,0)</f>
        <v>61.267142794549358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IFERROR(__xludf.DUMMYFUNCTION("IMPORTRANGE(""https://docs.google.com/spreadsheets/d/1Yj_ptqi66GCucihVvJfMjLAmec39IyEx_6qawtMGysU/edit?usp=sharing"",""สบก!AN26"")"),0)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IFERROR(__xludf.DUMMYFUNCTION("IMPORTRANGE(""https://docs.google.com/spreadsheets/d/1Yj_ptqi66GCucihVvJfMjLAmec39IyEx_6qawtMGysU/edit?usp=sharing"",""สบก!AO26"")"),134160)</f>
        <v>134160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IFERROR(__xludf.DUMMYFUNCTION("IMPORTRANGE(""https://docs.google.com/spreadsheets/d/1Yj_ptqi66GCucihVvJfMjLAmec39IyEx_6qawtMGysU/edit?usp=sharing"",""สบก!AP26"")"),184800)</f>
        <v>184800</v>
      </c>
      <c r="M102" s="52">
        <f ca="1">L102</f>
        <v>184800</v>
      </c>
      <c r="N102" s="52">
        <f ca="1">IFERROR(__xludf.DUMMYFUNCTION("IMPORTRANGE(""https://docs.google.com/spreadsheets/d/1Yj_ptqi66GCucihVvJfMjLAmec39IyEx_6qawtMGysU/edit?usp=sharing"",""สบก!AT26"")"),184800)</f>
        <v>184800</v>
      </c>
      <c r="O102" s="52">
        <f ca="1">IF(L102&gt;0,N102*100/L102,0)</f>
        <v>100</v>
      </c>
      <c r="P102" s="52">
        <f ca="1">IF(M102&gt;0,N102*100/M102,0)</f>
        <v>100</v>
      </c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IFERROR(__xludf.DUMMYFUNCTION("IMPORTRANGE(""https://docs.google.com/spreadsheets/d/11923uPwbBZFjjGgGUA6NLw09EwE0CqkOc4q9oUmW1yo/edit?usp=sharing"",""พะเยา!J39"")"),0)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IFERROR(__xludf.DUMMYFUNCTION("IMPORTRANGE(""https://docs.google.com/spreadsheets/d/11923uPwbBZFjjGgGUA6NLw09EwE0CqkOc4q9oUmW1yo/edit?usp=sharing"",""พะเยา!J40"")"),1)</f>
        <v>1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IFERROR(__xludf.DUMMYFUNCTION("IMPORTRANGE(""https://docs.google.com/spreadsheets/d/11923uPwbBZFjjGgGUA6NLw09EwE0CqkOc4q9oUmW1yo/edit?usp=sharing"",""พะเยา!J41"")"),1)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IFERROR(__xludf.DUMMYFUNCTION("IMPORTRANGE(""https://docs.google.com/spreadsheets/d/11923uPwbBZFjjGgGUA6NLw09EwE0CqkOc4q9oUmW1yo/edit?usp=sharing"",""พะเยา!J42"")"),1)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IFERROR(__xludf.DUMMYFUNCTION("IMPORTRANGE(""https://docs.google.com/spreadsheets/d/11923uPwbBZFjjGgGUA6NLw09EwE0CqkOc4q9oUmW1yo/edit?usp=sharing"",""พะเยา!I43"")"),1)</f>
        <v>1</v>
      </c>
      <c r="J108" s="205">
        <f ca="1">IFERROR(__xludf.DUMMYFUNCTION("IMPORTRANGE(""https://docs.google.com/spreadsheets/d/11923uPwbBZFjjGgGUA6NLw09EwE0CqkOc4q9oUmW1yo/edit?usp=sharing"",""พะเยา!J43"")"),1)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IFERROR(__xludf.DUMMYFUNCTION("IMPORTRANGE(""https://docs.google.com/spreadsheets/d/11923uPwbBZFjjGgGUA6NLw09EwE0CqkOc4q9oUmW1yo/edit?usp=sharing"",""พะเยา!I44"")"),7)</f>
        <v>7</v>
      </c>
      <c r="J109" s="205">
        <f ca="1">IFERROR(__xludf.DUMMYFUNCTION("IMPORTRANGE(""https://docs.google.com/spreadsheets/d/11923uPwbBZFjjGgGUA6NLw09EwE0CqkOc4q9oUmW1yo/edit?usp=sharing"",""พะเยา!J44"")"),7)</f>
        <v>7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IFERROR(__xludf.DUMMYFUNCTION("IMPORTRANGE(""https://docs.google.com/spreadsheets/d/11923uPwbBZFjjGgGUA6NLw09EwE0CqkOc4q9oUmW1yo/edit?usp=sharing"",""พะเยา!I45"")"),7)</f>
        <v>7</v>
      </c>
      <c r="J110" s="205">
        <f ca="1">IFERROR(__xludf.DUMMYFUNCTION("IMPORTRANGE(""https://docs.google.com/spreadsheets/d/11923uPwbBZFjjGgGUA6NLw09EwE0CqkOc4q9oUmW1yo/edit?usp=sharing"",""พะเยา!J45"")"),7)</f>
        <v>7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IFERROR(__xludf.DUMMYFUNCTION("IMPORTRANGE(""https://docs.google.com/spreadsheets/d/11923uPwbBZFjjGgGUA6NLw09EwE0CqkOc4q9oUmW1yo/edit?usp=sharing"",""พะเยา!I46"")"),7)</f>
        <v>7</v>
      </c>
      <c r="J111" s="205">
        <f ca="1">IFERROR(__xludf.DUMMYFUNCTION("IMPORTRANGE(""https://docs.google.com/spreadsheets/d/11923uPwbBZFjjGgGUA6NLw09EwE0CqkOc4q9oUmW1yo/edit?usp=sharing"",""พะเยา!J46"")"),7)</f>
        <v>7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IFERROR(__xludf.DUMMYFUNCTION("IMPORTRANGE(""https://docs.google.com/spreadsheets/d/11923uPwbBZFjjGgGUA6NLw09EwE0CqkOc4q9oUmW1yo/edit?usp=sharing"",""พะเยา!I47"")"),7)</f>
        <v>7</v>
      </c>
      <c r="J112" s="205">
        <f ca="1">IFERROR(__xludf.DUMMYFUNCTION("IMPORTRANGE(""https://docs.google.com/spreadsheets/d/11923uPwbBZFjjGgGUA6NLw09EwE0CqkOc4q9oUmW1yo/edit?usp=sharing"",""พะเยา!J47"")"),7)</f>
        <v>7</v>
      </c>
      <c r="K112" s="225">
        <f t="shared" ca="1" si="57"/>
        <v>100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IFERROR(__xludf.DUMMYFUNCTION("IMPORTRANGE(""https://docs.google.com/spreadsheets/d/11923uPwbBZFjjGgGUA6NLw09EwE0CqkOc4q9oUmW1yo/edit?usp=sharing"",""พะเยา!I48"")"),2)</f>
        <v>2</v>
      </c>
      <c r="J113" s="205">
        <f ca="1">IFERROR(__xludf.DUMMYFUNCTION("IMPORTRANGE(""https://docs.google.com/spreadsheets/d/11923uPwbBZFjjGgGUA6NLw09EwE0CqkOc4q9oUmW1yo/edit?usp=sharing"",""พะเยา!J48"")"),2)</f>
        <v>2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IFERROR(__xludf.DUMMYFUNCTION("IMPORTRANGE(""https://docs.google.com/spreadsheets/d/11923uPwbBZFjjGgGUA6NLw09EwE0CqkOc4q9oUmW1yo/edit?usp=sharing"",""พะเยา!J49"")"),0)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IFERROR(__xludf.DUMMYFUNCTION("IMPORTRANGE(""https://docs.google.com/spreadsheets/d/11923uPwbBZFjjGgGUA6NLw09EwE0CqkOc4q9oUmW1yo/edit?usp=sharing"",""พะเยา!J50"")"),0)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IFERROR(__xludf.DUMMYFUNCTION("IMPORTRANGE(""https://docs.google.com/spreadsheets/d/11923uPwbBZFjjGgGUA6NLw09EwE0CqkOc4q9oUmW1yo/edit?usp=sharing"",""พะเยา!I52"")"),20)</f>
        <v>20</v>
      </c>
      <c r="J117" s="144">
        <f ca="1">IFERROR(__xludf.DUMMYFUNCTION("IMPORTRANGE(""https://docs.google.com/spreadsheets/d/11923uPwbBZFjjGgGUA6NLw09EwE0CqkOc4q9oUmW1yo/edit?usp=sharing"",""พะเยา!J52"")"),20)</f>
        <v>20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82440</v>
      </c>
      <c r="M118" s="154">
        <f t="shared" ca="1" si="58"/>
        <v>82440</v>
      </c>
      <c r="N118" s="154">
        <f t="shared" ca="1" si="58"/>
        <v>38876</v>
      </c>
      <c r="O118" s="153">
        <f t="shared" ref="O118:O120" ca="1" si="59">IF(L118&gt;0,N118*100/L118,0)</f>
        <v>47.156720038816111</v>
      </c>
      <c r="P118" s="153">
        <f t="shared" ref="P118:P120" ca="1" si="60">IF(M118&gt;0,N118*100/M118,0)</f>
        <v>47.156720038816111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82440</v>
      </c>
      <c r="M120" s="90">
        <f t="shared" ca="1" si="62"/>
        <v>82440</v>
      </c>
      <c r="N120" s="90">
        <f t="shared" ca="1" si="62"/>
        <v>38876</v>
      </c>
      <c r="O120" s="158">
        <f t="shared" ca="1" si="59"/>
        <v>47.156720038816111</v>
      </c>
      <c r="P120" s="158">
        <f t="shared" ca="1" si="60"/>
        <v>47.156720038816111</v>
      </c>
    </row>
    <row r="121" spans="1:16" ht="21.75" customHeight="1">
      <c r="A121" s="159"/>
      <c r="B121" s="160"/>
      <c r="C121" s="160" t="s">
        <v>16</v>
      </c>
      <c r="D121" s="570" t="s">
        <v>20</v>
      </c>
      <c r="E121" s="565"/>
      <c r="F121" s="565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IFERROR(__xludf.DUMMYFUNCTION("IMPORTRANGE(""https://docs.google.com/spreadsheets/d/1Yj_ptqi66GCucihVvJfMjLAmec39IyEx_6qawtMGysU/edit?usp=sharing"",""สบก!BA26"")"),82440)</f>
        <v>82440</v>
      </c>
      <c r="N122" s="170">
        <f ca="1">IFERROR(__xludf.DUMMYFUNCTION("IMPORTRANGE(""https://docs.google.com/spreadsheets/d/1Yj_ptqi66GCucihVvJfMjLAmec39IyEx_6qawtMGysU/edit?usp=sharing"",""สบก!BB26"")"),38876)</f>
        <v>38876</v>
      </c>
      <c r="O122" s="170">
        <f ca="1">IF(L122&gt;0,N122*100/L122,0)</f>
        <v>47.156720038816111</v>
      </c>
      <c r="P122" s="170">
        <f ca="1">IF(M122&gt;0,N122*100/M122,0)</f>
        <v>47.156720038816111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IFERROR(__xludf.DUMMYFUNCTION("IMPORTRANGE(""https://docs.google.com/spreadsheets/d/1Yj_ptqi66GCucihVvJfMjLAmec39IyEx_6qawtMGysU/edit?usp=sharing"",""สบก!AW26"")"),0)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IFERROR(__xludf.DUMMYFUNCTION("IMPORTRANGE(""https://docs.google.com/spreadsheets/d/1Yj_ptqi66GCucihVvJfMjLAmec39IyEx_6qawtMGysU/edit?usp=sharing"",""สบก!AX26"")"),82440)</f>
        <v>82440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IFERROR(__xludf.DUMMYFUNCTION("IMPORTRANGE(""https://docs.google.com/spreadsheets/d/1Yj_ptqi66GCucihVvJfMjLAmec39IyEx_6qawtMGysU/edit?usp=sharing"",""สบก!AY26"")"),0)</f>
        <v>0</v>
      </c>
      <c r="M126" s="52"/>
      <c r="N126" s="52">
        <f ca="1">IFERROR(__xludf.DUMMYFUNCTION("IMPORTRANGE(""https://docs.google.com/spreadsheets/d/1Yj_ptqi66GCucihVvJfMjLAmec39IyEx_6qawtMGysU/edit?usp=sharing"",""สบก!BC26"")"),0)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273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IFERROR(__xludf.DUMMYFUNCTION("IMPORTRANGE(""https://docs.google.com/spreadsheets/d/11923uPwbBZFjjGgGUA6NLw09EwE0CqkOc4q9oUmW1yo/edit?usp=sharing"",""พะเยา!J58"")"),0)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IFERROR(__xludf.DUMMYFUNCTION("IMPORTRANGE(""https://docs.google.com/spreadsheets/d/11923uPwbBZFjjGgGUA6NLw09EwE0CqkOc4q9oUmW1yo/edit?usp=sharing"",""พะเยา!J59"")"),1)</f>
        <v>1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IFERROR(__xludf.DUMMYFUNCTION("IMPORTRANGE(""https://docs.google.com/spreadsheets/d/11923uPwbBZFjjGgGUA6NLw09EwE0CqkOc4q9oUmW1yo/edit?usp=sharing"",""พะเยา!J60"")"),1)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IFERROR(__xludf.DUMMYFUNCTION("IMPORTRANGE(""https://docs.google.com/spreadsheets/d/11923uPwbBZFjjGgGUA6NLw09EwE0CqkOc4q9oUmW1yo/edit?usp=sharing"",""พะเยา!J61"")"),1)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IFERROR(__xludf.DUMMYFUNCTION("IMPORTRANGE(""https://docs.google.com/spreadsheets/d/11923uPwbBZFjjGgGUA6NLw09EwE0CqkOc4q9oUmW1yo/edit?usp=sharing"",""พะเยา!I62"")"),20)</f>
        <v>20</v>
      </c>
      <c r="J132" s="205">
        <f ca="1">IFERROR(__xludf.DUMMYFUNCTION("IMPORTRANGE(""https://docs.google.com/spreadsheets/d/11923uPwbBZFjjGgGUA6NLw09EwE0CqkOc4q9oUmW1yo/edit?usp=sharing"",""พะเยา!J62"")"),20)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IFERROR(__xludf.DUMMYFUNCTION("IMPORTRANGE(""https://docs.google.com/spreadsheets/d/11923uPwbBZFjjGgGUA6NLw09EwE0CqkOc4q9oUmW1yo/edit?usp=sharing"",""พะเยา!I63"")"),20)</f>
        <v>20</v>
      </c>
      <c r="J133" s="205">
        <f ca="1">IFERROR(__xludf.DUMMYFUNCTION("IMPORTRANGE(""https://docs.google.com/spreadsheets/d/11923uPwbBZFjjGgGUA6NLw09EwE0CqkOc4q9oUmW1yo/edit?usp=sharing"",""พะเยา!J63"")"),20)</f>
        <v>20</v>
      </c>
      <c r="K133" s="225">
        <f t="shared" ca="1" si="63"/>
        <v>100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IFERROR(__xludf.DUMMYFUNCTION("IMPORTRANGE(""https://docs.google.com/spreadsheets/d/11923uPwbBZFjjGgGUA6NLw09EwE0CqkOc4q9oUmW1yo/edit?usp=sharing"",""พะเยา!J64"")"),0)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IFERROR(__xludf.DUMMYFUNCTION("IMPORTRANGE(""https://docs.google.com/spreadsheets/d/11923uPwbBZFjjGgGUA6NLw09EwE0CqkOc4q9oUmW1yo/edit?usp=sharing"",""พะเยา!J65"")"),0)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IFERROR(__xludf.DUMMYFUNCTION("IMPORTRANGE(""https://docs.google.com/spreadsheets/d/11923uPwbBZFjjGgGUA6NLw09EwE0CqkOc4q9oUmW1yo/edit?usp=sharing"",""พะเยา!I68"")"),55)</f>
        <v>55</v>
      </c>
      <c r="J138" s="268">
        <f ca="1">IFERROR(__xludf.DUMMYFUNCTION("IMPORTRANGE(""https://docs.google.com/spreadsheets/d/11923uPwbBZFjjGgGUA6NLw09EwE0CqkOc4q9oUmW1yo/edit?usp=sharing"",""พะเยา!J68"")"),55)</f>
        <v>55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828600</v>
      </c>
      <c r="M140" s="154">
        <f t="shared" ca="1" si="64"/>
        <v>667225</v>
      </c>
      <c r="N140" s="154">
        <f t="shared" ca="1" si="64"/>
        <v>501631.52</v>
      </c>
      <c r="O140" s="153">
        <f t="shared" ref="O140:O142" ca="1" si="65">IF(L140&gt;0,N140*100/L140,0)</f>
        <v>60.539647598358677</v>
      </c>
      <c r="P140" s="153">
        <f t="shared" ref="P140:P142" ca="1" si="66">IF(M140&gt;0,N140*100/M140,0)</f>
        <v>75.181763273258639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828600</v>
      </c>
      <c r="M142" s="90">
        <f t="shared" ca="1" si="68"/>
        <v>667225</v>
      </c>
      <c r="N142" s="90">
        <f t="shared" ca="1" si="68"/>
        <v>501631.52</v>
      </c>
      <c r="O142" s="158">
        <f t="shared" ca="1" si="65"/>
        <v>60.539647598358677</v>
      </c>
      <c r="P142" s="158">
        <f t="shared" ca="1" si="66"/>
        <v>75.181763273258639</v>
      </c>
    </row>
    <row r="143" spans="1:16" ht="21.75" customHeight="1">
      <c r="A143" s="159"/>
      <c r="B143" s="160"/>
      <c r="C143" s="160" t="s">
        <v>16</v>
      </c>
      <c r="D143" s="570" t="s">
        <v>20</v>
      </c>
      <c r="E143" s="565"/>
      <c r="F143" s="565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828600</v>
      </c>
      <c r="M144" s="169">
        <f ca="1">IFERROR(__xludf.DUMMYFUNCTION("IMPORTRANGE(""https://docs.google.com/spreadsheets/d/1Yj_ptqi66GCucihVvJfMjLAmec39IyEx_6qawtMGysU/edit?usp=sharing"",""สบก!BJ26"")"),667225)</f>
        <v>667225</v>
      </c>
      <c r="N144" s="170">
        <f ca="1">IFERROR(__xludf.DUMMYFUNCTION("IMPORTRANGE(""https://docs.google.com/spreadsheets/d/1Yj_ptqi66GCucihVvJfMjLAmec39IyEx_6qawtMGysU/edit?usp=sharing"",""สบก!BK26"")"),501631.52)</f>
        <v>501631.52</v>
      </c>
      <c r="O144" s="170">
        <f ca="1">IF(L144&gt;0,N144*100/L144,0)</f>
        <v>60.539647598358677</v>
      </c>
      <c r="P144" s="170">
        <f ca="1">IF(M144&gt;0,N144*100/M144,0)</f>
        <v>75.181763273258639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IFERROR(__xludf.DUMMYFUNCTION("IMPORTRANGE(""https://docs.google.com/spreadsheets/d/1Yj_ptqi66GCucihVvJfMjLAmec39IyEx_6qawtMGysU/edit?usp=sharing"",""สบก!BF26"")"),462100)</f>
        <v>462100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IFERROR(__xludf.DUMMYFUNCTION("IMPORTRANGE(""https://docs.google.com/spreadsheets/d/1Yj_ptqi66GCucihVvJfMjLAmec39IyEx_6qawtMGysU/edit?usp=sharing"",""สบก!BG26"")"),366500)</f>
        <v>366500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IFERROR(__xludf.DUMMYFUNCTION("IMPORTRANGE(""https://docs.google.com/spreadsheets/d/1Yj_ptqi66GCucihVvJfMjLAmec39IyEx_6qawtMGysU/edit?usp=sharing"",""สบก!BH26"")"),0)</f>
        <v>0</v>
      </c>
      <c r="M148" s="52"/>
      <c r="N148" s="52">
        <f ca="1">IFERROR(__xludf.DUMMYFUNCTION("IMPORTRANGE(""https://docs.google.com/spreadsheets/d/1Yj_ptqi66GCucihVvJfMjLAmec39IyEx_6qawtMGysU/edit?usp=sharing"",""สบก!BL26"")"),0)</f>
        <v>0</v>
      </c>
      <c r="O148" s="52">
        <f ca="1">IF(L148&gt;0,N148*100/L148,0)</f>
        <v>0</v>
      </c>
      <c r="P148" s="52"/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IFERROR(__xludf.DUMMYFUNCTION("IMPORTRANGE(""https://docs.google.com/spreadsheets/d/11923uPwbBZFjjGgGUA6NLw09EwE0CqkOc4q9oUmW1yo/edit?usp=sharing"",""พะเยา!I74"")"),4)</f>
        <v>4</v>
      </c>
      <c r="J149" s="276">
        <f ca="1">IFERROR(__xludf.DUMMYFUNCTION("IMPORTRANGE(""https://docs.google.com/spreadsheets/d/11923uPwbBZFjjGgGUA6NLw09EwE0CqkOc4q9oUmW1yo/edit?usp=sharing"",""พะเยา!J74"")"),2)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IFERROR(__xludf.DUMMYFUNCTION("IMPORTRANGE(""https://docs.google.com/spreadsheets/d/11923uPwbBZFjjGgGUA6NLw09EwE0CqkOc4q9oUmW1yo/edit?usp=sharing"",""พะเยา!J79"")"),0)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IFERROR(__xludf.DUMMYFUNCTION("IMPORTRANGE(""https://docs.google.com/spreadsheets/d/11923uPwbBZFjjGgGUA6NLw09EwE0CqkOc4q9oUmW1yo/edit?usp=sharing"",""พะเยา!J80"")"),1)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IFERROR(__xludf.DUMMYFUNCTION("IMPORTRANGE(""https://docs.google.com/spreadsheets/d/11923uPwbBZFjjGgGUA6NLw09EwE0CqkOc4q9oUmW1yo/edit?usp=sharing"",""พะเยา!J81"")"),1)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IFERROR(__xludf.DUMMYFUNCTION("IMPORTRANGE(""https://docs.google.com/spreadsheets/d/11923uPwbBZFjjGgGUA6NLw09EwE0CqkOc4q9oUmW1yo/edit?usp=sharing"",""พะเยา!J82"")"),1)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IFERROR(__xludf.DUMMYFUNCTION("IMPORTRANGE(""https://docs.google.com/spreadsheets/d/11923uPwbBZFjjGgGUA6NLw09EwE0CqkOc4q9oUmW1yo/edit?usp=sharing"",""พะเยา!I83"")"),4)</f>
        <v>4</v>
      </c>
      <c r="J158" s="190">
        <f ca="1">IFERROR(__xludf.DUMMYFUNCTION("IMPORTRANGE(""https://docs.google.com/spreadsheets/d/11923uPwbBZFjjGgGUA6NLw09EwE0CqkOc4q9oUmW1yo/edit?usp=sharing"",""พะเยา!J83"")"),2)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IFERROR(__xludf.DUMMYFUNCTION("IMPORTRANGE(""https://docs.google.com/spreadsheets/d/11923uPwbBZFjjGgGUA6NLw09EwE0CqkOc4q9oUmW1yo/edit?usp=sharing"",""พะเยา!J84"")"),120)</f>
        <v>120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IFERROR(__xludf.DUMMYFUNCTION("IMPORTRANGE(""https://docs.google.com/spreadsheets/d/11923uPwbBZFjjGgGUA6NLw09EwE0CqkOc4q9oUmW1yo/edit?usp=sharing"",""พะเยา!J85"")"),120)</f>
        <v>120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IFERROR(__xludf.DUMMYFUNCTION("IMPORTRANGE(""https://docs.google.com/spreadsheets/d/11923uPwbBZFjjGgGUA6NLw09EwE0CqkOc4q9oUmW1yo/edit?usp=sharing"",""พะเยา!J86"")"),0)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IFERROR(__xludf.DUMMYFUNCTION("IMPORTRANGE(""https://docs.google.com/spreadsheets/d/11923uPwbBZFjjGgGUA6NLw09EwE0CqkOc4q9oUmW1yo/edit?usp=sharing"",""พะเยา!J87"")"),0)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IFERROR(__xludf.DUMMYFUNCTION("IMPORTRANGE(""https://docs.google.com/spreadsheets/d/11923uPwbBZFjjGgGUA6NLw09EwE0CqkOc4q9oUmW1yo/edit?usp=sharing"",""พะเยา!J88"")"),0)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IFERROR(__xludf.DUMMYFUNCTION("IMPORTRANGE(""https://docs.google.com/spreadsheets/d/11923uPwbBZFjjGgGUA6NLw09EwE0CqkOc4q9oUmW1yo/edit?usp=sharing"",""พะเยา!I89"")"),2)</f>
        <v>2</v>
      </c>
      <c r="J164" s="285">
        <f ca="1">IFERROR(__xludf.DUMMYFUNCTION("IMPORTRANGE(""https://docs.google.com/spreadsheets/d/11923uPwbBZFjjGgGUA6NLw09EwE0CqkOc4q9oUmW1yo/edit?usp=sharing"",""พะเยา!J89"")"),2)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IFERROR(__xludf.DUMMYFUNCTION("IMPORTRANGE(""https://docs.google.com/spreadsheets/d/11923uPwbBZFjjGgGUA6NLw09EwE0CqkOc4q9oUmW1yo/edit?usp=sharing"",""พะเยา!J94"")"),0)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IFERROR(__xludf.DUMMYFUNCTION("IMPORTRANGE(""https://docs.google.com/spreadsheets/d/11923uPwbBZFjjGgGUA6NLw09EwE0CqkOc4q9oUmW1yo/edit?usp=sharing"",""พะเยา!J95"")"),1)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IFERROR(__xludf.DUMMYFUNCTION("IMPORTRANGE(""https://docs.google.com/spreadsheets/d/11923uPwbBZFjjGgGUA6NLw09EwE0CqkOc4q9oUmW1yo/edit?usp=sharing"",""พะเยา!J96"")"),1)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IFERROR(__xludf.DUMMYFUNCTION("IMPORTRANGE(""https://docs.google.com/spreadsheets/d/11923uPwbBZFjjGgGUA6NLw09EwE0CqkOc4q9oUmW1yo/edit?usp=sharing"",""พะเยา!J97"")"),1)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IFERROR(__xludf.DUMMYFUNCTION("IMPORTRANGE(""https://docs.google.com/spreadsheets/d/11923uPwbBZFjjGgGUA6NLw09EwE0CqkOc4q9oUmW1yo/edit?usp=sharing"",""พะเยา!I98"")"),2)</f>
        <v>2</v>
      </c>
      <c r="J173" s="190">
        <f ca="1">IFERROR(__xludf.DUMMYFUNCTION("IMPORTRANGE(""https://docs.google.com/spreadsheets/d/11923uPwbBZFjjGgGUA6NLw09EwE0CqkOc4q9oUmW1yo/edit?usp=sharing"",""พะเยา!J98"")"),2)</f>
        <v>2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IFERROR(__xludf.DUMMYFUNCTION("IMPORTRANGE(""https://docs.google.com/spreadsheets/d/11923uPwbBZFjjGgGUA6NLw09EwE0CqkOc4q9oUmW1yo/edit?usp=sharing"",""พะเยา!J99"")"),0)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IFERROR(__xludf.DUMMYFUNCTION("IMPORTRANGE(""https://docs.google.com/spreadsheets/d/11923uPwbBZFjjGgGUA6NLw09EwE0CqkOc4q9oUmW1yo/edit?usp=sharing"",""พะเยา!J100"")"),0)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IFERROR(__xludf.DUMMYFUNCTION("IMPORTRANGE(""https://docs.google.com/spreadsheets/d/11923uPwbBZFjjGgGUA6NLw09EwE0CqkOc4q9oUmW1yo/edit?usp=sharing"",""พะเยา!I101"")"),0)</f>
        <v>0</v>
      </c>
      <c r="J176" s="285">
        <f ca="1">IFERROR(__xludf.DUMMYFUNCTION("IMPORTRANGE(""https://docs.google.com/spreadsheets/d/11923uPwbBZFjjGgGUA6NLw09EwE0CqkOc4q9oUmW1yo/edit?usp=sharing"",""พะเยา!J101"")"),0)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IFERROR(__xludf.DUMMYFUNCTION("IMPORTRANGE(""https://docs.google.com/spreadsheets/d/11923uPwbBZFjjGgGUA6NLw09EwE0CqkOc4q9oUmW1yo/edit?usp=sharing"",""พะเยา!J106"")"),0)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IFERROR(__xludf.DUMMYFUNCTION("IMPORTRANGE(""https://docs.google.com/spreadsheets/d/11923uPwbBZFjjGgGUA6NLw09EwE0CqkOc4q9oUmW1yo/edit?usp=sharing"",""พะเยา!J107"")"),0)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IFERROR(__xludf.DUMMYFUNCTION("IMPORTRANGE(""https://docs.google.com/spreadsheets/d/11923uPwbBZFjjGgGUA6NLw09EwE0CqkOc4q9oUmW1yo/edit?usp=sharing"",""พะเยา!J108"")"),0)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IFERROR(__xludf.DUMMYFUNCTION("IMPORTRANGE(""https://docs.google.com/spreadsheets/d/11923uPwbBZFjjGgGUA6NLw09EwE0CqkOc4q9oUmW1yo/edit?usp=sharing"",""พะเยา!J109"")"),0)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IFERROR(__xludf.DUMMYFUNCTION("IMPORTRANGE(""https://docs.google.com/spreadsheets/d/11923uPwbBZFjjGgGUA6NLw09EwE0CqkOc4q9oUmW1yo/edit?usp=sharing"",""พะเยา!I110"")"),0)</f>
        <v>0</v>
      </c>
      <c r="J185" s="205">
        <f ca="1">IFERROR(__xludf.DUMMYFUNCTION("IMPORTRANGE(""https://docs.google.com/spreadsheets/d/11923uPwbBZFjjGgGUA6NLw09EwE0CqkOc4q9oUmW1yo/edit?usp=sharing"",""พะเยา!J110"")"),0)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IFERROR(__xludf.DUMMYFUNCTION("IMPORTRANGE(""https://docs.google.com/spreadsheets/d/11923uPwbBZFjjGgGUA6NLw09EwE0CqkOc4q9oUmW1yo/edit?usp=sharing"",""พะเยา!I111"")"),0)</f>
        <v>0</v>
      </c>
      <c r="J186" s="205">
        <f ca="1">IFERROR(__xludf.DUMMYFUNCTION("IMPORTRANGE(""https://docs.google.com/spreadsheets/d/11923uPwbBZFjjGgGUA6NLw09EwE0CqkOc4q9oUmW1yo/edit?usp=sharing"",""พะเยา!J111"")"),0)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IFERROR(__xludf.DUMMYFUNCTION("IMPORTRANGE(""https://docs.google.com/spreadsheets/d/11923uPwbBZFjjGgGUA6NLw09EwE0CqkOc4q9oUmW1yo/edit?usp=sharing"",""พะเยา!J112"")"),0)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IFERROR(__xludf.DUMMYFUNCTION("IMPORTRANGE(""https://docs.google.com/spreadsheets/d/11923uPwbBZFjjGgGUA6NLw09EwE0CqkOc4q9oUmW1yo/edit?usp=sharing"",""พะเยา!J113"")"),0)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IFERROR(__xludf.DUMMYFUNCTION("IMPORTRANGE(""https://docs.google.com/spreadsheets/d/11923uPwbBZFjjGgGUA6NLw09EwE0CqkOc4q9oUmW1yo/edit?usp=sharing"",""พะเยา!I114"")"),20000)</f>
        <v>20000</v>
      </c>
      <c r="J189" s="285">
        <f ca="1">IFERROR(__xludf.DUMMYFUNCTION("IMPORTRANGE(""https://docs.google.com/spreadsheets/d/11923uPwbBZFjjGgGUA6NLw09EwE0CqkOc4q9oUmW1yo/edit?usp=sharing"",""พะเยา!J114"")"),0)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IFERROR(__xludf.DUMMYFUNCTION("IMPORTRANGE(""https://docs.google.com/spreadsheets/d/11923uPwbBZFjjGgGUA6NLw09EwE0CqkOc4q9oUmW1yo/edit?usp=sharing"",""พะเยา!J119"")"),0)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IFERROR(__xludf.DUMMYFUNCTION("IMPORTRANGE(""https://docs.google.com/spreadsheets/d/11923uPwbBZFjjGgGUA6NLw09EwE0CqkOc4q9oUmW1yo/edit?usp=sharing"",""พะเยา!J120"")"),1)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IFERROR(__xludf.DUMMYFUNCTION("IMPORTRANGE(""https://docs.google.com/spreadsheets/d/11923uPwbBZFjjGgGUA6NLw09EwE0CqkOc4q9oUmW1yo/edit?usp=sharing"",""พะเยา!J121"")"),1)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IFERROR(__xludf.DUMMYFUNCTION("IMPORTRANGE(""https://docs.google.com/spreadsheets/d/11923uPwbBZFjjGgGUA6NLw09EwE0CqkOc4q9oUmW1yo/edit?usp=sharing"",""พะเยา!J122"")"),1)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IFERROR(__xludf.DUMMYFUNCTION("IMPORTRANGE(""https://docs.google.com/spreadsheets/d/11923uPwbBZFjjGgGUA6NLw09EwE0CqkOc4q9oUmW1yo/edit?usp=sharing"",""พะเยา!I124"")"),20000)</f>
        <v>20000</v>
      </c>
      <c r="J199" s="190">
        <f ca="1">IFERROR(__xludf.DUMMYFUNCTION("IMPORTRANGE(""https://docs.google.com/spreadsheets/d/11923uPwbBZFjjGgGUA6NLw09EwE0CqkOc4q9oUmW1yo/edit?usp=sharing"",""พะเยา!J124"")"),20000)</f>
        <v>20000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IFERROR(__xludf.DUMMYFUNCTION("IMPORTRANGE(""https://docs.google.com/spreadsheets/d/11923uPwbBZFjjGgGUA6NLw09EwE0CqkOc4q9oUmW1yo/edit?usp=sharing"",""พะเยา!I125"")"),20000)</f>
        <v>20000</v>
      </c>
      <c r="J200" s="190">
        <f ca="1">IFERROR(__xludf.DUMMYFUNCTION("IMPORTRANGE(""https://docs.google.com/spreadsheets/d/11923uPwbBZFjjGgGUA6NLw09EwE0CqkOc4q9oUmW1yo/edit?usp=sharing"",""พะเยา!J125"")"),0)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IFERROR(__xludf.DUMMYFUNCTION("IMPORTRANGE(""https://docs.google.com/spreadsheets/d/11923uPwbBZFjjGgGUA6NLw09EwE0CqkOc4q9oUmW1yo/edit?usp=sharing"",""พะเยา!I126"")"),15)</f>
        <v>15</v>
      </c>
      <c r="J201" s="190">
        <f ca="1">IFERROR(__xludf.DUMMYFUNCTION("IMPORTRANGE(""https://docs.google.com/spreadsheets/d/11923uPwbBZFjjGgGUA6NLw09EwE0CqkOc4q9oUmW1yo/edit?usp=sharing"",""พะเยา!J126"")"),15)</f>
        <v>15</v>
      </c>
      <c r="K201" s="165">
        <f t="shared" ca="1" si="70"/>
        <v>100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IFERROR(__xludf.DUMMYFUNCTION("IMPORTRANGE(""https://docs.google.com/spreadsheets/d/11923uPwbBZFjjGgGUA6NLw09EwE0CqkOc4q9oUmW1yo/edit?usp=sharing"",""พะเยา!J127"")"),0)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IFERROR(__xludf.DUMMYFUNCTION("IMPORTRANGE(""https://docs.google.com/spreadsheets/d/11923uPwbBZFjjGgGUA6NLw09EwE0CqkOc4q9oUmW1yo/edit?usp=sharing"",""พะเยา!J128"")"),0)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IFERROR(__xludf.DUMMYFUNCTION("IMPORTRANGE(""https://docs.google.com/spreadsheets/d/11923uPwbBZFjjGgGUA6NLw09EwE0CqkOc4q9oUmW1yo/edit?usp=sharing"",""พะเยา!I129"")"),40)</f>
        <v>40</v>
      </c>
      <c r="J204" s="285">
        <f ca="1">IFERROR(__xludf.DUMMYFUNCTION("IMPORTRANGE(""https://docs.google.com/spreadsheets/d/11923uPwbBZFjjGgGUA6NLw09EwE0CqkOc4q9oUmW1yo/edit?usp=sharing"",""พะเยา!J129"")"),40)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IFERROR(__xludf.DUMMYFUNCTION("IMPORTRANGE(""https://docs.google.com/spreadsheets/d/11923uPwbBZFjjGgGUA6NLw09EwE0CqkOc4q9oUmW1yo/edit?usp=sharing"",""พะเยา!J134"")"),0)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IFERROR(__xludf.DUMMYFUNCTION("IMPORTRANGE(""https://docs.google.com/spreadsheets/d/11923uPwbBZFjjGgGUA6NLw09EwE0CqkOc4q9oUmW1yo/edit?usp=sharing"",""พะเยา!J135"")"),1)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IFERROR(__xludf.DUMMYFUNCTION("IMPORTRANGE(""https://docs.google.com/spreadsheets/d/11923uPwbBZFjjGgGUA6NLw09EwE0CqkOc4q9oUmW1yo/edit?usp=sharing"",""พะเยา!J136"")"),1)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IFERROR(__xludf.DUMMYFUNCTION("IMPORTRANGE(""https://docs.google.com/spreadsheets/d/11923uPwbBZFjjGgGUA6NLw09EwE0CqkOc4q9oUmW1yo/edit?usp=sharing"",""พะเยา!J137"")"),1)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IFERROR(__xludf.DUMMYFUNCTION("IMPORTRANGE(""https://docs.google.com/spreadsheets/d/11923uPwbBZFjjGgGUA6NLw09EwE0CqkOc4q9oUmW1yo/edit?usp=sharing"",""พะเยา!I138"")"),40)</f>
        <v>40</v>
      </c>
      <c r="J213" s="205">
        <f ca="1">IFERROR(__xludf.DUMMYFUNCTION("IMPORTRANGE(""https://docs.google.com/spreadsheets/d/11923uPwbBZFjjGgGUA6NLw09EwE0CqkOc4q9oUmW1yo/edit?usp=sharing"",""พะเยา!J138"")"),40)</f>
        <v>40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IFERROR(__xludf.DUMMYFUNCTION("IMPORTRANGE(""https://docs.google.com/spreadsheets/d/11923uPwbBZFjjGgGUA6NLw09EwE0CqkOc4q9oUmW1yo/edit?usp=sharing"",""พะเยา!I140"")"),40)</f>
        <v>40</v>
      </c>
      <c r="J215" s="205">
        <f ca="1">IFERROR(__xludf.DUMMYFUNCTION("IMPORTRANGE(""https://docs.google.com/spreadsheets/d/11923uPwbBZFjjGgGUA6NLw09EwE0CqkOc4q9oUmW1yo/edit?usp=sharing"",""พะเยา!J140"")"),0)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IFERROR(__xludf.DUMMYFUNCTION("IMPORTRANGE(""https://docs.google.com/spreadsheets/d/11923uPwbBZFjjGgGUA6NLw09EwE0CqkOc4q9oUmW1yo/edit?usp=sharing"",""พะเยา!I141"")"),2)</f>
        <v>2</v>
      </c>
      <c r="J216" s="205">
        <f ca="1">IFERROR(__xludf.DUMMYFUNCTION("IMPORTRANGE(""https://docs.google.com/spreadsheets/d/11923uPwbBZFjjGgGUA6NLw09EwE0CqkOc4q9oUmW1yo/edit?usp=sharing"",""พะเยา!J141"")"),0)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IFERROR(__xludf.DUMMYFUNCTION("IMPORTRANGE(""https://docs.google.com/spreadsheets/d/11923uPwbBZFjjGgGUA6NLw09EwE0CqkOc4q9oUmW1yo/edit?usp=sharing"",""พะเยา!J142"")"),0)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IFERROR(__xludf.DUMMYFUNCTION("IMPORTRANGE(""https://docs.google.com/spreadsheets/d/11923uPwbBZFjjGgGUA6NLw09EwE0CqkOc4q9oUmW1yo/edit?usp=sharing"",""พะเยา!J143"")"),0)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IFERROR(__xludf.DUMMYFUNCTION("IMPORTRANGE(""https://docs.google.com/spreadsheets/d/11923uPwbBZFjjGgGUA6NLw09EwE0CqkOc4q9oUmW1yo/edit?usp=sharing"",""พะเยา!I144"")"),15)</f>
        <v>15</v>
      </c>
      <c r="J219" s="268">
        <f ca="1">IFERROR(__xludf.DUMMYFUNCTION("IMPORTRANGE(""https://docs.google.com/spreadsheets/d/11923uPwbBZFjjGgGUA6NLw09EwE0CqkOc4q9oUmW1yo/edit?usp=sharing"",""พะเยา!J144"")"),15)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21125</v>
      </c>
      <c r="M222" s="90">
        <f t="shared" ca="1" si="76"/>
        <v>21125</v>
      </c>
      <c r="N222" s="90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59"/>
      <c r="B223" s="160"/>
      <c r="C223" s="160" t="s">
        <v>16</v>
      </c>
      <c r="D223" s="570" t="s">
        <v>20</v>
      </c>
      <c r="E223" s="565"/>
      <c r="F223" s="565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IFERROR(__xludf.DUMMYFUNCTION("IMPORTRANGE(""https://docs.google.com/spreadsheets/d/1Yj_ptqi66GCucihVvJfMjLAmec39IyEx_6qawtMGysU/edit?usp=sharing"",""สบก!BS26"")"),21125)</f>
        <v>21125</v>
      </c>
      <c r="N224" s="170">
        <f ca="1">IFERROR(__xludf.DUMMYFUNCTION("IMPORTRANGE(""https://docs.google.com/spreadsheets/d/1Yj_ptqi66GCucihVvJfMjLAmec39IyEx_6qawtMGysU/edit?usp=sharing"",""สบก!BT26"")"),21125)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IFERROR(__xludf.DUMMYFUNCTION("IMPORTRANGE(""https://docs.google.com/spreadsheets/d/1Yj_ptqi66GCucihVvJfMjLAmec39IyEx_6qawtMGysU/edit?usp=sharing"",""สบก!BO26"")"),0)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IFERROR(__xludf.DUMMYFUNCTION("IMPORTRANGE(""https://docs.google.com/spreadsheets/d/1Yj_ptqi66GCucihVvJfMjLAmec39IyEx_6qawtMGysU/edit?usp=sharing"",""สบก!BP26"")"),21125)</f>
        <v>21125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IFERROR(__xludf.DUMMYFUNCTION("IMPORTRANGE(""https://docs.google.com/spreadsheets/d/1Yj_ptqi66GCucihVvJfMjLAmec39IyEx_6qawtMGysU/edit?usp=sharing"",""สบก!BQ26"")"),0)</f>
        <v>0</v>
      </c>
      <c r="M228" s="52"/>
      <c r="N228" s="52">
        <f ca="1">IFERROR(__xludf.DUMMYFUNCTION("IMPORTRANGE(""https://docs.google.com/spreadsheets/d/1Yj_ptqi66GCucihVvJfMjLAmec39IyEx_6qawtMGysU/edit?usp=sharing"",""สบก!BU26"")"),0)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IFERROR(__xludf.DUMMYFUNCTION("IMPORTRANGE(""https://docs.google.com/spreadsheets/d/11923uPwbBZFjjGgGUA6NLw09EwE0CqkOc4q9oUmW1yo/edit?usp=sharing"",""พะเยา!I149"")"),15)</f>
        <v>15</v>
      </c>
      <c r="J229" s="268">
        <f ca="1">IFERROR(__xludf.DUMMYFUNCTION("IMPORTRANGE(""https://docs.google.com/spreadsheets/d/11923uPwbBZFjjGgGUA6NLw09EwE0CqkOc4q9oUmW1yo/edit?usp=sharing"",""พะเยา!J149"")"),15)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IFERROR(__xludf.DUMMYFUNCTION("IMPORTRANGE(""https://docs.google.com/spreadsheets/d/11923uPwbBZFjjGgGUA6NLw09EwE0CqkOc4q9oUmW1yo/edit?usp=sharing"",""พะเยา!J151"")"),0)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IFERROR(__xludf.DUMMYFUNCTION("IMPORTRANGE(""https://docs.google.com/spreadsheets/d/11923uPwbBZFjjGgGUA6NLw09EwE0CqkOc4q9oUmW1yo/edit?usp=sharing"",""พะเยา!J152"")"),0)</f>
        <v>0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IFERROR(__xludf.DUMMYFUNCTION("IMPORTRANGE(""https://docs.google.com/spreadsheets/d/11923uPwbBZFjjGgGUA6NLw09EwE0CqkOc4q9oUmW1yo/edit?usp=sharing"",""พะเยา!J153"")"),1)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IFERROR(__xludf.DUMMYFUNCTION("IMPORTRANGE(""https://docs.google.com/spreadsheets/d/11923uPwbBZFjjGgGUA6NLw09EwE0CqkOc4q9oUmW1yo/edit?usp=sharing"",""พะเยา!J154"")"),1)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IFERROR(__xludf.DUMMYFUNCTION("IMPORTRANGE(""https://docs.google.com/spreadsheets/d/11923uPwbBZFjjGgGUA6NLw09EwE0CqkOc4q9oUmW1yo/edit?usp=sharing"",""พะเยา!I155"")"),15)</f>
        <v>15</v>
      </c>
      <c r="J235" s="190">
        <f ca="1">IFERROR(__xludf.DUMMYFUNCTION("IMPORTRANGE(""https://docs.google.com/spreadsheets/d/11923uPwbBZFjjGgGUA6NLw09EwE0CqkOc4q9oUmW1yo/edit?usp=sharing"",""พะเยา!J155"")"),15)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IFERROR(__xludf.DUMMYFUNCTION("IMPORTRANGE(""https://docs.google.com/spreadsheets/d/11923uPwbBZFjjGgGUA6NLw09EwE0CqkOc4q9oUmW1yo/edit?usp=sharing"",""พะเยา!J156"")"),15)</f>
        <v>15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IFERROR(__xludf.DUMMYFUNCTION("IMPORTRANGE(""https://docs.google.com/spreadsheets/d/11923uPwbBZFjjGgGUA6NLw09EwE0CqkOc4q9oUmW1yo/edit?usp=sharing"",""พะเยา!J157"")"),1)</f>
        <v>1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IFERROR(__xludf.DUMMYFUNCTION("IMPORTRANGE(""https://docs.google.com/spreadsheets/d/11923uPwbBZFjjGgGUA6NLw09EwE0CqkOc4q9oUmW1yo/edit?usp=sharing"",""พะเยา!I158"")"),0)</f>
        <v>0</v>
      </c>
      <c r="J238" s="268">
        <f ca="1">IFERROR(__xludf.DUMMYFUNCTION("IMPORTRANGE(""https://docs.google.com/spreadsheets/d/11923uPwbBZFjjGgGUA6NLw09EwE0CqkOc4q9oUmW1yo/edit?usp=sharing"",""พะเยา!J158"")"),0)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IFERROR(__xludf.DUMMYFUNCTION("IMPORTRANGE(""https://docs.google.com/spreadsheets/d/11923uPwbBZFjjGgGUA6NLw09EwE0CqkOc4q9oUmW1yo/edit?usp=sharing"",""พะเยา!J159"")"),"")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IFERROR(__xludf.DUMMYFUNCTION("IMPORTRANGE(""https://docs.google.com/spreadsheets/d/11923uPwbBZFjjGgGUA6NLw09EwE0CqkOc4q9oUmW1yo/edit?usp=sharing"",""พะเยา!J161"")"),0)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IFERROR(__xludf.DUMMYFUNCTION("IMPORTRANGE(""https://docs.google.com/spreadsheets/d/11923uPwbBZFjjGgGUA6NLw09EwE0CqkOc4q9oUmW1yo/edit?usp=sharing"",""พะเยา!J162"")"),0)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IFERROR(__xludf.DUMMYFUNCTION("IMPORTRANGE(""https://docs.google.com/spreadsheets/d/11923uPwbBZFjjGgGUA6NLw09EwE0CqkOc4q9oUmW1yo/edit?usp=sharing"",""พะเยา!J163"")"),0)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IFERROR(__xludf.DUMMYFUNCTION("IMPORTRANGE(""https://docs.google.com/spreadsheets/d/11923uPwbBZFjjGgGUA6NLw09EwE0CqkOc4q9oUmW1yo/edit?usp=sharing"",""พะเยา!I164"")"),0)</f>
        <v>0</v>
      </c>
      <c r="J244" s="189">
        <f ca="1">IFERROR(__xludf.DUMMYFUNCTION("IMPORTRANGE(""https://docs.google.com/spreadsheets/d/11923uPwbBZFjjGgGUA6NLw09EwE0CqkOc4q9oUmW1yo/edit?usp=sharing"",""พะเยา!J164"")"),0)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IFERROR(__xludf.DUMMYFUNCTION("IMPORTRANGE(""https://docs.google.com/spreadsheets/d/11923uPwbBZFjjGgGUA6NLw09EwE0CqkOc4q9oUmW1yo/edit?usp=sharing"",""พะเยา!J165"")"),0)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IFERROR(__xludf.DUMMYFUNCTION("IMPORTRANGE(""https://docs.google.com/spreadsheets/d/11923uPwbBZFjjGgGUA6NLw09EwE0CqkOc4q9oUmW1yo/edit?usp=sharing"",""พะเยา!J166"")"),0)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IFERROR(__xludf.DUMMYFUNCTION("IMPORTRANGE(""https://docs.google.com/spreadsheets/d/11923uPwbBZFjjGgGUA6NLw09EwE0CqkOc4q9oUmW1yo/edit?usp=sharing"",""พะเยา!I169"")"),20)</f>
        <v>20</v>
      </c>
      <c r="J249" s="317">
        <f ca="1">IFERROR(__xludf.DUMMYFUNCTION("IMPORTRANGE(""https://docs.google.com/spreadsheets/d/11923uPwbBZFjjGgGUA6NLw09EwE0CqkOc4q9oUmW1yo/edit?usp=sharing"",""พะเยา!J169"")"),20)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71400</v>
      </c>
      <c r="M250" s="154">
        <f t="shared" ca="1" si="77"/>
        <v>42000</v>
      </c>
      <c r="N250" s="154">
        <f t="shared" ca="1" si="77"/>
        <v>13274</v>
      </c>
      <c r="O250" s="153">
        <f t="shared" ref="O250:O252" ca="1" si="78">IF(L250&gt;0,N250*100/L250,0)</f>
        <v>18.591036414565828</v>
      </c>
      <c r="P250" s="153">
        <f t="shared" ref="P250:P252" ca="1" si="79">IF(M250&gt;0,N250*100/M250,0)</f>
        <v>31.604761904761904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71400</v>
      </c>
      <c r="M252" s="90">
        <f t="shared" ca="1" si="81"/>
        <v>42000</v>
      </c>
      <c r="N252" s="90">
        <f t="shared" ca="1" si="81"/>
        <v>13274</v>
      </c>
      <c r="O252" s="158">
        <f t="shared" ca="1" si="78"/>
        <v>18.591036414565828</v>
      </c>
      <c r="P252" s="158">
        <f t="shared" ca="1" si="79"/>
        <v>31.604761904761904</v>
      </c>
    </row>
    <row r="253" spans="1:16" ht="21.75" customHeight="1">
      <c r="A253" s="159"/>
      <c r="B253" s="160"/>
      <c r="C253" s="160" t="s">
        <v>16</v>
      </c>
      <c r="D253" s="570" t="s">
        <v>20</v>
      </c>
      <c r="E253" s="565"/>
      <c r="F253" s="565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71400</v>
      </c>
      <c r="M254" s="169">
        <f ca="1">IFERROR(__xludf.DUMMYFUNCTION("IMPORTRANGE(""https://docs.google.com/spreadsheets/d/1Yj_ptqi66GCucihVvJfMjLAmec39IyEx_6qawtMGysU/edit?usp=sharing"",""สบก!CB26"")"),42000)</f>
        <v>42000</v>
      </c>
      <c r="N254" s="170">
        <f ca="1">IFERROR(__xludf.DUMMYFUNCTION("IMPORTRANGE(""https://docs.google.com/spreadsheets/d/1Yj_ptqi66GCucihVvJfMjLAmec39IyEx_6qawtMGysU/edit?usp=sharing"",""สบก!CC26"")"),13274)</f>
        <v>13274</v>
      </c>
      <c r="O254" s="170">
        <f ca="1">IF(L254&gt;0,N254*100/L254,0)</f>
        <v>18.591036414565828</v>
      </c>
      <c r="P254" s="170">
        <f ca="1">IF(M254&gt;0,N254*100/M254,0)</f>
        <v>31.604761904761904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IFERROR(__xludf.DUMMYFUNCTION("IMPORTRANGE(""https://docs.google.com/spreadsheets/d/1Yj_ptqi66GCucihVvJfMjLAmec39IyEx_6qawtMGysU/edit?usp=sharing"",""สบก!BX26"")"),0)</f>
        <v>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IFERROR(__xludf.DUMMYFUNCTION("IMPORTRANGE(""https://docs.google.com/spreadsheets/d/1Yj_ptqi66GCucihVvJfMjLAmec39IyEx_6qawtMGysU/edit?usp=sharing"",""สบก!BY26"")"),71400)</f>
        <v>71400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IFERROR(__xludf.DUMMYFUNCTION("IMPORTRANGE(""https://docs.google.com/spreadsheets/d/1Yj_ptqi66GCucihVvJfMjLAmec39IyEx_6qawtMGysU/edit?usp=sharing"",""สบก!BZ26"")"),0)</f>
        <v>0</v>
      </c>
      <c r="M258" s="52"/>
      <c r="N258" s="52">
        <f ca="1">IFERROR(__xludf.DUMMYFUNCTION("IMPORTRANGE(""https://docs.google.com/spreadsheets/d/1Yj_ptqi66GCucihVvJfMjLAmec39IyEx_6qawtMGysU/edit?usp=sharing"",""สบก!CD26"")"),0)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IFERROR(__xludf.DUMMYFUNCTION("IMPORTRANGE(""https://docs.google.com/spreadsheets/d/11923uPwbBZFjjGgGUA6NLw09EwE0CqkOc4q9oUmW1yo/edit?usp=sharing"",""พะเยา!J175"")"),0)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IFERROR(__xludf.DUMMYFUNCTION("IMPORTRANGE(""https://docs.google.com/spreadsheets/d/11923uPwbBZFjjGgGUA6NLw09EwE0CqkOc4q9oUmW1yo/edit?usp=sharing"",""พะเยา!J176"")"),1)</f>
        <v>1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IFERROR(__xludf.DUMMYFUNCTION("IMPORTRANGE(""https://docs.google.com/spreadsheets/d/11923uPwbBZFjjGgGUA6NLw09EwE0CqkOc4q9oUmW1yo/edit?usp=sharing"",""พะเยา!J177"")"),1)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IFERROR(__xludf.DUMMYFUNCTION("IMPORTRANGE(""https://docs.google.com/spreadsheets/d/11923uPwbBZFjjGgGUA6NLw09EwE0CqkOc4q9oUmW1yo/edit?usp=sharing"",""พะเยา!J178"")"),1)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IFERROR(__xludf.DUMMYFUNCTION("IMPORTRANGE(""https://docs.google.com/spreadsheets/d/11923uPwbBZFjjGgGUA6NLw09EwE0CqkOc4q9oUmW1yo/edit?usp=sharing"",""พะเยา!I179"")"),1)</f>
        <v>1</v>
      </c>
      <c r="J264" s="190">
        <f ca="1">IFERROR(__xludf.DUMMYFUNCTION("IMPORTRANGE(""https://docs.google.com/spreadsheets/d/11923uPwbBZFjjGgGUA6NLw09EwE0CqkOc4q9oUmW1yo/edit?usp=sharing"",""พะเยา!J179"")"),1)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IFERROR(__xludf.DUMMYFUNCTION("IMPORTRANGE(""https://docs.google.com/spreadsheets/d/11923uPwbBZFjjGgGUA6NLw09EwE0CqkOc4q9oUmW1yo/edit?usp=sharing"",""พะเยา!I180"")"),20)</f>
        <v>20</v>
      </c>
      <c r="J265" s="190">
        <f ca="1">IFERROR(__xludf.DUMMYFUNCTION("IMPORTRANGE(""https://docs.google.com/spreadsheets/d/11923uPwbBZFjjGgGUA6NLw09EwE0CqkOc4q9oUmW1yo/edit?usp=sharing"",""พะเยา!J180"")"),20)</f>
        <v>20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IFERROR(__xludf.DUMMYFUNCTION("IMPORTRANGE(""https://docs.google.com/spreadsheets/d/11923uPwbBZFjjGgGUA6NLw09EwE0CqkOc4q9oUmW1yo/edit?usp=sharing"",""พะเยา!I181"")"),20)</f>
        <v>20</v>
      </c>
      <c r="J266" s="190">
        <f ca="1">IFERROR(__xludf.DUMMYFUNCTION("IMPORTRANGE(""https://docs.google.com/spreadsheets/d/11923uPwbBZFjjGgGUA6NLw09EwE0CqkOc4q9oUmW1yo/edit?usp=sharing"",""พะเยา!J181"")"),0)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IFERROR(__xludf.DUMMYFUNCTION("IMPORTRANGE(""https://docs.google.com/spreadsheets/d/11923uPwbBZFjjGgGUA6NLw09EwE0CqkOc4q9oUmW1yo/edit?usp=sharing"",""พะเยา!I182"")"),1)</f>
        <v>1</v>
      </c>
      <c r="J267" s="190">
        <f ca="1">IFERROR(__xludf.DUMMYFUNCTION("IMPORTRANGE(""https://docs.google.com/spreadsheets/d/11923uPwbBZFjjGgGUA6NLw09EwE0CqkOc4q9oUmW1yo/edit?usp=sharing"",""พะเยา!J182"")"),1)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IFERROR(__xludf.DUMMYFUNCTION("IMPORTRANGE(""https://docs.google.com/spreadsheets/d/11923uPwbBZFjjGgGUA6NLw09EwE0CqkOc4q9oUmW1yo/edit?usp=sharing"",""พะเยา!J183"")"),0)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IFERROR(__xludf.DUMMYFUNCTION("IMPORTRANGE(""https://docs.google.com/spreadsheets/d/11923uPwbBZFjjGgGUA6NLw09EwE0CqkOc4q9oUmW1yo/edit?usp=sharing"",""พะเยา!J184"")"),0)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IFERROR(__xludf.DUMMYFUNCTION("IMPORTRANGE(""https://docs.google.com/spreadsheets/d/11923uPwbBZFjjGgGUA6NLw09EwE0CqkOc4q9oUmW1yo/edit?usp=sharing"",""พะเยา!I185"")"),20)</f>
        <v>20</v>
      </c>
      <c r="J270" s="317">
        <f ca="1">IFERROR(__xludf.DUMMYFUNCTION("IMPORTRANGE(""https://docs.google.com/spreadsheets/d/11923uPwbBZFjjGgGUA6NLw09EwE0CqkOc4q9oUmW1yo/edit?usp=sharing"",""พะเยา!J185"")"),20)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183600</v>
      </c>
      <c r="M271" s="154">
        <f t="shared" ca="1" si="83"/>
        <v>161600</v>
      </c>
      <c r="N271" s="154">
        <f t="shared" ca="1" si="83"/>
        <v>120731</v>
      </c>
      <c r="O271" s="153">
        <f t="shared" ref="O271:O273" ca="1" si="84">IF(L271&gt;0,N271*100/L271,0)</f>
        <v>65.757625272331154</v>
      </c>
      <c r="P271" s="153">
        <f t="shared" ref="P271:P273" ca="1" si="85">IF(M271&gt;0,N271*100/M271,0)</f>
        <v>74.709777227722768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183600</v>
      </c>
      <c r="M273" s="90">
        <f t="shared" ca="1" si="87"/>
        <v>161600</v>
      </c>
      <c r="N273" s="90">
        <f t="shared" ca="1" si="87"/>
        <v>120731</v>
      </c>
      <c r="O273" s="158">
        <f t="shared" ca="1" si="84"/>
        <v>65.757625272331154</v>
      </c>
      <c r="P273" s="158">
        <f t="shared" ca="1" si="85"/>
        <v>74.709777227722768</v>
      </c>
    </row>
    <row r="274" spans="1:16" ht="21.75" customHeight="1">
      <c r="A274" s="159"/>
      <c r="B274" s="160"/>
      <c r="C274" s="160" t="s">
        <v>16</v>
      </c>
      <c r="D274" s="570" t="s">
        <v>20</v>
      </c>
      <c r="E274" s="565"/>
      <c r="F274" s="565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183600</v>
      </c>
      <c r="M275" s="169">
        <f ca="1">IFERROR(__xludf.DUMMYFUNCTION("IMPORTRANGE(""https://docs.google.com/spreadsheets/d/1Yj_ptqi66GCucihVvJfMjLAmec39IyEx_6qawtMGysU/edit?usp=sharing"",""สบก!CK26"")"),161600)</f>
        <v>161600</v>
      </c>
      <c r="N275" s="170">
        <f ca="1">IFERROR(__xludf.DUMMYFUNCTION("IMPORTRANGE(""https://docs.google.com/spreadsheets/d/1Yj_ptqi66GCucihVvJfMjLAmec39IyEx_6qawtMGysU/edit?usp=sharing"",""สบก!CL26"")"),120731)</f>
        <v>120731</v>
      </c>
      <c r="O275" s="170">
        <f ca="1">IF(L275&gt;0,N275*100/L275,0)</f>
        <v>65.757625272331154</v>
      </c>
      <c r="P275" s="170">
        <f ca="1">IF(M275&gt;0,N275*100/M275,0)</f>
        <v>74.709777227722768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IFERROR(__xludf.DUMMYFUNCTION("IMPORTRANGE(""https://docs.google.com/spreadsheets/d/1Yj_ptqi66GCucihVvJfMjLAmec39IyEx_6qawtMGysU/edit?usp=sharing"",""สบก!CG26"")"),0)</f>
        <v>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IFERROR(__xludf.DUMMYFUNCTION("IMPORTRANGE(""https://docs.google.com/spreadsheets/d/1Yj_ptqi66GCucihVvJfMjLAmec39IyEx_6qawtMGysU/edit?usp=sharing"",""สบก!CH26"")"),183600)</f>
        <v>183600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IFERROR(__xludf.DUMMYFUNCTION("IMPORTRANGE(""https://docs.google.com/spreadsheets/d/1Yj_ptqi66GCucihVvJfMjLAmec39IyEx_6qawtMGysU/edit?usp=sharing"",""สบก!CI26"")"),0)</f>
        <v>0</v>
      </c>
      <c r="M279" s="52"/>
      <c r="N279" s="52">
        <f ca="1">IFERROR(__xludf.DUMMYFUNCTION("IMPORTRANGE(""https://docs.google.com/spreadsheets/d/1Yj_ptqi66GCucihVvJfMjLAmec39IyEx_6qawtMGysU/edit?usp=sharing"",""สบก!CM26"")"),0)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IFERROR(__xludf.DUMMYFUNCTION("IMPORTRANGE(""https://docs.google.com/spreadsheets/d/11923uPwbBZFjjGgGUA6NLw09EwE0CqkOc4q9oUmW1yo/edit?usp=sharing"",""พะเยา!J191"")"),0)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IFERROR(__xludf.DUMMYFUNCTION("IMPORTRANGE(""https://docs.google.com/spreadsheets/d/11923uPwbBZFjjGgGUA6NLw09EwE0CqkOc4q9oUmW1yo/edit?usp=sharing"",""พะเยา!J192"")"),1)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IFERROR(__xludf.DUMMYFUNCTION("IMPORTRANGE(""https://docs.google.com/spreadsheets/d/11923uPwbBZFjjGgGUA6NLw09EwE0CqkOc4q9oUmW1yo/edit?usp=sharing"",""พะเยา!J193"")"),1)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IFERROR(__xludf.DUMMYFUNCTION("IMPORTRANGE(""https://docs.google.com/spreadsheets/d/11923uPwbBZFjjGgGUA6NLw09EwE0CqkOc4q9oUmW1yo/edit?usp=sharing"",""พะเยา!J194"")"),1)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IFERROR(__xludf.DUMMYFUNCTION("IMPORTRANGE(""https://docs.google.com/spreadsheets/d/11923uPwbBZFjjGgGUA6NLw09EwE0CqkOc4q9oUmW1yo/edit?usp=sharing"",""พะเยา!I195"")"),20)</f>
        <v>20</v>
      </c>
      <c r="J285" s="190">
        <f ca="1">IFERROR(__xludf.DUMMYFUNCTION("IMPORTRANGE(""https://docs.google.com/spreadsheets/d/11923uPwbBZFjjGgGUA6NLw09EwE0CqkOc4q9oUmW1yo/edit?usp=sharing"",""พะเยา!J195"")"),20)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IFERROR(__xludf.DUMMYFUNCTION("IMPORTRANGE(""https://docs.google.com/spreadsheets/d/11923uPwbBZFjjGgGUA6NLw09EwE0CqkOc4q9oUmW1yo/edit?usp=sharing"",""พะเยา!J196"")"),0)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IFERROR(__xludf.DUMMYFUNCTION("IMPORTRANGE(""https://docs.google.com/spreadsheets/d/11923uPwbBZFjjGgGUA6NLw09EwE0CqkOc4q9oUmW1yo/edit?usp=sharing"",""พะเยา!J197"")"),0)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IFERROR(__xludf.DUMMYFUNCTION("IMPORTRANGE(""https://docs.google.com/spreadsheets/d/11923uPwbBZFjjGgGUA6NLw09EwE0CqkOc4q9oUmW1yo/edit?usp=sharing"",""พะเยา!I199"")"),0)</f>
        <v>0</v>
      </c>
      <c r="J289" s="317">
        <f ca="1">IFERROR(__xludf.DUMMYFUNCTION("IMPORTRANGE(""https://docs.google.com/spreadsheets/d/11923uPwbBZFjjGgGUA6NLw09EwE0CqkOc4q9oUmW1yo/edit?usp=sharing"",""พะเยา!J199"")"),0)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0</v>
      </c>
      <c r="M292" s="90">
        <f t="shared" ca="1" si="92"/>
        <v>0</v>
      </c>
      <c r="N292" s="90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59"/>
      <c r="B293" s="160"/>
      <c r="C293" s="160" t="s">
        <v>16</v>
      </c>
      <c r="D293" s="570" t="s">
        <v>20</v>
      </c>
      <c r="E293" s="565"/>
      <c r="F293" s="565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IFERROR(__xludf.DUMMYFUNCTION("IMPORTRANGE(""https://docs.google.com/spreadsheets/d/1Yj_ptqi66GCucihVvJfMjLAmec39IyEx_6qawtMGysU/edit?usp=sharing"",""สบก!CT26"")"),0)</f>
        <v>0</v>
      </c>
      <c r="N294" s="170">
        <f ca="1">IFERROR(__xludf.DUMMYFUNCTION("IMPORTRANGE(""https://docs.google.com/spreadsheets/d/1Yj_ptqi66GCucihVvJfMjLAmec39IyEx_6qawtMGysU/edit?usp=sharing"",""สบก!CU26"")"),0)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IFERROR(__xludf.DUMMYFUNCTION("IMPORTRANGE(""https://docs.google.com/spreadsheets/d/1Yj_ptqi66GCucihVvJfMjLAmec39IyEx_6qawtMGysU/edit?usp=sharing"",""สบก!CP26"")"),0)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IFERROR(__xludf.DUMMYFUNCTION("IMPORTRANGE(""https://docs.google.com/spreadsheets/d/1Yj_ptqi66GCucihVvJfMjLAmec39IyEx_6qawtMGysU/edit?usp=sharing"",""สบก!CQ26"")"),0)</f>
        <v>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IFERROR(__xludf.DUMMYFUNCTION("IMPORTRANGE(""https://docs.google.com/spreadsheets/d/1Yj_ptqi66GCucihVvJfMjLAmec39IyEx_6qawtMGysU/edit?usp=sharing"",""สบก!CR26"")"),0)</f>
        <v>0</v>
      </c>
      <c r="M298" s="52"/>
      <c r="N298" s="52">
        <f ca="1">IFERROR(__xludf.DUMMYFUNCTION("IMPORTRANGE(""https://docs.google.com/spreadsheets/d/1Yj_ptqi66GCucihVvJfMjLAmec39IyEx_6qawtMGysU/edit?usp=sharing"",""สบก!CV26"")"),0)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IFERROR(__xludf.DUMMYFUNCTION("IMPORTRANGE(""https://docs.google.com/spreadsheets/d/11923uPwbBZFjjGgGUA6NLw09EwE0CqkOc4q9oUmW1yo/edit?usp=sharing"",""พะเยา!J205"")"),0)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IFERROR(__xludf.DUMMYFUNCTION("IMPORTRANGE(""https://docs.google.com/spreadsheets/d/11923uPwbBZFjjGgGUA6NLw09EwE0CqkOc4q9oUmW1yo/edit?usp=sharing"",""พะเยา!J206"")"),0)</f>
        <v>0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IFERROR(__xludf.DUMMYFUNCTION("IMPORTRANGE(""https://docs.google.com/spreadsheets/d/11923uPwbBZFjjGgGUA6NLw09EwE0CqkOc4q9oUmW1yo/edit?usp=sharing"",""พะเยา!J207"")"),0)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IFERROR(__xludf.DUMMYFUNCTION("IMPORTRANGE(""https://docs.google.com/spreadsheets/d/11923uPwbBZFjjGgGUA6NLw09EwE0CqkOc4q9oUmW1yo/edit?usp=sharing"",""พะเยา!J208"")"),0)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IFERROR(__xludf.DUMMYFUNCTION("IMPORTRANGE(""https://docs.google.com/spreadsheets/d/11923uPwbBZFjjGgGUA6NLw09EwE0CqkOc4q9oUmW1yo/edit?usp=sharing"",""พะเยา!I209"")"),0)</f>
        <v>0</v>
      </c>
      <c r="J304" s="205">
        <f ca="1">IFERROR(__xludf.DUMMYFUNCTION("IMPORTRANGE(""https://docs.google.com/spreadsheets/d/11923uPwbBZFjjGgGUA6NLw09EwE0CqkOc4q9oUmW1yo/edit?usp=sharing"",""พะเยา!J209"")"),0)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IFERROR(__xludf.DUMMYFUNCTION("IMPORTRANGE(""https://docs.google.com/spreadsheets/d/11923uPwbBZFjjGgGUA6NLw09EwE0CqkOc4q9oUmW1yo/edit?usp=sharing"",""พะเยา!I211"")"),0)</f>
        <v>0</v>
      </c>
      <c r="J306" s="205">
        <f ca="1">IFERROR(__xludf.DUMMYFUNCTION("IMPORTRANGE(""https://docs.google.com/spreadsheets/d/11923uPwbBZFjjGgGUA6NLw09EwE0CqkOc4q9oUmW1yo/edit?usp=sharing"",""พะเยา!J211"")"),0)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IFERROR(__xludf.DUMMYFUNCTION("IMPORTRANGE(""https://docs.google.com/spreadsheets/d/11923uPwbBZFjjGgGUA6NLw09EwE0CqkOc4q9oUmW1yo/edit?usp=sharing"",""พะเยา!J212"")"),0)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IFERROR(__xludf.DUMMYFUNCTION("IMPORTRANGE(""https://docs.google.com/spreadsheets/d/11923uPwbBZFjjGgGUA6NLw09EwE0CqkOc4q9oUmW1yo/edit?usp=sharing"",""พะเยา!J213"")"),0)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IFERROR(__xludf.DUMMYFUNCTION("IMPORTRANGE(""https://docs.google.com/spreadsheets/d/11923uPwbBZFjjGgGUA6NLw09EwE0CqkOc4q9oUmW1yo/edit?usp=sharing"",""พะเยา!I214"")"),0)</f>
        <v>0</v>
      </c>
      <c r="J309" s="334">
        <f ca="1">IFERROR(__xludf.DUMMYFUNCTION("IMPORTRANGE(""https://docs.google.com/spreadsheets/d/11923uPwbBZFjjGgGUA6NLw09EwE0CqkOc4q9oUmW1yo/edit?usp=sharing"",""พะเยา!J214"")"),0)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0</v>
      </c>
      <c r="M312" s="90">
        <f t="shared" ca="1" si="97"/>
        <v>0</v>
      </c>
      <c r="N312" s="90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59"/>
      <c r="B313" s="160"/>
      <c r="C313" s="160" t="s">
        <v>16</v>
      </c>
      <c r="D313" s="570" t="s">
        <v>20</v>
      </c>
      <c r="E313" s="565"/>
      <c r="F313" s="565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IFERROR(__xludf.DUMMYFUNCTION("IMPORTRANGE(""https://docs.google.com/spreadsheets/d/1Yj_ptqi66GCucihVvJfMjLAmec39IyEx_6qawtMGysU/edit?usp=sharing"",""สบก!DC26"")"),0)</f>
        <v>0</v>
      </c>
      <c r="N314" s="170">
        <f ca="1">IFERROR(__xludf.DUMMYFUNCTION("IMPORTRANGE(""https://docs.google.com/spreadsheets/d/1Yj_ptqi66GCucihVvJfMjLAmec39IyEx_6qawtMGysU/edit?usp=sharing"",""สบก!DD26"")"),0)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IFERROR(__xludf.DUMMYFUNCTION("IMPORTRANGE(""https://docs.google.com/spreadsheets/d/1Yj_ptqi66GCucihVvJfMjLAmec39IyEx_6qawtMGysU/edit?usp=sharing"",""สบก!CY26"")"),0)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IFERROR(__xludf.DUMMYFUNCTION("IMPORTRANGE(""https://docs.google.com/spreadsheets/d/1Yj_ptqi66GCucihVvJfMjLAmec39IyEx_6qawtMGysU/edit?usp=sharing"",""สบก!CZ26"")"),0)</f>
        <v>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IFERROR(__xludf.DUMMYFUNCTION("IMPORTRANGE(""https://docs.google.com/spreadsheets/d/1Yj_ptqi66GCucihVvJfMjLAmec39IyEx_6qawtMGysU/edit?usp=sharing"",""สบก!DA26"")"),0)</f>
        <v>0</v>
      </c>
      <c r="M318" s="52"/>
      <c r="N318" s="52">
        <f ca="1">IFERROR(__xludf.DUMMYFUNCTION("IMPORTRANGE(""https://docs.google.com/spreadsheets/d/1Yj_ptqi66GCucihVvJfMjLAmec39IyEx_6qawtMGysU/edit?usp=sharing"",""สบก!DE26"")"),0)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IFERROR(__xludf.DUMMYFUNCTION("IMPORTRANGE(""https://docs.google.com/spreadsheets/d/11923uPwbBZFjjGgGUA6NLw09EwE0CqkOc4q9oUmW1yo/edit?usp=sharing"",""พะเยา!J220"")"),0)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IFERROR(__xludf.DUMMYFUNCTION("IMPORTRANGE(""https://docs.google.com/spreadsheets/d/11923uPwbBZFjjGgGUA6NLw09EwE0CqkOc4q9oUmW1yo/edit?usp=sharing"",""พะเยา!J221"")"),0)</f>
        <v>0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IFERROR(__xludf.DUMMYFUNCTION("IMPORTRANGE(""https://docs.google.com/spreadsheets/d/11923uPwbBZFjjGgGUA6NLw09EwE0CqkOc4q9oUmW1yo/edit?usp=sharing"",""พะเยา!J222"")"),0)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IFERROR(__xludf.DUMMYFUNCTION("IMPORTRANGE(""https://docs.google.com/spreadsheets/d/11923uPwbBZFjjGgGUA6NLw09EwE0CqkOc4q9oUmW1yo/edit?usp=sharing"",""พะเยา!J223"")"),0)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IFERROR(__xludf.DUMMYFUNCTION("IMPORTRANGE(""https://docs.google.com/spreadsheets/d/11923uPwbBZFjjGgGUA6NLw09EwE0CqkOc4q9oUmW1yo/edit?usp=sharing"",""พะเยา!I224"")"),0)</f>
        <v>0</v>
      </c>
      <c r="J324" s="205">
        <f ca="1">IFERROR(__xludf.DUMMYFUNCTION("IMPORTRANGE(""https://docs.google.com/spreadsheets/d/11923uPwbBZFjjGgGUA6NLw09EwE0CqkOc4q9oUmW1yo/edit?usp=sharing"",""พะเยา!J224"")"),0)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IFERROR(__xludf.DUMMYFUNCTION("IMPORTRANGE(""https://docs.google.com/spreadsheets/d/11923uPwbBZFjjGgGUA6NLw09EwE0CqkOc4q9oUmW1yo/edit?usp=sharing"",""พะเยา!J225"")"),0)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IFERROR(__xludf.DUMMYFUNCTION("IMPORTRANGE(""https://docs.google.com/spreadsheets/d/11923uPwbBZFjjGgGUA6NLw09EwE0CqkOc4q9oUmW1yo/edit?usp=sharing"",""พะเยา!J226"")"),0)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IFERROR(__xludf.DUMMYFUNCTION("IMPORTRANGE(""https://docs.google.com/spreadsheets/d/11923uPwbBZFjjGgGUA6NLw09EwE0CqkOc4q9oUmW1yo/edit?usp=sharing"",""พะเยา!I228"")"),580)</f>
        <v>580</v>
      </c>
      <c r="J328" s="340">
        <f ca="1">IFERROR(__xludf.DUMMYFUNCTION("IMPORTRANGE(""https://docs.google.com/spreadsheets/d/11923uPwbBZFjjGgGUA6NLw09EwE0CqkOc4q9oUmW1yo/edit?usp=sharing"",""พะเยา!J228"")"),310)</f>
        <v>310</v>
      </c>
      <c r="K328" s="318">
        <f ca="1">IF(I328&gt;0,J328*100/I328,0)</f>
        <v>53.448275862068968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613050</v>
      </c>
      <c r="M329" s="154">
        <f t="shared" ca="1" si="98"/>
        <v>509650</v>
      </c>
      <c r="N329" s="154">
        <f t="shared" ca="1" si="98"/>
        <v>388921.7</v>
      </c>
      <c r="O329" s="153">
        <f t="shared" ref="O329:O331" ca="1" si="99">IF(L329&gt;0,N329*100/L329,0)</f>
        <v>63.440453470353155</v>
      </c>
      <c r="P329" s="153">
        <f t="shared" ref="P329:P331" ca="1" si="100">IF(M329&gt;0,N329*100/M329,0)</f>
        <v>76.311527518885512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613050</v>
      </c>
      <c r="M331" s="90">
        <f t="shared" ca="1" si="102"/>
        <v>509650</v>
      </c>
      <c r="N331" s="90">
        <f t="shared" ca="1" si="102"/>
        <v>388921.7</v>
      </c>
      <c r="O331" s="158">
        <f t="shared" ca="1" si="99"/>
        <v>63.440453470353155</v>
      </c>
      <c r="P331" s="158">
        <f t="shared" ca="1" si="100"/>
        <v>76.311527518885512</v>
      </c>
    </row>
    <row r="332" spans="1:16" ht="21.75" customHeight="1">
      <c r="A332" s="159"/>
      <c r="B332" s="160"/>
      <c r="C332" s="160" t="s">
        <v>16</v>
      </c>
      <c r="D332" s="570" t="s">
        <v>20</v>
      </c>
      <c r="E332" s="565"/>
      <c r="F332" s="565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598050</v>
      </c>
      <c r="M333" s="169">
        <f ca="1">IFERROR(__xludf.DUMMYFUNCTION("IMPORTRANGE(""https://docs.google.com/spreadsheets/d/1Yj_ptqi66GCucihVvJfMjLAmec39IyEx_6qawtMGysU/edit?usp=sharing"",""สบก!DL26"")"),494650)</f>
        <v>494650</v>
      </c>
      <c r="N333" s="170">
        <f ca="1">IFERROR(__xludf.DUMMYFUNCTION("IMPORTRANGE(""https://docs.google.com/spreadsheets/d/1Yj_ptqi66GCucihVvJfMjLAmec39IyEx_6qawtMGysU/edit?usp=sharing"",""สบก!DM26"")"),373921.7)</f>
        <v>373921.7</v>
      </c>
      <c r="O333" s="170">
        <f ca="1">IF(L333&gt;0,N333*100/L333,0)</f>
        <v>62.523484658473372</v>
      </c>
      <c r="P333" s="170">
        <f ca="1">IF(M333&gt;0,N333*100/M333,0)</f>
        <v>75.593187101991305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IFERROR(__xludf.DUMMYFUNCTION("IMPORTRANGE(""https://docs.google.com/spreadsheets/d/1Yj_ptqi66GCucihVvJfMjLAmec39IyEx_6qawtMGysU/edit?usp=sharing"",""สบก!DH26"")"),194400)</f>
        <v>194400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IFERROR(__xludf.DUMMYFUNCTION("IMPORTRANGE(""https://docs.google.com/spreadsheets/d/1Yj_ptqi66GCucihVvJfMjLAmec39IyEx_6qawtMGysU/edit?usp=sharing"",""สบก!DI26"")"),403650)</f>
        <v>403650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IFERROR(__xludf.DUMMYFUNCTION("IMPORTRANGE(""https://docs.google.com/spreadsheets/d/1Yj_ptqi66GCucihVvJfMjLAmec39IyEx_6qawtMGysU/edit?usp=sharing"",""สบก!DJ26"")"),15000)</f>
        <v>15000</v>
      </c>
      <c r="M337" s="52">
        <f ca="1">L337</f>
        <v>15000</v>
      </c>
      <c r="N337" s="52">
        <f ca="1">IFERROR(__xludf.DUMMYFUNCTION("IMPORTRANGE(""https://docs.google.com/spreadsheets/d/1Yj_ptqi66GCucihVvJfMjLAmec39IyEx_6qawtMGysU/edit?usp=sharing"",""สบก!DN26"")"),15000)</f>
        <v>15000</v>
      </c>
      <c r="O337" s="52">
        <f ca="1">IF(L337&gt;0,N337*100/L337,0)</f>
        <v>100</v>
      </c>
      <c r="P337" s="52">
        <f ca="1">IF(M337&gt;0,N337*100/M337,0)</f>
        <v>100</v>
      </c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IFERROR(__xludf.DUMMYFUNCTION("IMPORTRANGE(""https://docs.google.com/spreadsheets/d/11923uPwbBZFjjGgGUA6NLw09EwE0CqkOc4q9oUmW1yo/edit?usp=sharing"",""พะเยา!I234"")"),0)</f>
        <v>0</v>
      </c>
      <c r="J339" s="189">
        <f ca="1">IFERROR(__xludf.DUMMYFUNCTION("IMPORTRANGE(""https://docs.google.com/spreadsheets/d/11923uPwbBZFjjGgGUA6NLw09EwE0CqkOc4q9oUmW1yo/edit?usp=sharing"",""พะเยา!J234"")"),133)</f>
        <v>133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IFERROR(__xludf.DUMMYFUNCTION("IMPORTRANGE(""https://docs.google.com/spreadsheets/d/11923uPwbBZFjjGgGUA6NLw09EwE0CqkOc4q9oUmW1yo/edit?usp=sharing"",""พะเยา!I235"")"),2000)</f>
        <v>2000</v>
      </c>
      <c r="J340" s="189">
        <f ca="1">IFERROR(__xludf.DUMMYFUNCTION("IMPORTRANGE(""https://docs.google.com/spreadsheets/d/11923uPwbBZFjjGgGUA6NLw09EwE0CqkOc4q9oUmW1yo/edit?usp=sharing"",""พะเยา!J235"")"),927.75)</f>
        <v>927.75</v>
      </c>
      <c r="K340" s="343">
        <f t="shared" ca="1" si="103"/>
        <v>46.387500000000003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IFERROR(__xludf.DUMMYFUNCTION("IMPORTRANGE(""https://docs.google.com/spreadsheets/d/11923uPwbBZFjjGgGUA6NLw09EwE0CqkOc4q9oUmW1yo/edit?usp=sharing"",""พะเยา!I236"")"),580)</f>
        <v>580</v>
      </c>
      <c r="J341" s="189">
        <f ca="1">IFERROR(__xludf.DUMMYFUNCTION("IMPORTRANGE(""https://docs.google.com/spreadsheets/d/11923uPwbBZFjjGgGUA6NLw09EwE0CqkOc4q9oUmW1yo/edit?usp=sharing"",""พะเยา!J236"")"),322)</f>
        <v>322</v>
      </c>
      <c r="K341" s="343">
        <f t="shared" ca="1" si="103"/>
        <v>55.517241379310342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IFERROR(__xludf.DUMMYFUNCTION("IMPORTRANGE(""https://docs.google.com/spreadsheets/d/11923uPwbBZFjjGgGUA6NLw09EwE0CqkOc4q9oUmW1yo/edit?usp=sharing"",""พะเยา!I237"")"),0)</f>
        <v>0</v>
      </c>
      <c r="J342" s="189">
        <f ca="1">IFERROR(__xludf.DUMMYFUNCTION("IMPORTRANGE(""https://docs.google.com/spreadsheets/d/11923uPwbBZFjjGgGUA6NLw09EwE0CqkOc4q9oUmW1yo/edit?usp=sharing"",""พะเยา!J237"")"),2431.13)</f>
        <v>2431.13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IFERROR(__xludf.DUMMYFUNCTION("IMPORTRANGE(""https://docs.google.com/spreadsheets/d/11923uPwbBZFjjGgGUA6NLw09EwE0CqkOc4q9oUmW1yo/edit?usp=sharing"",""พะเยา!I238"")"),580)</f>
        <v>580</v>
      </c>
      <c r="J343" s="189">
        <f ca="1">IFERROR(__xludf.DUMMYFUNCTION("IMPORTRANGE(""https://docs.google.com/spreadsheets/d/11923uPwbBZFjjGgGUA6NLw09EwE0CqkOc4q9oUmW1yo/edit?usp=sharing"",""พะเยา!J238"")"),0)</f>
        <v>0</v>
      </c>
      <c r="K343" s="343">
        <f t="shared" ca="1" si="103"/>
        <v>0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IFERROR(__xludf.DUMMYFUNCTION("IMPORTRANGE(""https://docs.google.com/spreadsheets/d/11923uPwbBZFjjGgGUA6NLw09EwE0CqkOc4q9oUmW1yo/edit?usp=sharing"",""พะเยา!I239"")"),0)</f>
        <v>0</v>
      </c>
      <c r="J344" s="189">
        <f ca="1">IFERROR(__xludf.DUMMYFUNCTION("IMPORTRANGE(""https://docs.google.com/spreadsheets/d/11923uPwbBZFjjGgGUA6NLw09EwE0CqkOc4q9oUmW1yo/edit?usp=sharing"",""พะเยา!J239"")"),0)</f>
        <v>0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IFERROR(__xludf.DUMMYFUNCTION("IMPORTRANGE(""https://docs.google.com/spreadsheets/d/11923uPwbBZFjjGgGUA6NLw09EwE0CqkOc4q9oUmW1yo/edit?usp=sharing"",""พะเยา!I240"")"),580)</f>
        <v>580</v>
      </c>
      <c r="J345" s="189">
        <f ca="1">IFERROR(__xludf.DUMMYFUNCTION("IMPORTRANGE(""https://docs.google.com/spreadsheets/d/11923uPwbBZFjjGgGUA6NLw09EwE0CqkOc4q9oUmW1yo/edit?usp=sharing"",""พะเยา!J240"")"),310)</f>
        <v>310</v>
      </c>
      <c r="K345" s="343">
        <f t="shared" ca="1" si="103"/>
        <v>53.448275862068968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IFERROR(__xludf.DUMMYFUNCTION("IMPORTRANGE(""https://docs.google.com/spreadsheets/d/11923uPwbBZFjjGgGUA6NLw09EwE0CqkOc4q9oUmW1yo/edit?usp=sharing"",""พะเยา!I241"")"),0)</f>
        <v>0</v>
      </c>
      <c r="J346" s="189">
        <f ca="1">IFERROR(__xludf.DUMMYFUNCTION("IMPORTRANGE(""https://docs.google.com/spreadsheets/d/11923uPwbBZFjjGgGUA6NLw09EwE0CqkOc4q9oUmW1yo/edit?usp=sharing"",""พะเยา!J241"")"),2217.37)</f>
        <v>2217.37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IFERROR(__xludf.DUMMYFUNCTION("IMPORTRANGE(""https://docs.google.com/spreadsheets/d/11923uPwbBZFjjGgGUA6NLw09EwE0CqkOc4q9oUmW1yo/edit?usp=sharing"",""พะเยา!L242"")"),2547436)</f>
        <v>2547436</v>
      </c>
      <c r="M347" s="359"/>
      <c r="N347" s="359">
        <f ca="1">IFERROR(__xludf.DUMMYFUNCTION("IMPORTRANGE(""https://docs.google.com/spreadsheets/d/11923uPwbBZFjjGgGUA6NLw09EwE0CqkOc4q9oUmW1yo/edit?usp=sharing"",""พะเยา!M242"")"),839965.789999999)</f>
        <v>839965.78999999899</v>
      </c>
      <c r="O347" s="359">
        <f ca="1">+IF(L347&gt;0,N347*100/L347,0)</f>
        <v>32.972988919054252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IFERROR(__xludf.DUMMYFUNCTION("IMPORTRANGE(""https://docs.google.com/spreadsheets/d/11923uPwbBZFjjGgGUA6NLw09EwE0CqkOc4q9oUmW1yo/edit?usp=sharing"",""พะเยา!I244"")"),105)</f>
        <v>105</v>
      </c>
      <c r="J349" s="372">
        <f ca="1">IFERROR(__xludf.DUMMYFUNCTION("IMPORTRANGE(""https://docs.google.com/spreadsheets/d/11923uPwbBZFjjGgGUA6NLw09EwE0CqkOc4q9oUmW1yo/edit?usp=sharing"",""พะเยา!J244"")"),0)</f>
        <v>0</v>
      </c>
      <c r="K349" s="373">
        <f t="shared" ref="K349:K350" ca="1" si="104">IF(I349&gt;0,J349*100/I349,0)</f>
        <v>0</v>
      </c>
      <c r="L349" s="374">
        <f ca="1">IFERROR(__xludf.DUMMYFUNCTION("IMPORTRANGE(""https://docs.google.com/spreadsheets/d/11923uPwbBZFjjGgGUA6NLw09EwE0CqkOc4q9oUmW1yo/edit?usp=sharing"",""พะเยา!L244"")"),363980)</f>
        <v>363980</v>
      </c>
      <c r="M349" s="374"/>
      <c r="N349" s="374">
        <f ca="1">IFERROR(__xludf.DUMMYFUNCTION("IMPORTRANGE(""https://docs.google.com/spreadsheets/d/11923uPwbBZFjjGgGUA6NLw09EwE0CqkOc4q9oUmW1yo/edit?usp=sharing"",""พะเยา!M244"")"),117641.739999999)</f>
        <v>117641.739999999</v>
      </c>
      <c r="O349" s="374">
        <f ca="1">+IF(L349&gt;0,N349*100/L349,0)</f>
        <v>32.320935216220398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IFERROR(__xludf.DUMMYFUNCTION("IMPORTRANGE(""https://docs.google.com/spreadsheets/d/11923uPwbBZFjjGgGUA6NLw09EwE0CqkOc4q9oUmW1yo/edit?usp=sharing"",""พะเยา!I245"")"),60)</f>
        <v>60</v>
      </c>
      <c r="J350" s="372">
        <f ca="1">IFERROR(__xludf.DUMMYFUNCTION("IMPORTRANGE(""https://docs.google.com/spreadsheets/d/11923uPwbBZFjjGgGUA6NLw09EwE0CqkOc4q9oUmW1yo/edit?usp=sharing"",""พะเยา!J245"")"),60)</f>
        <v>60</v>
      </c>
      <c r="K350" s="373">
        <f t="shared" ca="1" si="104"/>
        <v>100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IFERROR(__xludf.DUMMYFUNCTION("IMPORTRANGE(""https://docs.google.com/spreadsheets/d/11923uPwbBZFjjGgGUA6NLw09EwE0CqkOc4q9oUmW1yo/edit?usp=sharing"",""พะเยา!L246"")"),0)</f>
        <v>0</v>
      </c>
      <c r="M351" s="166"/>
      <c r="N351" s="166">
        <f ca="1">IFERROR(__xludf.DUMMYFUNCTION("IMPORTRANGE(""https://docs.google.com/spreadsheets/d/11923uPwbBZFjjGgGUA6NLw09EwE0CqkOc4q9oUmW1yo/edit?usp=sharing"",""พะเยา!M246"")"),0)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IFERROR(__xludf.DUMMYFUNCTION("IMPORTRANGE(""https://docs.google.com/spreadsheets/d/11923uPwbBZFjjGgGUA6NLw09EwE0CqkOc4q9oUmW1yo/edit?usp=sharing"",""พะเยา!L247"")"),363980)</f>
        <v>363980</v>
      </c>
      <c r="M352" s="167"/>
      <c r="N352" s="166">
        <f ca="1">IFERROR(__xludf.DUMMYFUNCTION("IMPORTRANGE(""https://docs.google.com/spreadsheets/d/11923uPwbBZFjjGgGUA6NLw09EwE0CqkOc4q9oUmW1yo/edit?usp=sharing"",""พะเยา!M247"")"),117641.739999999)</f>
        <v>117641.739999999</v>
      </c>
      <c r="O352" s="167">
        <f t="shared" ca="1" si="105"/>
        <v>32.320935216220398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IFERROR(__xludf.DUMMYFUNCTION("IMPORTRANGE(""https://docs.google.com/spreadsheets/d/11923uPwbBZFjjGgGUA6NLw09EwE0CqkOc4q9oUmW1yo/edit?usp=sharing"",""พะเยา!L248"")"),0)</f>
        <v>0</v>
      </c>
      <c r="M353" s="170"/>
      <c r="N353" s="170">
        <f ca="1">IFERROR(__xludf.DUMMYFUNCTION("IMPORTRANGE(""https://docs.google.com/spreadsheets/d/11923uPwbBZFjjGgGUA6NLw09EwE0CqkOc4q9oUmW1yo/edit?usp=sharing"",""พะเยา!M248"")"),0)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IFERROR(__xludf.DUMMYFUNCTION("IMPORTRANGE(""https://docs.google.com/spreadsheets/d/11923uPwbBZFjjGgGUA6NLw09EwE0CqkOc4q9oUmW1yo/edit?usp=sharing"",""พะเยา!L249"")"),363980)</f>
        <v>363980</v>
      </c>
      <c r="M354" s="170"/>
      <c r="N354" s="169">
        <f ca="1">IFERROR(__xludf.DUMMYFUNCTION("IMPORTRANGE(""https://docs.google.com/spreadsheets/d/11923uPwbBZFjjGgGUA6NLw09EwE0CqkOc4q9oUmW1yo/edit?usp=sharing"",""พะเยา!M249"")"),117641.739999999)</f>
        <v>117641.739999999</v>
      </c>
      <c r="O354" s="170">
        <f t="shared" ca="1" si="105"/>
        <v>32.320935216220398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IFERROR(__xludf.DUMMYFUNCTION("IMPORTRANGE(""https://docs.google.com/spreadsheets/d/11923uPwbBZFjjGgGUA6NLw09EwE0CqkOc4q9oUmW1yo/edit?usp=sharing"",""พะเยา!M250"")"),38200)</f>
        <v>38200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IFERROR(__xludf.DUMMYFUNCTION("IMPORTRANGE(""https://docs.google.com/spreadsheets/d/11923uPwbBZFjjGgGUA6NLw09EwE0CqkOc4q9oUmW1yo/edit?usp=sharing"",""พะเยา!M251"")"),0)</f>
        <v>0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IFERROR(__xludf.DUMMYFUNCTION("IMPORTRANGE(""https://docs.google.com/spreadsheets/d/11923uPwbBZFjjGgGUA6NLw09EwE0CqkOc4q9oUmW1yo/edit?usp=sharing"",""พะเยา!M252"")"),58132.74)</f>
        <v>58132.74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IFERROR(__xludf.DUMMYFUNCTION("IMPORTRANGE(""https://docs.google.com/spreadsheets/d/11923uPwbBZFjjGgGUA6NLw09EwE0CqkOc4q9oUmW1yo/edit?usp=sharing"",""พะเยา!M253"")"),21309)</f>
        <v>21309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IFERROR(__xludf.DUMMYFUNCTION("IMPORTRANGE(""https://docs.google.com/spreadsheets/d/11923uPwbBZFjjGgGUA6NLw09EwE0CqkOc4q9oUmW1yo/edit?usp=sharing"",""พะเยา!J255"")"),0)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IFERROR(__xludf.DUMMYFUNCTION("IMPORTRANGE(""https://docs.google.com/spreadsheets/d/11923uPwbBZFjjGgGUA6NLw09EwE0CqkOc4q9oUmW1yo/edit?usp=sharing"",""พะเยา!J256"")"),1)</f>
        <v>1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IFERROR(__xludf.DUMMYFUNCTION("IMPORTRANGE(""https://docs.google.com/spreadsheets/d/11923uPwbBZFjjGgGUA6NLw09EwE0CqkOc4q9oUmW1yo/edit?usp=sharing"",""พะเยา!J257"")"),1)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IFERROR(__xludf.DUMMYFUNCTION("IMPORTRANGE(""https://docs.google.com/spreadsheets/d/11923uPwbBZFjjGgGUA6NLw09EwE0CqkOc4q9oUmW1yo/edit?usp=sharing"",""พะเยา!J258"")"),1)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IFERROR(__xludf.DUMMYFUNCTION("IMPORTRANGE(""https://docs.google.com/spreadsheets/d/11923uPwbBZFjjGgGUA6NLw09EwE0CqkOc4q9oUmW1yo/edit?usp=sharing"",""พะเยา!J166"")"),0)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IFERROR(__xludf.DUMMYFUNCTION("IMPORTRANGE(""https://docs.google.com/spreadsheets/d/11923uPwbBZFjjGgGUA6NLw09EwE0CqkOc4q9oUmW1yo/edit?usp=sharing"",""พะเยา!J166"")"),0)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IFERROR(__xludf.DUMMYFUNCTION("IMPORTRANGE(""https://docs.google.com/spreadsheets/d/11923uPwbBZFjjGgGUA6NLw09EwE0CqkOc4q9oUmW1yo/edit?usp=sharing"",""พะเยา!J166"")"),0)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IFERROR(__xludf.DUMMYFUNCTION("IMPORTRANGE(""https://docs.google.com/spreadsheets/d/11923uPwbBZFjjGgGUA6NLw09EwE0CqkOc4q9oUmW1yo/edit?usp=sharing"",""พะเยา!J166"")"),0)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IFERROR(__xludf.DUMMYFUNCTION("IMPORTRANGE(""https://docs.google.com/spreadsheets/d/11923uPwbBZFjjGgGUA6NLw09EwE0CqkOc4q9oUmW1yo/edit?usp=sharing"",""พะเยา!I263"")"),60)</f>
        <v>60</v>
      </c>
      <c r="J368" s="189">
        <f ca="1">IFERROR(__xludf.DUMMYFUNCTION("IMPORTRANGE(""https://docs.google.com/spreadsheets/d/11923uPwbBZFjjGgGUA6NLw09EwE0CqkOc4q9oUmW1yo/edit?usp=sharing"",""พะเยา!J263"")"),60)</f>
        <v>60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IFERROR(__xludf.DUMMYFUNCTION("IMPORTRANGE(""https://docs.google.com/spreadsheets/d/11923uPwbBZFjjGgGUA6NLw09EwE0CqkOc4q9oUmW1yo/edit?usp=sharing"",""พะเยา!I164"")"),0)</f>
        <v>0</v>
      </c>
      <c r="J369" s="205">
        <f ca="1">IFERROR(__xludf.DUMMYFUNCTION("IMPORTRANGE(""https://docs.google.com/spreadsheets/d/11923uPwbBZFjjGgGUA6NLw09EwE0CqkOc4q9oUmW1yo/edit?usp=sharing"",""พะเยา!J164"")"),0)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IFERROR(__xludf.DUMMYFUNCTION("IMPORTRANGE(""https://docs.google.com/spreadsheets/d/11923uPwbBZFjjGgGUA6NLw09EwE0CqkOc4q9oUmW1yo/edit?usp=sharing"",""พะเยา!I265"")"),60)</f>
        <v>60</v>
      </c>
      <c r="J370" s="205">
        <f ca="1">IFERROR(__xludf.DUMMYFUNCTION("IMPORTRANGE(""https://docs.google.com/spreadsheets/d/11923uPwbBZFjjGgGUA6NLw09EwE0CqkOc4q9oUmW1yo/edit?usp=sharing"",""พะเยา!J265"")"),60)</f>
        <v>60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IFERROR(__xludf.DUMMYFUNCTION("IMPORTRANGE(""https://docs.google.com/spreadsheets/d/11923uPwbBZFjjGgGUA6NLw09EwE0CqkOc4q9oUmW1yo/edit?usp=sharing"",""พะเยา!I164"")"),0)</f>
        <v>0</v>
      </c>
      <c r="J371" s="190">
        <f ca="1">IFERROR(__xludf.DUMMYFUNCTION("IMPORTRANGE(""https://docs.google.com/spreadsheets/d/11923uPwbBZFjjGgGUA6NLw09EwE0CqkOc4q9oUmW1yo/edit?usp=sharing"",""พะเยา!J164"")"),0)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IFERROR(__xludf.DUMMYFUNCTION("IMPORTRANGE(""https://docs.google.com/spreadsheets/d/11923uPwbBZFjjGgGUA6NLw09EwE0CqkOc4q9oUmW1yo/edit?usp=sharing"",""พะเยา!I267"")"),60)</f>
        <v>60</v>
      </c>
      <c r="J372" s="190">
        <f ca="1">IFERROR(__xludf.DUMMYFUNCTION("IMPORTRANGE(""https://docs.google.com/spreadsheets/d/11923uPwbBZFjjGgGUA6NLw09EwE0CqkOc4q9oUmW1yo/edit?usp=sharing"",""พะเยา!J267"")"),60)</f>
        <v>60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IFERROR(__xludf.DUMMYFUNCTION("IMPORTRANGE(""https://docs.google.com/spreadsheets/d/11923uPwbBZFjjGgGUA6NLw09EwE0CqkOc4q9oUmW1yo/edit?usp=sharing"",""พะเยา!I164"")"),0)</f>
        <v>0</v>
      </c>
      <c r="J373" s="205">
        <f ca="1">IFERROR(__xludf.DUMMYFUNCTION("IMPORTRANGE(""https://docs.google.com/spreadsheets/d/11923uPwbBZFjjGgGUA6NLw09EwE0CqkOc4q9oUmW1yo/edit?usp=sharing"",""พะเยา!J164"")"),0)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IFERROR(__xludf.DUMMYFUNCTION("IMPORTRANGE(""https://docs.google.com/spreadsheets/d/11923uPwbBZFjjGgGUA6NLw09EwE0CqkOc4q9oUmW1yo/edit?usp=sharing"",""พะเยา!I164"")"),0)</f>
        <v>0</v>
      </c>
      <c r="J374" s="189">
        <f ca="1">IFERROR(__xludf.DUMMYFUNCTION("IMPORTRANGE(""https://docs.google.com/spreadsheets/d/11923uPwbBZFjjGgGUA6NLw09EwE0CqkOc4q9oUmW1yo/edit?usp=sharing"",""พะเยา!J164"")"),0)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IFERROR(__xludf.DUMMYFUNCTION("IMPORTRANGE(""https://docs.google.com/spreadsheets/d/11923uPwbBZFjjGgGUA6NLw09EwE0CqkOc4q9oUmW1yo/edit?usp=sharing"",""พะเยา!I270"")"),105)</f>
        <v>105</v>
      </c>
      <c r="J375" s="189">
        <f ca="1">IFERROR(__xludf.DUMMYFUNCTION("IMPORTRANGE(""https://docs.google.com/spreadsheets/d/11923uPwbBZFjjGgGUA6NLw09EwE0CqkOc4q9oUmW1yo/edit?usp=sharing"",""พะเยา!J270"")"),0)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IFERROR(__xludf.DUMMYFUNCTION("IMPORTRANGE(""https://docs.google.com/spreadsheets/d/11923uPwbBZFjjGgGUA6NLw09EwE0CqkOc4q9oUmW1yo/edit?usp=sharing"",""พะเยา!I271"")"),30)</f>
        <v>30</v>
      </c>
      <c r="J376" s="190">
        <f ca="1">IFERROR(__xludf.DUMMYFUNCTION("IMPORTRANGE(""https://docs.google.com/spreadsheets/d/11923uPwbBZFjjGgGUA6NLw09EwE0CqkOc4q9oUmW1yo/edit?usp=sharing"",""พะเยา!J271"")"),0)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IFERROR(__xludf.DUMMYFUNCTION("IMPORTRANGE(""https://docs.google.com/spreadsheets/d/11923uPwbBZFjjGgGUA6NLw09EwE0CqkOc4q9oUmW1yo/edit?usp=sharing"",""พะเยา!I272"")"),75)</f>
        <v>75</v>
      </c>
      <c r="J377" s="205">
        <f ca="1">IFERROR(__xludf.DUMMYFUNCTION("IMPORTRANGE(""https://docs.google.com/spreadsheets/d/11923uPwbBZFjjGgGUA6NLw09EwE0CqkOc4q9oUmW1yo/edit?usp=sharing"",""พะเยา!J272"")"),0)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IFERROR(__xludf.DUMMYFUNCTION("IMPORTRANGE(""https://docs.google.com/spreadsheets/d/11923uPwbBZFjjGgGUA6NLw09EwE0CqkOc4q9oUmW1yo/edit?usp=sharing"",""พะเยา!J273"")"),0)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IFERROR(__xludf.DUMMYFUNCTION("IMPORTRANGE(""https://docs.google.com/spreadsheets/d/11923uPwbBZFjjGgGUA6NLw09EwE0CqkOc4q9oUmW1yo/edit?usp=sharing"",""พะเยา!J274"")"),0)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IFERROR(__xludf.DUMMYFUNCTION("IMPORTRANGE(""https://docs.google.com/spreadsheets/d/11923uPwbBZFjjGgGUA6NLw09EwE0CqkOc4q9oUmW1yo/edit?usp=sharing"",""พะเยา!I275"")"),1000)</f>
        <v>1000</v>
      </c>
      <c r="J380" s="372">
        <f ca="1">IFERROR(__xludf.DUMMYFUNCTION("IMPORTRANGE(""https://docs.google.com/spreadsheets/d/11923uPwbBZFjjGgGUA6NLw09EwE0CqkOc4q9oUmW1yo/edit?usp=sharing"",""พะเยา!J275"")"),0)</f>
        <v>0</v>
      </c>
      <c r="K380" s="373">
        <f t="shared" ref="K380:K381" ca="1" si="108">IF(I380&gt;0,J380*100/I380,0)</f>
        <v>0</v>
      </c>
      <c r="L380" s="374">
        <f ca="1">IFERROR(__xludf.DUMMYFUNCTION("IMPORTRANGE(""https://docs.google.com/spreadsheets/d/11923uPwbBZFjjGgGUA6NLw09EwE0CqkOc4q9oUmW1yo/edit?usp=sharing"",""พะเยา!L275"")"),1028520)</f>
        <v>1028520</v>
      </c>
      <c r="M380" s="374"/>
      <c r="N380" s="374">
        <f ca="1">IFERROR(__xludf.DUMMYFUNCTION("IMPORTRANGE(""https://docs.google.com/spreadsheets/d/11923uPwbBZFjjGgGUA6NLw09EwE0CqkOc4q9oUmW1yo/edit?usp=sharing"",""พะเยา!M275"")"),191991.2)</f>
        <v>191991.2</v>
      </c>
      <c r="O380" s="374">
        <f ca="1">+IF(L380&gt;0,N380*100/L380,0)</f>
        <v>18.666744448333528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IFERROR(__xludf.DUMMYFUNCTION("IMPORTRANGE(""https://docs.google.com/spreadsheets/d/11923uPwbBZFjjGgGUA6NLw09EwE0CqkOc4q9oUmW1yo/edit?usp=sharing"",""พะเยา!I276"")"),100)</f>
        <v>100</v>
      </c>
      <c r="J381" s="372">
        <f ca="1">IFERROR(__xludf.DUMMYFUNCTION("IMPORTRANGE(""https://docs.google.com/spreadsheets/d/11923uPwbBZFjjGgGUA6NLw09EwE0CqkOc4q9oUmW1yo/edit?usp=sharing"",""พะเยา!J276"")"),100)</f>
        <v>100</v>
      </c>
      <c r="K381" s="373">
        <f t="shared" ca="1" si="108"/>
        <v>100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IFERROR(__xludf.DUMMYFUNCTION("IMPORTRANGE(""https://docs.google.com/spreadsheets/d/11923uPwbBZFjjGgGUA6NLw09EwE0CqkOc4q9oUmW1yo/edit?usp=sharing"",""พะเยา!L277"")"),0)</f>
        <v>0</v>
      </c>
      <c r="M382" s="166"/>
      <c r="N382" s="166">
        <f ca="1">IFERROR(__xludf.DUMMYFUNCTION("IMPORTRANGE(""https://docs.google.com/spreadsheets/d/11923uPwbBZFjjGgGUA6NLw09EwE0CqkOc4q9oUmW1yo/edit?usp=sharing"",""พะเยา!M277"")"),0)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IFERROR(__xludf.DUMMYFUNCTION("IMPORTRANGE(""https://docs.google.com/spreadsheets/d/11923uPwbBZFjjGgGUA6NLw09EwE0CqkOc4q9oUmW1yo/edit?usp=sharing"",""พะเยา!L278"")"),1028520)</f>
        <v>1028520</v>
      </c>
      <c r="M383" s="167"/>
      <c r="N383" s="167">
        <f ca="1">IFERROR(__xludf.DUMMYFUNCTION("IMPORTRANGE(""https://docs.google.com/spreadsheets/d/11923uPwbBZFjjGgGUA6NLw09EwE0CqkOc4q9oUmW1yo/edit?usp=sharing"",""พะเยา!M278"")"),191991.2)</f>
        <v>191991.2</v>
      </c>
      <c r="O383" s="167">
        <f t="shared" ca="1" si="109"/>
        <v>18.666744448333528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IFERROR(__xludf.DUMMYFUNCTION("IMPORTRANGE(""https://docs.google.com/spreadsheets/d/11923uPwbBZFjjGgGUA6NLw09EwE0CqkOc4q9oUmW1yo/edit?usp=sharing"",""พะเยา!L279"")"),0)</f>
        <v>0</v>
      </c>
      <c r="M384" s="170"/>
      <c r="N384" s="170">
        <f ca="1">IFERROR(__xludf.DUMMYFUNCTION("IMPORTRANGE(""https://docs.google.com/spreadsheets/d/11923uPwbBZFjjGgGUA6NLw09EwE0CqkOc4q9oUmW1yo/edit?usp=sharing"",""พะเยา!M279"")"),0)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IFERROR(__xludf.DUMMYFUNCTION("IMPORTRANGE(""https://docs.google.com/spreadsheets/d/11923uPwbBZFjjGgGUA6NLw09EwE0CqkOc4q9oUmW1yo/edit?usp=sharing"",""พะเยา!L280"")"),1028520)</f>
        <v>1028520</v>
      </c>
      <c r="M385" s="170"/>
      <c r="N385" s="169">
        <f ca="1">IFERROR(__xludf.DUMMYFUNCTION("IMPORTRANGE(""https://docs.google.com/spreadsheets/d/11923uPwbBZFjjGgGUA6NLw09EwE0CqkOc4q9oUmW1yo/edit?usp=sharing"",""พะเยา!M280"")"),191991.2)</f>
        <v>191991.2</v>
      </c>
      <c r="O385" s="170">
        <f t="shared" ca="1" si="109"/>
        <v>18.666744448333528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IFERROR(__xludf.DUMMYFUNCTION("IMPORTRANGE(""https://docs.google.com/spreadsheets/d/11923uPwbBZFjjGgGUA6NLw09EwE0CqkOc4q9oUmW1yo/edit?usp=sharing"",""พะเยา!M281"")"),126280.2)</f>
        <v>126280.2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IFERROR(__xludf.DUMMYFUNCTION("IMPORTRANGE(""https://docs.google.com/spreadsheets/d/11923uPwbBZFjjGgGUA6NLw09EwE0CqkOc4q9oUmW1yo/edit?usp=sharing"",""พะเยา!M282"")"),0)</f>
        <v>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IFERROR(__xludf.DUMMYFUNCTION("IMPORTRANGE(""https://docs.google.com/spreadsheets/d/11923uPwbBZFjjGgGUA6NLw09EwE0CqkOc4q9oUmW1yo/edit?usp=sharing"",""พะเยา!M283"")"),57171)</f>
        <v>57171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IFERROR(__xludf.DUMMYFUNCTION("IMPORTRANGE(""https://docs.google.com/spreadsheets/d/11923uPwbBZFjjGgGUA6NLw09EwE0CqkOc4q9oUmW1yo/edit?usp=sharing"",""พะเยา!M284"")"),8540)</f>
        <v>8540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IFERROR(__xludf.DUMMYFUNCTION("IMPORTRANGE(""https://docs.google.com/spreadsheets/d/11923uPwbBZFjjGgGUA6NLw09EwE0CqkOc4q9oUmW1yo/edit?usp=sharing"",""พะเยา!J286"")"),0)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IFERROR(__xludf.DUMMYFUNCTION("IMPORTRANGE(""https://docs.google.com/spreadsheets/d/11923uPwbBZFjjGgGUA6NLw09EwE0CqkOc4q9oUmW1yo/edit?usp=sharing"",""พะเยา!J287"")"),1)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IFERROR(__xludf.DUMMYFUNCTION("IMPORTRANGE(""https://docs.google.com/spreadsheets/d/11923uPwbBZFjjGgGUA6NLw09EwE0CqkOc4q9oUmW1yo/edit?usp=sharing"",""พะเยา!J288"")"),1)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IFERROR(__xludf.DUMMYFUNCTION("IMPORTRANGE(""https://docs.google.com/spreadsheets/d/11923uPwbBZFjjGgGUA6NLw09EwE0CqkOc4q9oUmW1yo/edit?usp=sharing"",""พะเยา!J289"")"),1)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IFERROR(__xludf.DUMMYFUNCTION("IMPORTRANGE(""https://docs.google.com/spreadsheets/d/11923uPwbBZFjjGgGUA6NLw09EwE0CqkOc4q9oUmW1yo/edit?usp=sharing"",""พะเยา!I291"")"),100)</f>
        <v>100</v>
      </c>
      <c r="J396" s="199">
        <f ca="1">IFERROR(__xludf.DUMMYFUNCTION("IMPORTRANGE(""https://docs.google.com/spreadsheets/d/11923uPwbBZFjjGgGUA6NLw09EwE0CqkOc4q9oUmW1yo/edit?usp=sharing"",""พะเยา!J291"")"),100)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IFERROR(__xludf.DUMMYFUNCTION("IMPORTRANGE(""https://docs.google.com/spreadsheets/d/11923uPwbBZFjjGgGUA6NLw09EwE0CqkOc4q9oUmW1yo/edit?usp=sharing"",""พะเยา!I292"")"),1000)</f>
        <v>1000</v>
      </c>
      <c r="J397" s="199">
        <f ca="1">IFERROR(__xludf.DUMMYFUNCTION("IMPORTRANGE(""https://docs.google.com/spreadsheets/d/11923uPwbBZFjjGgGUA6NLw09EwE0CqkOc4q9oUmW1yo/edit?usp=sharing"",""พะเยา!J292"")"),0)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IFERROR(__xludf.DUMMYFUNCTION("IMPORTRANGE(""https://docs.google.com/spreadsheets/d/11923uPwbBZFjjGgGUA6NLw09EwE0CqkOc4q9oUmW1yo/edit?usp=sharing"",""พะเยา!I293"")"),100)</f>
        <v>100</v>
      </c>
      <c r="J398" s="199">
        <f ca="1">IFERROR(__xludf.DUMMYFUNCTION("IMPORTRANGE(""https://docs.google.com/spreadsheets/d/11923uPwbBZFjjGgGUA6NLw09EwE0CqkOc4q9oUmW1yo/edit?usp=sharing"",""พะเยา!J293"")"),0)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IFERROR(__xludf.DUMMYFUNCTION("IMPORTRANGE(""https://docs.google.com/spreadsheets/d/11923uPwbBZFjjGgGUA6NLw09EwE0CqkOc4q9oUmW1yo/edit?usp=sharing"",""พะเยา!J294"")"),0)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IFERROR(__xludf.DUMMYFUNCTION("IMPORTRANGE(""https://docs.google.com/spreadsheets/d/11923uPwbBZFjjGgGUA6NLw09EwE0CqkOc4q9oUmW1yo/edit?usp=sharing"",""พะเยา!J295"")"),0)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IFERROR(__xludf.DUMMYFUNCTION("IMPORTRANGE(""https://docs.google.com/spreadsheets/d/11923uPwbBZFjjGgGUA6NLw09EwE0CqkOc4q9oUmW1yo/edit?usp=sharing"",""พะเยา!I296"")"),261)</f>
        <v>261</v>
      </c>
      <c r="J401" s="372">
        <f ca="1">IFERROR(__xludf.DUMMYFUNCTION("IMPORTRANGE(""https://docs.google.com/spreadsheets/d/11923uPwbBZFjjGgGUA6NLw09EwE0CqkOc4q9oUmW1yo/edit?usp=sharing"",""พะเยา!J296"")"),261)</f>
        <v>261</v>
      </c>
      <c r="K401" s="373">
        <f t="shared" ref="K401:K402" ca="1" si="111">IF(I401&gt;0,J401*100/I401,0)</f>
        <v>100</v>
      </c>
      <c r="L401" s="374">
        <f ca="1">IFERROR(__xludf.DUMMYFUNCTION("IMPORTRANGE(""https://docs.google.com/spreadsheets/d/11923uPwbBZFjjGgGUA6NLw09EwE0CqkOc4q9oUmW1yo/edit?usp=sharing"",""พะเยา!L296"")"),271920)</f>
        <v>271920</v>
      </c>
      <c r="M401" s="374"/>
      <c r="N401" s="374">
        <f ca="1">IFERROR(__xludf.DUMMYFUNCTION("IMPORTRANGE(""https://docs.google.com/spreadsheets/d/11923uPwbBZFjjGgGUA6NLw09EwE0CqkOc4q9oUmW1yo/edit?usp=sharing"",""พะเยา!M296"")"),164163)</f>
        <v>164163</v>
      </c>
      <c r="O401" s="374">
        <f ca="1">+IF(L401&gt;0,N401*100/L401,0)</f>
        <v>60.371800529567523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IFERROR(__xludf.DUMMYFUNCTION("IMPORTRANGE(""https://docs.google.com/spreadsheets/d/11923uPwbBZFjjGgGUA6NLw09EwE0CqkOc4q9oUmW1yo/edit?usp=sharing"",""พะเยา!I297"")"),87)</f>
        <v>87</v>
      </c>
      <c r="J402" s="372">
        <f ca="1">IFERROR(__xludf.DUMMYFUNCTION("IMPORTRANGE(""https://docs.google.com/spreadsheets/d/11923uPwbBZFjjGgGUA6NLw09EwE0CqkOc4q9oUmW1yo/edit?usp=sharing"",""พะเยา!J297"")"),87)</f>
        <v>87</v>
      </c>
      <c r="K402" s="373">
        <f t="shared" ca="1" si="111"/>
        <v>100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IFERROR(__xludf.DUMMYFUNCTION("IMPORTRANGE(""https://docs.google.com/spreadsheets/d/11923uPwbBZFjjGgGUA6NLw09EwE0CqkOc4q9oUmW1yo/edit?usp=sharing"",""พะเยา!L298"")"),0)</f>
        <v>0</v>
      </c>
      <c r="M403" s="166"/>
      <c r="N403" s="170">
        <f ca="1">IFERROR(__xludf.DUMMYFUNCTION("IMPORTRANGE(""https://docs.google.com/spreadsheets/d/11923uPwbBZFjjGgGUA6NLw09EwE0CqkOc4q9oUmW1yo/edit?usp=sharing"",""พะเยา!M298"")"),0)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IFERROR(__xludf.DUMMYFUNCTION("IMPORTRANGE(""https://docs.google.com/spreadsheets/d/11923uPwbBZFjjGgGUA6NLw09EwE0CqkOc4q9oUmW1yo/edit?usp=sharing"",""พะเยา!L299"")"),271920)</f>
        <v>271920</v>
      </c>
      <c r="M404" s="167"/>
      <c r="N404" s="170">
        <f ca="1">IFERROR(__xludf.DUMMYFUNCTION("IMPORTRANGE(""https://docs.google.com/spreadsheets/d/11923uPwbBZFjjGgGUA6NLw09EwE0CqkOc4q9oUmW1yo/edit?usp=sharing"",""พะเยา!M299"")"),164163)</f>
        <v>164163</v>
      </c>
      <c r="O404" s="170">
        <f t="shared" ca="1" si="112"/>
        <v>60.371800529567523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IFERROR(__xludf.DUMMYFUNCTION("IMPORTRANGE(""https://docs.google.com/spreadsheets/d/11923uPwbBZFjjGgGUA6NLw09EwE0CqkOc4q9oUmW1yo/edit?usp=sharing"",""พะเยา!L300"")"),0)</f>
        <v>0</v>
      </c>
      <c r="M405" s="170"/>
      <c r="N405" s="170">
        <f ca="1">IFERROR(__xludf.DUMMYFUNCTION("IMPORTRANGE(""https://docs.google.com/spreadsheets/d/11923uPwbBZFjjGgGUA6NLw09EwE0CqkOc4q9oUmW1yo/edit?usp=sharing"",""พะเยา!M300"")"),0)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IFERROR(__xludf.DUMMYFUNCTION("IMPORTRANGE(""https://docs.google.com/spreadsheets/d/11923uPwbBZFjjGgGUA6NLw09EwE0CqkOc4q9oUmW1yo/edit?usp=sharing"",""พะเยา!L301"")"),271920)</f>
        <v>271920</v>
      </c>
      <c r="M406" s="170"/>
      <c r="N406" s="170">
        <f ca="1">IFERROR(__xludf.DUMMYFUNCTION("IMPORTRANGE(""https://docs.google.com/spreadsheets/d/11923uPwbBZFjjGgGUA6NLw09EwE0CqkOc4q9oUmW1yo/edit?usp=sharing"",""พะเยา!M301"")"),164163)</f>
        <v>164163</v>
      </c>
      <c r="O406" s="170">
        <f t="shared" ca="1" si="112"/>
        <v>60.371800529567523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IFERROR(__xludf.DUMMYFUNCTION("IMPORTRANGE(""https://docs.google.com/spreadsheets/d/11923uPwbBZFjjGgGUA6NLw09EwE0CqkOc4q9oUmW1yo/edit?usp=sharing"",""พะเยา!M302"")"),145583)</f>
        <v>145583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IFERROR(__xludf.DUMMYFUNCTION("IMPORTRANGE(""https://docs.google.com/spreadsheets/d/11923uPwbBZFjjGgGUA6NLw09EwE0CqkOc4q9oUmW1yo/edit?usp=sharing"",""พะเยา!M303"")"),0)</f>
        <v>0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IFERROR(__xludf.DUMMYFUNCTION("IMPORTRANGE(""https://docs.google.com/spreadsheets/d/11923uPwbBZFjjGgGUA6NLw09EwE0CqkOc4q9oUmW1yo/edit?usp=sharing"",""พะเยา!M304"")"),0)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IFERROR(__xludf.DUMMYFUNCTION("IMPORTRANGE(""https://docs.google.com/spreadsheets/d/11923uPwbBZFjjGgGUA6NLw09EwE0CqkOc4q9oUmW1yo/edit?usp=sharing"",""พะเยา!M305"")"),18580)</f>
        <v>18580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IFERROR(__xludf.DUMMYFUNCTION("IMPORTRANGE(""https://docs.google.com/spreadsheets/d/11923uPwbBZFjjGgGUA6NLw09EwE0CqkOc4q9oUmW1yo/edit?usp=sharing"",""พะเยา!J307"")"),0)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IFERROR(__xludf.DUMMYFUNCTION("IMPORTRANGE(""https://docs.google.com/spreadsheets/d/11923uPwbBZFjjGgGUA6NLw09EwE0CqkOc4q9oUmW1yo/edit?usp=sharing"",""พะเยา!J308"")"),1)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IFERROR(__xludf.DUMMYFUNCTION("IMPORTRANGE(""https://docs.google.com/spreadsheets/d/11923uPwbBZFjjGgGUA6NLw09EwE0CqkOc4q9oUmW1yo/edit?usp=sharing"",""พะเยา!J309"")"),1)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IFERROR(__xludf.DUMMYFUNCTION("IMPORTRANGE(""https://docs.google.com/spreadsheets/d/11923uPwbBZFjjGgGUA6NLw09EwE0CqkOc4q9oUmW1yo/edit?usp=sharing"",""พะเยา!J310"")"),1)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IFERROR(__xludf.DUMMYFUNCTION("IMPORTRANGE(""https://docs.google.com/spreadsheets/d/11923uPwbBZFjjGgGUA6NLw09EwE0CqkOc4q9oUmW1yo/edit?usp=sharing"",""พะเยา!I311"")"),87)</f>
        <v>87</v>
      </c>
      <c r="J416" s="202">
        <f ca="1">IFERROR(__xludf.DUMMYFUNCTION("IMPORTRANGE(""https://docs.google.com/spreadsheets/d/11923uPwbBZFjjGgGUA6NLw09EwE0CqkOc4q9oUmW1yo/edit?usp=sharing"",""พะเยา!J311"")"),87)</f>
        <v>87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IFERROR(__xludf.DUMMYFUNCTION("IMPORTRANGE(""https://docs.google.com/spreadsheets/d/11923uPwbBZFjjGgGUA6NLw09EwE0CqkOc4q9oUmW1yo/edit?usp=sharing"",""พะเยา!I312"")"),20)</f>
        <v>20</v>
      </c>
      <c r="J417" s="393">
        <f ca="1">IFERROR(__xludf.DUMMYFUNCTION("IMPORTRANGE(""https://docs.google.com/spreadsheets/d/11923uPwbBZFjjGgGUA6NLw09EwE0CqkOc4q9oUmW1yo/edit?usp=sharing"",""พะเยา!J312"")"),20)</f>
        <v>20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IFERROR(__xludf.DUMMYFUNCTION("IMPORTRANGE(""https://docs.google.com/spreadsheets/d/11923uPwbBZFjjGgGUA6NLw09EwE0CqkOc4q9oUmW1yo/edit?usp=sharing"",""พะเยา!I313"")"),60)</f>
        <v>60</v>
      </c>
      <c r="J418" s="394">
        <f ca="1">IFERROR(__xludf.DUMMYFUNCTION("IMPORTRANGE(""https://docs.google.com/spreadsheets/d/11923uPwbBZFjjGgGUA6NLw09EwE0CqkOc4q9oUmW1yo/edit?usp=sharing"",""พะเยา!J313"")"),60)</f>
        <v>60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IFERROR(__xludf.DUMMYFUNCTION("IMPORTRANGE(""https://docs.google.com/spreadsheets/d/11923uPwbBZFjjGgGUA6NLw09EwE0CqkOc4q9oUmW1yo/edit?usp=sharing"",""พะเยา!I314"")"),20)</f>
        <v>20</v>
      </c>
      <c r="J419" s="395">
        <f ca="1">IFERROR(__xludf.DUMMYFUNCTION("IMPORTRANGE(""https://docs.google.com/spreadsheets/d/11923uPwbBZFjjGgGUA6NLw09EwE0CqkOc4q9oUmW1yo/edit?usp=sharing"",""พะเยา!J314"")"),20)</f>
        <v>20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IFERROR(__xludf.DUMMYFUNCTION("IMPORTRANGE(""https://docs.google.com/spreadsheets/d/11923uPwbBZFjjGgGUA6NLw09EwE0CqkOc4q9oUmW1yo/edit?usp=sharing"",""พะเยา!I315"")"),20)</f>
        <v>20</v>
      </c>
      <c r="J420" s="395">
        <f ca="1">IFERROR(__xludf.DUMMYFUNCTION("IMPORTRANGE(""https://docs.google.com/spreadsheets/d/11923uPwbBZFjjGgGUA6NLw09EwE0CqkOc4q9oUmW1yo/edit?usp=sharing"",""พะเยา!J315"")"),20)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IFERROR(__xludf.DUMMYFUNCTION("IMPORTRANGE(""https://docs.google.com/spreadsheets/d/11923uPwbBZFjjGgGUA6NLw09EwE0CqkOc4q9oUmW1yo/edit?usp=sharing"",""พะเยา!I316"")"),50)</f>
        <v>50</v>
      </c>
      <c r="J421" s="393">
        <f ca="1">IFERROR(__xludf.DUMMYFUNCTION("IMPORTRANGE(""https://docs.google.com/spreadsheets/d/11923uPwbBZFjjGgGUA6NLw09EwE0CqkOc4q9oUmW1yo/edit?usp=sharing"",""พะเยา!J316"")"),50)</f>
        <v>50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IFERROR(__xludf.DUMMYFUNCTION("IMPORTRANGE(""https://docs.google.com/spreadsheets/d/11923uPwbBZFjjGgGUA6NLw09EwE0CqkOc4q9oUmW1yo/edit?usp=sharing"",""พะเยา!I317"")"),150)</f>
        <v>150</v>
      </c>
      <c r="J422" s="394">
        <f ca="1">IFERROR(__xludf.DUMMYFUNCTION("IMPORTRANGE(""https://docs.google.com/spreadsheets/d/11923uPwbBZFjjGgGUA6NLw09EwE0CqkOc4q9oUmW1yo/edit?usp=sharing"",""พะเยา!J317"")"),150)</f>
        <v>150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IFERROR(__xludf.DUMMYFUNCTION("IMPORTRANGE(""https://docs.google.com/spreadsheets/d/11923uPwbBZFjjGgGUA6NLw09EwE0CqkOc4q9oUmW1yo/edit?usp=sharing"",""พะเยา!I318"")"),50)</f>
        <v>50</v>
      </c>
      <c r="J423" s="395">
        <f ca="1">IFERROR(__xludf.DUMMYFUNCTION("IMPORTRANGE(""https://docs.google.com/spreadsheets/d/11923uPwbBZFjjGgGUA6NLw09EwE0CqkOc4q9oUmW1yo/edit?usp=sharing"",""พะเยา!J318"")"),50)</f>
        <v>50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IFERROR(__xludf.DUMMYFUNCTION("IMPORTRANGE(""https://docs.google.com/spreadsheets/d/11923uPwbBZFjjGgGUA6NLw09EwE0CqkOc4q9oUmW1yo/edit?usp=sharing"",""พะเยา!I319"")"),50)</f>
        <v>50</v>
      </c>
      <c r="J424" s="395">
        <f ca="1">IFERROR(__xludf.DUMMYFUNCTION("IMPORTRANGE(""https://docs.google.com/spreadsheets/d/11923uPwbBZFjjGgGUA6NLw09EwE0CqkOc4q9oUmW1yo/edit?usp=sharing"",""พะเยา!J319"")"),50)</f>
        <v>50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IFERROR(__xludf.DUMMYFUNCTION("IMPORTRANGE(""https://docs.google.com/spreadsheets/d/11923uPwbBZFjjGgGUA6NLw09EwE0CqkOc4q9oUmW1yo/edit?usp=sharing"",""พะเยา!I320"")"),50)</f>
        <v>50</v>
      </c>
      <c r="J425" s="395">
        <f ca="1">IFERROR(__xludf.DUMMYFUNCTION("IMPORTRANGE(""https://docs.google.com/spreadsheets/d/11923uPwbBZFjjGgGUA6NLw09EwE0CqkOc4q9oUmW1yo/edit?usp=sharing"",""พะเยา!J320"")"),50)</f>
        <v>50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IFERROR(__xludf.DUMMYFUNCTION("IMPORTRANGE(""https://docs.google.com/spreadsheets/d/11923uPwbBZFjjGgGUA6NLw09EwE0CqkOc4q9oUmW1yo/edit?usp=sharing"",""พะเยา!I321"")"),17)</f>
        <v>17</v>
      </c>
      <c r="J426" s="393">
        <f ca="1">IFERROR(__xludf.DUMMYFUNCTION("IMPORTRANGE(""https://docs.google.com/spreadsheets/d/11923uPwbBZFjjGgGUA6NLw09EwE0CqkOc4q9oUmW1yo/edit?usp=sharing"",""พะเยา!J321"")"),17)</f>
        <v>17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IFERROR(__xludf.DUMMYFUNCTION("IMPORTRANGE(""https://docs.google.com/spreadsheets/d/11923uPwbBZFjjGgGUA6NLw09EwE0CqkOc4q9oUmW1yo/edit?usp=sharing"",""พะเยา!I322"")"),51)</f>
        <v>51</v>
      </c>
      <c r="J427" s="394">
        <f ca="1">IFERROR(__xludf.DUMMYFUNCTION("IMPORTRANGE(""https://docs.google.com/spreadsheets/d/11923uPwbBZFjjGgGUA6NLw09EwE0CqkOc4q9oUmW1yo/edit?usp=sharing"",""พะเยา!J322"")"),51)</f>
        <v>51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IFERROR(__xludf.DUMMYFUNCTION("IMPORTRANGE(""https://docs.google.com/spreadsheets/d/11923uPwbBZFjjGgGUA6NLw09EwE0CqkOc4q9oUmW1yo/edit?usp=sharing"",""พะเยา!I323"")"),17)</f>
        <v>17</v>
      </c>
      <c r="J428" s="395">
        <f ca="1">IFERROR(__xludf.DUMMYFUNCTION("IMPORTRANGE(""https://docs.google.com/spreadsheets/d/11923uPwbBZFjjGgGUA6NLw09EwE0CqkOc4q9oUmW1yo/edit?usp=sharing"",""พะเยา!J323"")"),17)</f>
        <v>17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IFERROR(__xludf.DUMMYFUNCTION("IMPORTRANGE(""https://docs.google.com/spreadsheets/d/11923uPwbBZFjjGgGUA6NLw09EwE0CqkOc4q9oUmW1yo/edit?usp=sharing"",""พะเยา!I324"")"),17)</f>
        <v>17</v>
      </c>
      <c r="J429" s="395">
        <f ca="1">IFERROR(__xludf.DUMMYFUNCTION("IMPORTRANGE(""https://docs.google.com/spreadsheets/d/11923uPwbBZFjjGgGUA6NLw09EwE0CqkOc4q9oUmW1yo/edit?usp=sharing"",""พะเยา!J324"")"),17)</f>
        <v>17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IFERROR(__xludf.DUMMYFUNCTION("IMPORTRANGE(""https://docs.google.com/spreadsheets/d/11923uPwbBZFjjGgGUA6NLw09EwE0CqkOc4q9oUmW1yo/edit?usp=sharing"",""พะเยา!I325"")"),70)</f>
        <v>70</v>
      </c>
      <c r="J430" s="393">
        <f ca="1">IFERROR(__xludf.DUMMYFUNCTION("IMPORTRANGE(""https://docs.google.com/spreadsheets/d/11923uPwbBZFjjGgGUA6NLw09EwE0CqkOc4q9oUmW1yo/edit?usp=sharing"",""พะเยา!J325"")"),0)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IFERROR(__xludf.DUMMYFUNCTION("IMPORTRANGE(""https://docs.google.com/spreadsheets/d/11923uPwbBZFjjGgGUA6NLw09EwE0CqkOc4q9oUmW1yo/edit?usp=sharing"",""พะเยา!I326"")"),20)</f>
        <v>20</v>
      </c>
      <c r="J431" s="395">
        <f ca="1">IFERROR(__xludf.DUMMYFUNCTION("IMPORTRANGE(""https://docs.google.com/spreadsheets/d/11923uPwbBZFjjGgGUA6NLw09EwE0CqkOc4q9oUmW1yo/edit?usp=sharing"",""พะเยา!J326"")"),0)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IFERROR(__xludf.DUMMYFUNCTION("IMPORTRANGE(""https://docs.google.com/spreadsheets/d/11923uPwbBZFjjGgGUA6NLw09EwE0CqkOc4q9oUmW1yo/edit?usp=sharing"",""พะเยา!I327"")"),50)</f>
        <v>50</v>
      </c>
      <c r="J432" s="395">
        <f ca="1">IFERROR(__xludf.DUMMYFUNCTION("IMPORTRANGE(""https://docs.google.com/spreadsheets/d/11923uPwbBZFjjGgGUA6NLw09EwE0CqkOc4q9oUmW1yo/edit?usp=sharing"",""พะเยา!J327"")"),0)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IFERROR(__xludf.DUMMYFUNCTION("IMPORTRANGE(""https://docs.google.com/spreadsheets/d/11923uPwbBZFjjGgGUA6NLw09EwE0CqkOc4q9oUmW1yo/edit?usp=sharing"",""พะเยา!J328"")"),0)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IFERROR(__xludf.DUMMYFUNCTION("IMPORTRANGE(""https://docs.google.com/spreadsheets/d/11923uPwbBZFjjGgGUA6NLw09EwE0CqkOc4q9oUmW1yo/edit?usp=sharing"",""พะเยา!J329"")"),0)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IFERROR(__xludf.DUMMYFUNCTION("IMPORTRANGE(""https://docs.google.com/spreadsheets/d/11923uPwbBZFjjGgGUA6NLw09EwE0CqkOc4q9oUmW1yo/edit?usp=sharing"",""พะเยา!I330"")"),43)</f>
        <v>43</v>
      </c>
      <c r="J435" s="411">
        <f ca="1">IFERROR(__xludf.DUMMYFUNCTION("IMPORTRANGE(""https://docs.google.com/spreadsheets/d/11923uPwbBZFjjGgGUA6NLw09EwE0CqkOc4q9oUmW1yo/edit?usp=sharing"",""พะเยา!J330"")"),43)</f>
        <v>43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IFERROR(__xludf.DUMMYFUNCTION("IMPORTRANGE(""https://docs.google.com/spreadsheets/d/11923uPwbBZFjjGgGUA6NLw09EwE0CqkOc4q9oUmW1yo/edit?usp=sharing"",""พะเยา!L330"")"),150000)</f>
        <v>150000</v>
      </c>
      <c r="M435" s="413"/>
      <c r="N435" s="413">
        <f ca="1">IFERROR(__xludf.DUMMYFUNCTION("IMPORTRANGE(""https://docs.google.com/spreadsheets/d/11923uPwbBZFjjGgGUA6NLw09EwE0CqkOc4q9oUmW1yo/edit?usp=sharing"",""พะเยา!M330"")"),76896)</f>
        <v>76896</v>
      </c>
      <c r="O435" s="413">
        <f t="shared" ref="O435:O439" ca="1" si="114">+IF(L435&gt;0,N435*100/L435,0)</f>
        <v>51.264000000000003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IFERROR(__xludf.DUMMYFUNCTION("IMPORTRANGE(""https://docs.google.com/spreadsheets/d/11923uPwbBZFjjGgGUA6NLw09EwE0CqkOc4q9oUmW1yo/edit?usp=sharing"",""พะเยา!L331"")"),0)</f>
        <v>0</v>
      </c>
      <c r="M436" s="166"/>
      <c r="N436" s="170">
        <f ca="1">IFERROR(__xludf.DUMMYFUNCTION("IMPORTRANGE(""https://docs.google.com/spreadsheets/d/11923uPwbBZFjjGgGUA6NLw09EwE0CqkOc4q9oUmW1yo/edit?usp=sharing"",""พะเยา!M331"")"),0)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IFERROR(__xludf.DUMMYFUNCTION("IMPORTRANGE(""https://docs.google.com/spreadsheets/d/11923uPwbBZFjjGgGUA6NLw09EwE0CqkOc4q9oUmW1yo/edit?usp=sharing"",""พะเยา!L332"")"),150000)</f>
        <v>150000</v>
      </c>
      <c r="M437" s="167"/>
      <c r="N437" s="170">
        <f ca="1">IFERROR(__xludf.DUMMYFUNCTION("IMPORTRANGE(""https://docs.google.com/spreadsheets/d/11923uPwbBZFjjGgGUA6NLw09EwE0CqkOc4q9oUmW1yo/edit?usp=sharing"",""พะเยา!M332"")"),76896)</f>
        <v>76896</v>
      </c>
      <c r="O437" s="170">
        <f t="shared" ca="1" si="114"/>
        <v>51.264000000000003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IFERROR(__xludf.DUMMYFUNCTION("IMPORTRANGE(""https://docs.google.com/spreadsheets/d/11923uPwbBZFjjGgGUA6NLw09EwE0CqkOc4q9oUmW1yo/edit?usp=sharing"",""พะเยา!L333"")"),0)</f>
        <v>0</v>
      </c>
      <c r="M438" s="170"/>
      <c r="N438" s="170">
        <f ca="1">IFERROR(__xludf.DUMMYFUNCTION("IMPORTRANGE(""https://docs.google.com/spreadsheets/d/11923uPwbBZFjjGgGUA6NLw09EwE0CqkOc4q9oUmW1yo/edit?usp=sharing"",""พะเยา!M333"")"),0)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IFERROR(__xludf.DUMMYFUNCTION("IMPORTRANGE(""https://docs.google.com/spreadsheets/d/11923uPwbBZFjjGgGUA6NLw09EwE0CqkOc4q9oUmW1yo/edit?usp=sharing"",""พะเยา!L334"")"),150000)</f>
        <v>150000</v>
      </c>
      <c r="M439" s="170"/>
      <c r="N439" s="170">
        <f ca="1">IFERROR(__xludf.DUMMYFUNCTION("IMPORTRANGE(""https://docs.google.com/spreadsheets/d/11923uPwbBZFjjGgGUA6NLw09EwE0CqkOc4q9oUmW1yo/edit?usp=sharing"",""พะเยา!M334"")"),76896)</f>
        <v>76896</v>
      </c>
      <c r="O439" s="170">
        <f t="shared" ca="1" si="114"/>
        <v>51.264000000000003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IFERROR(__xludf.DUMMYFUNCTION("IMPORTRANGE(""https://docs.google.com/spreadsheets/d/11923uPwbBZFjjGgGUA6NLw09EwE0CqkOc4q9oUmW1yo/edit?usp=sharing"",""พะเยา!M335"")"),62958)</f>
        <v>62958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IFERROR(__xludf.DUMMYFUNCTION("IMPORTRANGE(""https://docs.google.com/spreadsheets/d/11923uPwbBZFjjGgGUA6NLw09EwE0CqkOc4q9oUmW1yo/edit?usp=sharing"",""พะเยา!M336"")"),0)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IFERROR(__xludf.DUMMYFUNCTION("IMPORTRANGE(""https://docs.google.com/spreadsheets/d/11923uPwbBZFjjGgGUA6NLw09EwE0CqkOc4q9oUmW1yo/edit?usp=sharing"",""พะเยา!M337"")"),0)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IFERROR(__xludf.DUMMYFUNCTION("IMPORTRANGE(""https://docs.google.com/spreadsheets/d/11923uPwbBZFjjGgGUA6NLw09EwE0CqkOc4q9oUmW1yo/edit?usp=sharing"",""พะเยา!M338"")"),13938)</f>
        <v>13938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IFERROR(__xludf.DUMMYFUNCTION("IMPORTRANGE(""https://docs.google.com/spreadsheets/d/11923uPwbBZFjjGgGUA6NLw09EwE0CqkOc4q9oUmW1yo/edit?usp=sharing"",""พะเยา!J340"")"),0)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IFERROR(__xludf.DUMMYFUNCTION("IMPORTRANGE(""https://docs.google.com/spreadsheets/d/11923uPwbBZFjjGgGUA6NLw09EwE0CqkOc4q9oUmW1yo/edit?usp=sharing"",""พะเยา!J341"")"),1)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IFERROR(__xludf.DUMMYFUNCTION("IMPORTRANGE(""https://docs.google.com/spreadsheets/d/11923uPwbBZFjjGgGUA6NLw09EwE0CqkOc4q9oUmW1yo/edit?usp=sharing"",""พะเยา!J342"")"),1)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IFERROR(__xludf.DUMMYFUNCTION("IMPORTRANGE(""https://docs.google.com/spreadsheets/d/11923uPwbBZFjjGgGUA6NLw09EwE0CqkOc4q9oUmW1yo/edit?usp=sharing"",""พะเยา!J343"")"),1)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IFERROR(__xludf.DUMMYFUNCTION("IMPORTRANGE(""https://docs.google.com/spreadsheets/d/11923uPwbBZFjjGgGUA6NLw09EwE0CqkOc4q9oUmW1yo/edit?usp=sharing"",""พะเยา!I344"")"),43)</f>
        <v>43</v>
      </c>
      <c r="J449" s="202">
        <f ca="1">IFERROR(__xludf.DUMMYFUNCTION("IMPORTRANGE(""https://docs.google.com/spreadsheets/d/11923uPwbBZFjjGgGUA6NLw09EwE0CqkOc4q9oUmW1yo/edit?usp=sharing"",""พะเยา!J344"")"),43)</f>
        <v>43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IFERROR(__xludf.DUMMYFUNCTION("IMPORTRANGE(""https://docs.google.com/spreadsheets/d/11923uPwbBZFjjGgGUA6NLw09EwE0CqkOc4q9oUmW1yo/edit?usp=sharing"",""พะเยา!I345"")"),43)</f>
        <v>43</v>
      </c>
      <c r="J450" s="190">
        <f ca="1">IFERROR(__xludf.DUMMYFUNCTION("IMPORTRANGE(""https://docs.google.com/spreadsheets/d/11923uPwbBZFjjGgGUA6NLw09EwE0CqkOc4q9oUmW1yo/edit?usp=sharing"",""พะเยา!J345"")"),43)</f>
        <v>43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IFERROR(__xludf.DUMMYFUNCTION("IMPORTRANGE(""https://docs.google.com/spreadsheets/d/11923uPwbBZFjjGgGUA6NLw09EwE0CqkOc4q9oUmW1yo/edit?usp=sharing"",""พะเยา!I346"")"),0)</f>
        <v>0</v>
      </c>
      <c r="J451" s="189">
        <f ca="1">IFERROR(__xludf.DUMMYFUNCTION("IMPORTRANGE(""https://docs.google.com/spreadsheets/d/11923uPwbBZFjjGgGUA6NLw09EwE0CqkOc4q9oUmW1yo/edit?usp=sharing"",""พะเยา!J346"")"),0)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hidden="1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IFERROR(__xludf.DUMMYFUNCTION("IMPORTRANGE(""https://docs.google.com/spreadsheets/d/11923uPwbBZFjjGgGUA6NLw09EwE0CqkOc4q9oUmW1yo/edit?usp=sharing"",""พะเยา!I347"")"),0)</f>
        <v>0</v>
      </c>
      <c r="J452" s="189">
        <f ca="1">IFERROR(__xludf.DUMMYFUNCTION("IMPORTRANGE(""https://docs.google.com/spreadsheets/d/11923uPwbBZFjjGgGUA6NLw09EwE0CqkOc4q9oUmW1yo/edit?usp=sharing"",""พะเยา!J347"")"),0)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IFERROR(__xludf.DUMMYFUNCTION("IMPORTRANGE(""https://docs.google.com/spreadsheets/d/11923uPwbBZFjjGgGUA6NLw09EwE0CqkOc4q9oUmW1yo/edit?usp=sharing"",""พะเยา!J348"")"),0)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IFERROR(__xludf.DUMMYFUNCTION("IMPORTRANGE(""https://docs.google.com/spreadsheets/d/11923uPwbBZFjjGgGUA6NLw09EwE0CqkOc4q9oUmW1yo/edit?usp=sharing"",""พะเยา!J349"")"),0)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IFERROR(__xludf.DUMMYFUNCTION("IMPORTRANGE(""https://docs.google.com/spreadsheets/d/11923uPwbBZFjjGgGUA6NLw09EwE0CqkOc4q9oUmW1yo/edit?usp=sharing"",""พะเยา!I350"")"),31127)</f>
        <v>31127</v>
      </c>
      <c r="J455" s="372">
        <f ca="1">IFERROR(__xludf.DUMMYFUNCTION("IMPORTRANGE(""https://docs.google.com/spreadsheets/d/11923uPwbBZFjjGgGUA6NLw09EwE0CqkOc4q9oUmW1yo/edit?usp=sharing"",""พะเยา!J350"")"),0)</f>
        <v>0</v>
      </c>
      <c r="K455" s="373">
        <f ca="1">IF(I455&gt;0,J455*100/I455,0)</f>
        <v>0</v>
      </c>
      <c r="L455" s="374">
        <f ca="1">IFERROR(__xludf.DUMMYFUNCTION("IMPORTRANGE(""https://docs.google.com/spreadsheets/d/11923uPwbBZFjjGgGUA6NLw09EwE0CqkOc4q9oUmW1yo/edit?usp=sharing"",""พะเยา!L350"")"),403546)</f>
        <v>403546</v>
      </c>
      <c r="M455" s="374"/>
      <c r="N455" s="374">
        <f ca="1">IFERROR(__xludf.DUMMYFUNCTION("IMPORTRANGE(""https://docs.google.com/spreadsheets/d/11923uPwbBZFjjGgGUA6NLw09EwE0CqkOc4q9oUmW1yo/edit?usp=sharing"",""พะเยา!M350"")"),213403.85)</f>
        <v>213403.85</v>
      </c>
      <c r="O455" s="374">
        <f t="shared" ref="O455:O459" ca="1" si="116">+IF(L455&gt;0,N455*100/L455,0)</f>
        <v>52.882162132693672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IFERROR(__xludf.DUMMYFUNCTION("IMPORTRANGE(""https://docs.google.com/spreadsheets/d/11923uPwbBZFjjGgGUA6NLw09EwE0CqkOc4q9oUmW1yo/edit?usp=sharing"",""พะเยา!L351"")"),0)</f>
        <v>0</v>
      </c>
      <c r="M456" s="166"/>
      <c r="N456" s="170">
        <f ca="1">IFERROR(__xludf.DUMMYFUNCTION("IMPORTRANGE(""https://docs.google.com/spreadsheets/d/11923uPwbBZFjjGgGUA6NLw09EwE0CqkOc4q9oUmW1yo/edit?usp=sharing"",""พะเยา!M351"")"),0)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IFERROR(__xludf.DUMMYFUNCTION("IMPORTRANGE(""https://docs.google.com/spreadsheets/d/11923uPwbBZFjjGgGUA6NLw09EwE0CqkOc4q9oUmW1yo/edit?usp=sharing"",""พะเยา!L352"")"),403546)</f>
        <v>403546</v>
      </c>
      <c r="M457" s="167"/>
      <c r="N457" s="170">
        <f ca="1">IFERROR(__xludf.DUMMYFUNCTION("IMPORTRANGE(""https://docs.google.com/spreadsheets/d/11923uPwbBZFjjGgGUA6NLw09EwE0CqkOc4q9oUmW1yo/edit?usp=sharing"",""พะเยา!M352"")"),213403.85)</f>
        <v>213403.85</v>
      </c>
      <c r="O457" s="170">
        <f t="shared" ca="1" si="116"/>
        <v>52.882162132693672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IFERROR(__xludf.DUMMYFUNCTION("IMPORTRANGE(""https://docs.google.com/spreadsheets/d/11923uPwbBZFjjGgGUA6NLw09EwE0CqkOc4q9oUmW1yo/edit?usp=sharing"",""พะเยา!L353"")"),0)</f>
        <v>0</v>
      </c>
      <c r="M458" s="170"/>
      <c r="N458" s="170">
        <f ca="1">IFERROR(__xludf.DUMMYFUNCTION("IMPORTRANGE(""https://docs.google.com/spreadsheets/d/11923uPwbBZFjjGgGUA6NLw09EwE0CqkOc4q9oUmW1yo/edit?usp=sharing"",""พะเยา!M353"")"),0)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IFERROR(__xludf.DUMMYFUNCTION("IMPORTRANGE(""https://docs.google.com/spreadsheets/d/11923uPwbBZFjjGgGUA6NLw09EwE0CqkOc4q9oUmW1yo/edit?usp=sharing"",""พะเยา!L354"")"),403546)</f>
        <v>403546</v>
      </c>
      <c r="M459" s="170"/>
      <c r="N459" s="170">
        <f ca="1">IFERROR(__xludf.DUMMYFUNCTION("IMPORTRANGE(""https://docs.google.com/spreadsheets/d/11923uPwbBZFjjGgGUA6NLw09EwE0CqkOc4q9oUmW1yo/edit?usp=sharing"",""พะเยา!M354"")"),213403.85)</f>
        <v>213403.85</v>
      </c>
      <c r="O459" s="170">
        <f t="shared" ca="1" si="116"/>
        <v>52.882162132693672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IFERROR(__xludf.DUMMYFUNCTION("IMPORTRANGE(""https://docs.google.com/spreadsheets/d/11923uPwbBZFjjGgGUA6NLw09EwE0CqkOc4q9oUmW1yo/edit?usp=sharing"",""พะเยา!M355"")"),0)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IFERROR(__xludf.DUMMYFUNCTION("IMPORTRANGE(""https://docs.google.com/spreadsheets/d/11923uPwbBZFjjGgGUA6NLw09EwE0CqkOc4q9oUmW1yo/edit?usp=sharing"",""พะเยา!M356"")"),0)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IFERROR(__xludf.DUMMYFUNCTION("IMPORTRANGE(""https://docs.google.com/spreadsheets/d/11923uPwbBZFjjGgGUA6NLw09EwE0CqkOc4q9oUmW1yo/edit?usp=sharing"",""พะเยา!M357"")"),64619.35)</f>
        <v>64619.35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IFERROR(__xludf.DUMMYFUNCTION("IMPORTRANGE(""https://docs.google.com/spreadsheets/d/11923uPwbBZFjjGgGUA6NLw09EwE0CqkOc4q9oUmW1yo/edit?usp=sharing"",""พะเยา!M358"")"),148784.5)</f>
        <v>148784.5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IFERROR(__xludf.DUMMYFUNCTION("IMPORTRANGE(""https://docs.google.com/spreadsheets/d/11923uPwbBZFjjGgGUA6NLw09EwE0CqkOc4q9oUmW1yo/edit?usp=sharing"",""พะเยา!I359"")"),31127)</f>
        <v>31127</v>
      </c>
      <c r="J464" s="268">
        <f ca="1">IFERROR(__xludf.DUMMYFUNCTION("IMPORTRANGE(""https://docs.google.com/spreadsheets/d/11923uPwbBZFjjGgGUA6NLw09EwE0CqkOc4q9oUmW1yo/edit?usp=sharing"",""พะเยา!J359"")"),0)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IFERROR(__xludf.DUMMYFUNCTION("IMPORTRANGE(""https://docs.google.com/spreadsheets/d/11923uPwbBZFjjGgGUA6NLw09EwE0CqkOc4q9oUmW1yo/edit?usp=sharing"",""พะเยา!I360"")"),31127)</f>
        <v>31127</v>
      </c>
      <c r="J465" s="422">
        <f ca="1">IFERROR(__xludf.DUMMYFUNCTION("IMPORTRANGE(""https://docs.google.com/spreadsheets/d/11923uPwbBZFjjGgGUA6NLw09EwE0CqkOc4q9oUmW1yo/edit?usp=sharing"",""พะเยา!J360"")"),31127)</f>
        <v>31127</v>
      </c>
      <c r="K465" s="203">
        <f t="shared" ca="1" si="117"/>
        <v>100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IFERROR(__xludf.DUMMYFUNCTION("IMPORTRANGE(""https://docs.google.com/spreadsheets/d/11923uPwbBZFjjGgGUA6NLw09EwE0CqkOc4q9oUmW1yo/edit?usp=sharing"",""พะเยา!I361"")"),5512)</f>
        <v>5512</v>
      </c>
      <c r="J466" s="422">
        <f ca="1">IFERROR(__xludf.DUMMYFUNCTION("IMPORTRANGE(""https://docs.google.com/spreadsheets/d/11923uPwbBZFjjGgGUA6NLw09EwE0CqkOc4q9oUmW1yo/edit?usp=sharing"",""พะเยา!J361"")"),5512)</f>
        <v>5512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IFERROR(__xludf.DUMMYFUNCTION("IMPORTRANGE(""https://docs.google.com/spreadsheets/d/11923uPwbBZFjjGgGUA6NLw09EwE0CqkOc4q9oUmW1yo/edit?usp=sharing"",""พะเยา!I362"")"),0)</f>
        <v>0</v>
      </c>
      <c r="J467" s="190">
        <f ca="1">IFERROR(__xludf.DUMMYFUNCTION("IMPORTRANGE(""https://docs.google.com/spreadsheets/d/11923uPwbBZFjjGgGUA6NLw09EwE0CqkOc4q9oUmW1yo/edit?usp=sharing"",""พะเยา!J362"")"),22933)</f>
        <v>22933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IFERROR(__xludf.DUMMYFUNCTION("IMPORTRANGE(""https://docs.google.com/spreadsheets/d/11923uPwbBZFjjGgGUA6NLw09EwE0CqkOc4q9oUmW1yo/edit?usp=sharing"",""พะเยา!I363"")"),0)</f>
        <v>0</v>
      </c>
      <c r="J468" s="190">
        <f ca="1">IFERROR(__xludf.DUMMYFUNCTION("IMPORTRANGE(""https://docs.google.com/spreadsheets/d/11923uPwbBZFjjGgGUA6NLw09EwE0CqkOc4q9oUmW1yo/edit?usp=sharing"",""พะเยา!J363"")"),4298)</f>
        <v>4298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IFERROR(__xludf.DUMMYFUNCTION("IMPORTRANGE(""https://docs.google.com/spreadsheets/d/11923uPwbBZFjjGgGUA6NLw09EwE0CqkOc4q9oUmW1yo/edit?usp=sharing"",""พะเยา!I364"")"),0)</f>
        <v>0</v>
      </c>
      <c r="J469" s="190">
        <f ca="1">IFERROR(__xludf.DUMMYFUNCTION("IMPORTRANGE(""https://docs.google.com/spreadsheets/d/11923uPwbBZFjjGgGUA6NLw09EwE0CqkOc4q9oUmW1yo/edit?usp=sharing"",""พะเยา!J364"")"),7504)</f>
        <v>7504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IFERROR(__xludf.DUMMYFUNCTION("IMPORTRANGE(""https://docs.google.com/spreadsheets/d/11923uPwbBZFjjGgGUA6NLw09EwE0CqkOc4q9oUmW1yo/edit?usp=sharing"",""พะเยา!I365"")"),0)</f>
        <v>0</v>
      </c>
      <c r="J470" s="190">
        <f ca="1">IFERROR(__xludf.DUMMYFUNCTION("IMPORTRANGE(""https://docs.google.com/spreadsheets/d/11923uPwbBZFjjGgGUA6NLw09EwE0CqkOc4q9oUmW1yo/edit?usp=sharing"",""พะเยา!J365"")"),1088)</f>
        <v>1088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IFERROR(__xludf.DUMMYFUNCTION("IMPORTRANGE(""https://docs.google.com/spreadsheets/d/11923uPwbBZFjjGgGUA6NLw09EwE0CqkOc4q9oUmW1yo/edit?usp=sharing"",""พะเยา!I366"")"),0)</f>
        <v>0</v>
      </c>
      <c r="J471" s="190">
        <f ca="1">IFERROR(__xludf.DUMMYFUNCTION("IMPORTRANGE(""https://docs.google.com/spreadsheets/d/11923uPwbBZFjjGgGUA6NLw09EwE0CqkOc4q9oUmW1yo/edit?usp=sharing"",""พะเยา!J366"")"),690)</f>
        <v>690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IFERROR(__xludf.DUMMYFUNCTION("IMPORTRANGE(""https://docs.google.com/spreadsheets/d/11923uPwbBZFjjGgGUA6NLw09EwE0CqkOc4q9oUmW1yo/edit?usp=sharing"",""พะเยา!I367"")"),0)</f>
        <v>0</v>
      </c>
      <c r="J472" s="190">
        <f ca="1">IFERROR(__xludf.DUMMYFUNCTION("IMPORTRANGE(""https://docs.google.com/spreadsheets/d/11923uPwbBZFjjGgGUA6NLw09EwE0CqkOc4q9oUmW1yo/edit?usp=sharing"",""พะเยา!J367"")"),126)</f>
        <v>126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IFERROR(__xludf.DUMMYFUNCTION("IMPORTRANGE(""https://docs.google.com/spreadsheets/d/11923uPwbBZFjjGgGUA6NLw09EwE0CqkOc4q9oUmW1yo/edit?usp=sharing"",""พะเยา!I368"")"),31127)</f>
        <v>31127</v>
      </c>
      <c r="J473" s="422">
        <f ca="1">IFERROR(__xludf.DUMMYFUNCTION("IMPORTRANGE(""https://docs.google.com/spreadsheets/d/11923uPwbBZFjjGgGUA6NLw09EwE0CqkOc4q9oUmW1yo/edit?usp=sharing"",""พะเยา!J368"")"),31126)</f>
        <v>31126</v>
      </c>
      <c r="K473" s="203">
        <f t="shared" ca="1" si="117"/>
        <v>99.996787355029397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IFERROR(__xludf.DUMMYFUNCTION("IMPORTRANGE(""https://docs.google.com/spreadsheets/d/11923uPwbBZFjjGgGUA6NLw09EwE0CqkOc4q9oUmW1yo/edit?usp=sharing"",""พะเยา!I369"")"),5512)</f>
        <v>5512</v>
      </c>
      <c r="J474" s="422">
        <f ca="1">IFERROR(__xludf.DUMMYFUNCTION("IMPORTRANGE(""https://docs.google.com/spreadsheets/d/11923uPwbBZFjjGgGUA6NLw09EwE0CqkOc4q9oUmW1yo/edit?usp=sharing"",""พะเยา!J369"")"),5512)</f>
        <v>5512</v>
      </c>
      <c r="K474" s="165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IFERROR(__xludf.DUMMYFUNCTION("IMPORTRANGE(""https://docs.google.com/spreadsheets/d/11923uPwbBZFjjGgGUA6NLw09EwE0CqkOc4q9oUmW1yo/edit?usp=sharing"",""พะเยา!I370"")"),0)</f>
        <v>0</v>
      </c>
      <c r="J475" s="190">
        <f ca="1">IFERROR(__xludf.DUMMYFUNCTION("IMPORTRANGE(""https://docs.google.com/spreadsheets/d/11923uPwbBZFjjGgGUA6NLw09EwE0CqkOc4q9oUmW1yo/edit?usp=sharing"",""พะเยา!J370"")"),23921)</f>
        <v>23921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IFERROR(__xludf.DUMMYFUNCTION("IMPORTRANGE(""https://docs.google.com/spreadsheets/d/11923uPwbBZFjjGgGUA6NLw09EwE0CqkOc4q9oUmW1yo/edit?usp=sharing"",""พะเยา!I371"")"),0)</f>
        <v>0</v>
      </c>
      <c r="J476" s="190">
        <f ca="1">IFERROR(__xludf.DUMMYFUNCTION("IMPORTRANGE(""https://docs.google.com/spreadsheets/d/11923uPwbBZFjjGgGUA6NLw09EwE0CqkOc4q9oUmW1yo/edit?usp=sharing"",""พะเยา!J371"")"),4453)</f>
        <v>4453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IFERROR(__xludf.DUMMYFUNCTION("IMPORTRANGE(""https://docs.google.com/spreadsheets/d/11923uPwbBZFjjGgGUA6NLw09EwE0CqkOc4q9oUmW1yo/edit?usp=sharing"",""พะเยา!I372"")"),0)</f>
        <v>0</v>
      </c>
      <c r="J477" s="190">
        <f ca="1">IFERROR(__xludf.DUMMYFUNCTION("IMPORTRANGE(""https://docs.google.com/spreadsheets/d/11923uPwbBZFjjGgGUA6NLw09EwE0CqkOc4q9oUmW1yo/edit?usp=sharing"",""พะเยา!J372"")"),6752)</f>
        <v>6752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IFERROR(__xludf.DUMMYFUNCTION("IMPORTRANGE(""https://docs.google.com/spreadsheets/d/11923uPwbBZFjjGgGUA6NLw09EwE0CqkOc4q9oUmW1yo/edit?usp=sharing"",""พะเยา!I373"")"),0)</f>
        <v>0</v>
      </c>
      <c r="J478" s="190">
        <f ca="1">IFERROR(__xludf.DUMMYFUNCTION("IMPORTRANGE(""https://docs.google.com/spreadsheets/d/11923uPwbBZFjjGgGUA6NLw09EwE0CqkOc4q9oUmW1yo/edit?usp=sharing"",""พะเยา!J373"")"),989)</f>
        <v>989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IFERROR(__xludf.DUMMYFUNCTION("IMPORTRANGE(""https://docs.google.com/spreadsheets/d/11923uPwbBZFjjGgGUA6NLw09EwE0CqkOc4q9oUmW1yo/edit?usp=sharing"",""พะเยา!I374"")"),0)</f>
        <v>0</v>
      </c>
      <c r="J479" s="190">
        <f ca="1">IFERROR(__xludf.DUMMYFUNCTION("IMPORTRANGE(""https://docs.google.com/spreadsheets/d/11923uPwbBZFjjGgGUA6NLw09EwE0CqkOc4q9oUmW1yo/edit?usp=sharing"",""พะเยา!J374"")"),453)</f>
        <v>453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IFERROR(__xludf.DUMMYFUNCTION("IMPORTRANGE(""https://docs.google.com/spreadsheets/d/11923uPwbBZFjjGgGUA6NLw09EwE0CqkOc4q9oUmW1yo/edit?usp=sharing"",""พะเยา!I375"")"),0)</f>
        <v>0</v>
      </c>
      <c r="J480" s="190">
        <f ca="1">IFERROR(__xludf.DUMMYFUNCTION("IMPORTRANGE(""https://docs.google.com/spreadsheets/d/11923uPwbBZFjjGgGUA6NLw09EwE0CqkOc4q9oUmW1yo/edit?usp=sharing"",""พะเยา!J375"")"),70)</f>
        <v>70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IFERROR(__xludf.DUMMYFUNCTION("IMPORTRANGE(""https://docs.google.com/spreadsheets/d/11923uPwbBZFjjGgGUA6NLw09EwE0CqkOc4q9oUmW1yo/edit?usp=sharing"",""พะเยา!I376"")"),31127)</f>
        <v>31127</v>
      </c>
      <c r="J481" s="422">
        <f ca="1">IFERROR(__xludf.DUMMYFUNCTION("IMPORTRANGE(""https://docs.google.com/spreadsheets/d/11923uPwbBZFjjGgGUA6NLw09EwE0CqkOc4q9oUmW1yo/edit?usp=sharing"",""พะเยา!J376"")"),0)</f>
        <v>0</v>
      </c>
      <c r="K481" s="203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IFERROR(__xludf.DUMMYFUNCTION("IMPORTRANGE(""https://docs.google.com/spreadsheets/d/11923uPwbBZFjjGgGUA6NLw09EwE0CqkOc4q9oUmW1yo/edit?usp=sharing"",""พะเยา!I377"")"),5512)</f>
        <v>5512</v>
      </c>
      <c r="J482" s="422">
        <f ca="1">IFERROR(__xludf.DUMMYFUNCTION("IMPORTRANGE(""https://docs.google.com/spreadsheets/d/11923uPwbBZFjjGgGUA6NLw09EwE0CqkOc4q9oUmW1yo/edit?usp=sharing"",""พะเยา!J377"")"),0)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IFERROR(__xludf.DUMMYFUNCTION("IMPORTRANGE(""https://docs.google.com/spreadsheets/d/11923uPwbBZFjjGgGUA6NLw09EwE0CqkOc4q9oUmW1yo/edit?usp=sharing"",""พะเยา!I378"")"),0)</f>
        <v>0</v>
      </c>
      <c r="J483" s="190">
        <f ca="1">IFERROR(__xludf.DUMMYFUNCTION("IMPORTRANGE(""https://docs.google.com/spreadsheets/d/11923uPwbBZFjjGgGUA6NLw09EwE0CqkOc4q9oUmW1yo/edit?usp=sharing"",""พะเยา!J378"")"),0)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IFERROR(__xludf.DUMMYFUNCTION("IMPORTRANGE(""https://docs.google.com/spreadsheets/d/11923uPwbBZFjjGgGUA6NLw09EwE0CqkOc4q9oUmW1yo/edit?usp=sharing"",""พะเยา!I379"")"),0)</f>
        <v>0</v>
      </c>
      <c r="J484" s="190">
        <f ca="1">IFERROR(__xludf.DUMMYFUNCTION("IMPORTRANGE(""https://docs.google.com/spreadsheets/d/11923uPwbBZFjjGgGUA6NLw09EwE0CqkOc4q9oUmW1yo/edit?usp=sharing"",""พะเยา!J379"")"),0)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IFERROR(__xludf.DUMMYFUNCTION("IMPORTRANGE(""https://docs.google.com/spreadsheets/d/11923uPwbBZFjjGgGUA6NLw09EwE0CqkOc4q9oUmW1yo/edit?usp=sharing"",""พะเยา!I380"")"),0)</f>
        <v>0</v>
      </c>
      <c r="J485" s="190">
        <f ca="1">IFERROR(__xludf.DUMMYFUNCTION("IMPORTRANGE(""https://docs.google.com/spreadsheets/d/11923uPwbBZFjjGgGUA6NLw09EwE0CqkOc4q9oUmW1yo/edit?usp=sharing"",""พะเยา!J380"")"),0)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IFERROR(__xludf.DUMMYFUNCTION("IMPORTRANGE(""https://docs.google.com/spreadsheets/d/11923uPwbBZFjjGgGUA6NLw09EwE0CqkOc4q9oUmW1yo/edit?usp=sharing"",""พะเยา!I381"")"),0)</f>
        <v>0</v>
      </c>
      <c r="J486" s="190">
        <f ca="1">IFERROR(__xludf.DUMMYFUNCTION("IMPORTRANGE(""https://docs.google.com/spreadsheets/d/11923uPwbBZFjjGgGUA6NLw09EwE0CqkOc4q9oUmW1yo/edit?usp=sharing"",""พะเยา!J381"")"),0)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IFERROR(__xludf.DUMMYFUNCTION("IMPORTRANGE(""https://docs.google.com/spreadsheets/d/11923uPwbBZFjjGgGUA6NLw09EwE0CqkOc4q9oUmW1yo/edit?usp=sharing"",""พะเยา!I382"")"),0)</f>
        <v>0</v>
      </c>
      <c r="J487" s="422">
        <f ca="1">IFERROR(__xludf.DUMMYFUNCTION("IMPORTRANGE(""https://docs.google.com/spreadsheets/d/11923uPwbBZFjjGgGUA6NLw09EwE0CqkOc4q9oUmW1yo/edit?usp=sharing"",""พะเยา!J382"")"),0)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IFERROR(__xludf.DUMMYFUNCTION("IMPORTRANGE(""https://docs.google.com/spreadsheets/d/11923uPwbBZFjjGgGUA6NLw09EwE0CqkOc4q9oUmW1yo/edit?usp=sharing"",""พะเยา!I383"")"),0)</f>
        <v>0</v>
      </c>
      <c r="J488" s="422">
        <f ca="1">IFERROR(__xludf.DUMMYFUNCTION("IMPORTRANGE(""https://docs.google.com/spreadsheets/d/11923uPwbBZFjjGgGUA6NLw09EwE0CqkOc4q9oUmW1yo/edit?usp=sharing"",""พะเยา!J383"")"),0)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IFERROR(__xludf.DUMMYFUNCTION("IMPORTRANGE(""https://docs.google.com/spreadsheets/d/11923uPwbBZFjjGgGUA6NLw09EwE0CqkOc4q9oUmW1yo/edit?usp=sharing"",""พะเยา!I384"")"),0)</f>
        <v>0</v>
      </c>
      <c r="J489" s="190">
        <f ca="1">IFERROR(__xludf.DUMMYFUNCTION("IMPORTRANGE(""https://docs.google.com/spreadsheets/d/11923uPwbBZFjjGgGUA6NLw09EwE0CqkOc4q9oUmW1yo/edit?usp=sharing"",""พะเยา!J384"")"),0)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IFERROR(__xludf.DUMMYFUNCTION("IMPORTRANGE(""https://docs.google.com/spreadsheets/d/11923uPwbBZFjjGgGUA6NLw09EwE0CqkOc4q9oUmW1yo/edit?usp=sharing"",""พะเยา!I385"")"),0)</f>
        <v>0</v>
      </c>
      <c r="J490" s="190">
        <f ca="1">IFERROR(__xludf.DUMMYFUNCTION("IMPORTRANGE(""https://docs.google.com/spreadsheets/d/11923uPwbBZFjjGgGUA6NLw09EwE0CqkOc4q9oUmW1yo/edit?usp=sharing"",""พะเยา!J385"")"),0)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IFERROR(__xludf.DUMMYFUNCTION("IMPORTRANGE(""https://docs.google.com/spreadsheets/d/11923uPwbBZFjjGgGUA6NLw09EwE0CqkOc4q9oUmW1yo/edit?usp=sharing"",""พะเยา!I386"")"),0)</f>
        <v>0</v>
      </c>
      <c r="J491" s="190">
        <f ca="1">IFERROR(__xludf.DUMMYFUNCTION("IMPORTRANGE(""https://docs.google.com/spreadsheets/d/11923uPwbBZFjjGgGUA6NLw09EwE0CqkOc4q9oUmW1yo/edit?usp=sharing"",""พะเยา!J386"")"),0)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IFERROR(__xludf.DUMMYFUNCTION("IMPORTRANGE(""https://docs.google.com/spreadsheets/d/11923uPwbBZFjjGgGUA6NLw09EwE0CqkOc4q9oUmW1yo/edit?usp=sharing"",""พะเยา!I387"")"),0)</f>
        <v>0</v>
      </c>
      <c r="J492" s="190">
        <f ca="1">IFERROR(__xludf.DUMMYFUNCTION("IMPORTRANGE(""https://docs.google.com/spreadsheets/d/11923uPwbBZFjjGgGUA6NLw09EwE0CqkOc4q9oUmW1yo/edit?usp=sharing"",""พะเยา!J387"")"),0)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IFERROR(__xludf.DUMMYFUNCTION("IMPORTRANGE(""https://docs.google.com/spreadsheets/d/11923uPwbBZFjjGgGUA6NLw09EwE0CqkOc4q9oUmW1yo/edit?usp=sharing"",""พะเยา!I388"")"),0)</f>
        <v>0</v>
      </c>
      <c r="J493" s="190">
        <f ca="1">IFERROR(__xludf.DUMMYFUNCTION("IMPORTRANGE(""https://docs.google.com/spreadsheets/d/11923uPwbBZFjjGgGUA6NLw09EwE0CqkOc4q9oUmW1yo/edit?usp=sharing"",""พะเยา!J388"")"),0)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IFERROR(__xludf.DUMMYFUNCTION("IMPORTRANGE(""https://docs.google.com/spreadsheets/d/11923uPwbBZFjjGgGUA6NLw09EwE0CqkOc4q9oUmW1yo/edit?usp=sharing"",""พะเยา!I389"")"),0)</f>
        <v>0</v>
      </c>
      <c r="J494" s="438">
        <f ca="1">IFERROR(__xludf.DUMMYFUNCTION("IMPORTRANGE(""https://docs.google.com/spreadsheets/d/11923uPwbBZFjjGgGUA6NLw09EwE0CqkOc4q9oUmW1yo/edit?usp=sharing"",""พะเยา!J389"")"),0)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IFERROR(__xludf.DUMMYFUNCTION("IMPORTRANGE(""https://docs.google.com/spreadsheets/d/11923uPwbBZFjjGgGUA6NLw09EwE0CqkOc4q9oUmW1yo/edit?usp=sharing"",""พะเยา!I390"")"),0)</f>
        <v>0</v>
      </c>
      <c r="J495" s="438">
        <f ca="1">IFERROR(__xludf.DUMMYFUNCTION("IMPORTRANGE(""https://docs.google.com/spreadsheets/d/11923uPwbBZFjjGgGUA6NLw09EwE0CqkOc4q9oUmW1yo/edit?usp=sharing"",""พะเยา!J390"")"),0)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IFERROR(__xludf.DUMMYFUNCTION("IMPORTRANGE(""https://docs.google.com/spreadsheets/d/11923uPwbBZFjjGgGUA6NLw09EwE0CqkOc4q9oUmW1yo/edit?usp=sharing"",""พะเยา!I391"")"),0)</f>
        <v>0</v>
      </c>
      <c r="J496" s="438">
        <f ca="1">IFERROR(__xludf.DUMMYFUNCTION("IMPORTRANGE(""https://docs.google.com/spreadsheets/d/11923uPwbBZFjjGgGUA6NLw09EwE0CqkOc4q9oUmW1yo/edit?usp=sharing"",""พะเยา!J391"")"),0)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IFERROR(__xludf.DUMMYFUNCTION("IMPORTRANGE(""https://docs.google.com/spreadsheets/d/11923uPwbBZFjjGgGUA6NLw09EwE0CqkOc4q9oUmW1yo/edit?usp=sharing"",""พะเยา!I392"")"),100)</f>
        <v>100</v>
      </c>
      <c r="J497" s="445">
        <f ca="1">IFERROR(__xludf.DUMMYFUNCTION("IMPORTRANGE(""https://docs.google.com/spreadsheets/d/11923uPwbBZFjjGgGUA6NLw09EwE0CqkOc4q9oUmW1yo/edit?usp=sharing"",""พะเยา!J392"")"),6)</f>
        <v>6</v>
      </c>
      <c r="K497" s="446">
        <f t="shared" ca="1" si="117"/>
        <v>6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IFERROR(__xludf.DUMMYFUNCTION("IMPORTRANGE(""https://docs.google.com/spreadsheets/d/11923uPwbBZFjjGgGUA6NLw09EwE0CqkOc4q9oUmW1yo/edit?usp=sharing"",""พะเยา!I393"")"),100)</f>
        <v>100</v>
      </c>
      <c r="J498" s="422">
        <f ca="1">IFERROR(__xludf.DUMMYFUNCTION("IMPORTRANGE(""https://docs.google.com/spreadsheets/d/11923uPwbBZFjjGgGUA6NLw09EwE0CqkOc4q9oUmW1yo/edit?usp=sharing"",""พะเยา!J393"")"),6)</f>
        <v>6</v>
      </c>
      <c r="K498" s="165">
        <f t="shared" ca="1" si="117"/>
        <v>6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IFERROR(__xludf.DUMMYFUNCTION("IMPORTRANGE(""https://docs.google.com/spreadsheets/d/11923uPwbBZFjjGgGUA6NLw09EwE0CqkOc4q9oUmW1yo/edit?usp=sharing"",""พะเยา!I394"")"),20)</f>
        <v>20</v>
      </c>
      <c r="J499" s="422">
        <f ca="1">IFERROR(__xludf.DUMMYFUNCTION("IMPORTRANGE(""https://docs.google.com/spreadsheets/d/11923uPwbBZFjjGgGUA6NLw09EwE0CqkOc4q9oUmW1yo/edit?usp=sharing"",""พะเยา!J394"")"),2)</f>
        <v>2</v>
      </c>
      <c r="K499" s="203">
        <f t="shared" ca="1" si="117"/>
        <v>10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IFERROR(__xludf.DUMMYFUNCTION("IMPORTRANGE(""https://docs.google.com/spreadsheets/d/11923uPwbBZFjjGgGUA6NLw09EwE0CqkOc4q9oUmW1yo/edit?usp=sharing"",""พะเยา!I395"")"),0)</f>
        <v>0</v>
      </c>
      <c r="J500" s="164">
        <f ca="1">IFERROR(__xludf.DUMMYFUNCTION("IMPORTRANGE(""https://docs.google.com/spreadsheets/d/11923uPwbBZFjjGgGUA6NLw09EwE0CqkOc4q9oUmW1yo/edit?usp=sharing"",""พะเยา!J395"")"),0)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IFERROR(__xludf.DUMMYFUNCTION("IMPORTRANGE(""https://docs.google.com/spreadsheets/d/11923uPwbBZFjjGgGUA6NLw09EwE0CqkOc4q9oUmW1yo/edit?usp=sharing"",""พะเยา!I396"")"),0)</f>
        <v>0</v>
      </c>
      <c r="J501" s="164">
        <f ca="1">IFERROR(__xludf.DUMMYFUNCTION("IMPORTRANGE(""https://docs.google.com/spreadsheets/d/11923uPwbBZFjjGgGUA6NLw09EwE0CqkOc4q9oUmW1yo/edit?usp=sharing"",""พะเยา!J396"")"),0)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IFERROR(__xludf.DUMMYFUNCTION("IMPORTRANGE(""https://docs.google.com/spreadsheets/d/11923uPwbBZFjjGgGUA6NLw09EwE0CqkOc4q9oUmW1yo/edit?usp=sharing"",""พะเยา!I397"")"),0)</f>
        <v>0</v>
      </c>
      <c r="J502" s="190">
        <f ca="1">IFERROR(__xludf.DUMMYFUNCTION("IMPORTRANGE(""https://docs.google.com/spreadsheets/d/11923uPwbBZFjjGgGUA6NLw09EwE0CqkOc4q9oUmW1yo/edit?usp=sharing"",""พะเยา!J397"")"),0)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IFERROR(__xludf.DUMMYFUNCTION("IMPORTRANGE(""https://docs.google.com/spreadsheets/d/11923uPwbBZFjjGgGUA6NLw09EwE0CqkOc4q9oUmW1yo/edit?usp=sharing"",""พะเยา!I398"")"),0)</f>
        <v>0</v>
      </c>
      <c r="J503" s="199">
        <f ca="1">IFERROR(__xludf.DUMMYFUNCTION("IMPORTRANGE(""https://docs.google.com/spreadsheets/d/11923uPwbBZFjjGgGUA6NLw09EwE0CqkOc4q9oUmW1yo/edit?usp=sharing"",""พะเยา!J398"")"),0)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IFERROR(__xludf.DUMMYFUNCTION("IMPORTRANGE(""https://docs.google.com/spreadsheets/d/11923uPwbBZFjjGgGUA6NLw09EwE0CqkOc4q9oUmW1yo/edit?usp=sharing"",""พะเยา!I399"")"),0)</f>
        <v>0</v>
      </c>
      <c r="J504" s="190">
        <f ca="1">IFERROR(__xludf.DUMMYFUNCTION("IMPORTRANGE(""https://docs.google.com/spreadsheets/d/11923uPwbBZFjjGgGUA6NLw09EwE0CqkOc4q9oUmW1yo/edit?usp=sharing"",""พะเยา!J399"")"),0)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IFERROR(__xludf.DUMMYFUNCTION("IMPORTRANGE(""https://docs.google.com/spreadsheets/d/11923uPwbBZFjjGgGUA6NLw09EwE0CqkOc4q9oUmW1yo/edit?usp=sharing"",""พะเยา!I400"")"),0)</f>
        <v>0</v>
      </c>
      <c r="J505" s="199">
        <f ca="1">IFERROR(__xludf.DUMMYFUNCTION("IMPORTRANGE(""https://docs.google.com/spreadsheets/d/11923uPwbBZFjjGgGUA6NLw09EwE0CqkOc4q9oUmW1yo/edit?usp=sharing"",""พะเยา!J400"")"),0)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IFERROR(__xludf.DUMMYFUNCTION("IMPORTRANGE(""https://docs.google.com/spreadsheets/d/11923uPwbBZFjjGgGUA6NLw09EwE0CqkOc4q9oUmW1yo/edit?usp=sharing"",""พะเยา!I401"")"),0)</f>
        <v>0</v>
      </c>
      <c r="J506" s="190">
        <f ca="1">IFERROR(__xludf.DUMMYFUNCTION("IMPORTRANGE(""https://docs.google.com/spreadsheets/d/11923uPwbBZFjjGgGUA6NLw09EwE0CqkOc4q9oUmW1yo/edit?usp=sharing"",""พะเยา!J401"")"),0)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IFERROR(__xludf.DUMMYFUNCTION("IMPORTRANGE(""https://docs.google.com/spreadsheets/d/11923uPwbBZFjjGgGUA6NLw09EwE0CqkOc4q9oUmW1yo/edit?usp=sharing"",""พะเยา!I402"")"),0)</f>
        <v>0</v>
      </c>
      <c r="J507" s="199">
        <f ca="1">IFERROR(__xludf.DUMMYFUNCTION("IMPORTRANGE(""https://docs.google.com/spreadsheets/d/11923uPwbBZFjjGgGUA6NLw09EwE0CqkOc4q9oUmW1yo/edit?usp=sharing"",""พะเยา!J402"")"),0)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IFERROR(__xludf.DUMMYFUNCTION("IMPORTRANGE(""https://docs.google.com/spreadsheets/d/11923uPwbBZFjjGgGUA6NLw09EwE0CqkOc4q9oUmW1yo/edit?usp=sharing"",""พะเยา!I403"")"),0)</f>
        <v>0</v>
      </c>
      <c r="J508" s="164">
        <f ca="1">IFERROR(__xludf.DUMMYFUNCTION("IMPORTRANGE(""https://docs.google.com/spreadsheets/d/11923uPwbBZFjjGgGUA6NLw09EwE0CqkOc4q9oUmW1yo/edit?usp=sharing"",""พะเยา!J403"")"),6)</f>
        <v>6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IFERROR(__xludf.DUMMYFUNCTION("IMPORTRANGE(""https://docs.google.com/spreadsheets/d/11923uPwbBZFjjGgGUA6NLw09EwE0CqkOc4q9oUmW1yo/edit?usp=sharing"",""พะเยา!I404"")"),0)</f>
        <v>0</v>
      </c>
      <c r="J509" s="164">
        <f ca="1">IFERROR(__xludf.DUMMYFUNCTION("IMPORTRANGE(""https://docs.google.com/spreadsheets/d/11923uPwbBZFjjGgGUA6NLw09EwE0CqkOc4q9oUmW1yo/edit?usp=sharing"",""พะเยา!J404"")"),2)</f>
        <v>2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IFERROR(__xludf.DUMMYFUNCTION("IMPORTRANGE(""https://docs.google.com/spreadsheets/d/11923uPwbBZFjjGgGUA6NLw09EwE0CqkOc4q9oUmW1yo/edit?usp=sharing"",""พะเยา!I405"")"),0)</f>
        <v>0</v>
      </c>
      <c r="J510" s="199">
        <f ca="1">IFERROR(__xludf.DUMMYFUNCTION("IMPORTRANGE(""https://docs.google.com/spreadsheets/d/11923uPwbBZFjjGgGUA6NLw09EwE0CqkOc4q9oUmW1yo/edit?usp=sharing"",""พะเยา!J405"")"),6)</f>
        <v>6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IFERROR(__xludf.DUMMYFUNCTION("IMPORTRANGE(""https://docs.google.com/spreadsheets/d/11923uPwbBZFjjGgGUA6NLw09EwE0CqkOc4q9oUmW1yo/edit?usp=sharing"",""พะเยา!I406"")"),0)</f>
        <v>0</v>
      </c>
      <c r="J511" s="199">
        <f ca="1">IFERROR(__xludf.DUMMYFUNCTION("IMPORTRANGE(""https://docs.google.com/spreadsheets/d/11923uPwbBZFjjGgGUA6NLw09EwE0CqkOc4q9oUmW1yo/edit?usp=sharing"",""พะเยา!J406"")"),2)</f>
        <v>2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IFERROR(__xludf.DUMMYFUNCTION("IMPORTRANGE(""https://docs.google.com/spreadsheets/d/11923uPwbBZFjjGgGUA6NLw09EwE0CqkOc4q9oUmW1yo/edit?usp=sharing"",""พะเยา!I407"")"),0)</f>
        <v>0</v>
      </c>
      <c r="J512" s="199">
        <f ca="1">IFERROR(__xludf.DUMMYFUNCTION("IMPORTRANGE(""https://docs.google.com/spreadsheets/d/11923uPwbBZFjjGgGUA6NLw09EwE0CqkOc4q9oUmW1yo/edit?usp=sharing"",""พะเยา!J407"")"),0)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IFERROR(__xludf.DUMMYFUNCTION("IMPORTRANGE(""https://docs.google.com/spreadsheets/d/11923uPwbBZFjjGgGUA6NLw09EwE0CqkOc4q9oUmW1yo/edit?usp=sharing"",""พะเยา!I408"")"),0)</f>
        <v>0</v>
      </c>
      <c r="J513" s="199">
        <f ca="1">IFERROR(__xludf.DUMMYFUNCTION("IMPORTRANGE(""https://docs.google.com/spreadsheets/d/11923uPwbBZFjjGgGUA6NLw09EwE0CqkOc4q9oUmW1yo/edit?usp=sharing"",""พะเยา!J408"")"),0)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IFERROR(__xludf.DUMMYFUNCTION("IMPORTRANGE(""https://docs.google.com/spreadsheets/d/11923uPwbBZFjjGgGUA6NLw09EwE0CqkOc4q9oUmW1yo/edit?usp=sharing"",""พะเยา!I409"")"),0)</f>
        <v>0</v>
      </c>
      <c r="J514" s="199">
        <f ca="1">IFERROR(__xludf.DUMMYFUNCTION("IMPORTRANGE(""https://docs.google.com/spreadsheets/d/11923uPwbBZFjjGgGUA6NLw09EwE0CqkOc4q9oUmW1yo/edit?usp=sharing"",""พะเยา!J409"")"),0)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IFERROR(__xludf.DUMMYFUNCTION("IMPORTRANGE(""https://docs.google.com/spreadsheets/d/11923uPwbBZFjjGgGUA6NLw09EwE0CqkOc4q9oUmW1yo/edit?usp=sharing"",""พะเยา!I410"")"),0)</f>
        <v>0</v>
      </c>
      <c r="J515" s="199">
        <f ca="1">IFERROR(__xludf.DUMMYFUNCTION("IMPORTRANGE(""https://docs.google.com/spreadsheets/d/11923uPwbBZFjjGgGUA6NLw09EwE0CqkOc4q9oUmW1yo/edit?usp=sharing"",""พะเยา!J410"")"),0)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IFERROR(__xludf.DUMMYFUNCTION("IMPORTRANGE(""https://docs.google.com/spreadsheets/d/11923uPwbBZFjjGgGUA6NLw09EwE0CqkOc4q9oUmW1yo/edit?usp=sharing"",""พะเยา!I411"")"),0)</f>
        <v>0</v>
      </c>
      <c r="J516" s="268">
        <f ca="1">IFERROR(__xludf.DUMMYFUNCTION("IMPORTRANGE(""https://docs.google.com/spreadsheets/d/11923uPwbBZFjjGgGUA6NLw09EwE0CqkOc4q9oUmW1yo/edit?usp=sharing"",""พะเยา!J411"")"),0)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IFERROR(__xludf.DUMMYFUNCTION("IMPORTRANGE(""https://docs.google.com/spreadsheets/d/11923uPwbBZFjjGgGUA6NLw09EwE0CqkOc4q9oUmW1yo/edit?usp=sharing"",""พะเยา!I412"")"),0)</f>
        <v>0</v>
      </c>
      <c r="J517" s="285">
        <f ca="1">IFERROR(__xludf.DUMMYFUNCTION("IMPORTRANGE(""https://docs.google.com/spreadsheets/d/11923uPwbBZFjjGgGUA6NLw09EwE0CqkOc4q9oUmW1yo/edit?usp=sharing"",""พะเยา!J412"")"),0)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IFERROR(__xludf.DUMMYFUNCTION("IMPORTRANGE(""https://docs.google.com/spreadsheets/d/11923uPwbBZFjjGgGUA6NLw09EwE0CqkOc4q9oUmW1yo/edit?usp=sharing"",""พะเยา!I413"")"),0)</f>
        <v>0</v>
      </c>
      <c r="J518" s="285">
        <f ca="1">IFERROR(__xludf.DUMMYFUNCTION("IMPORTRANGE(""https://docs.google.com/spreadsheets/d/11923uPwbBZFjjGgGUA6NLw09EwE0CqkOc4q9oUmW1yo/edit?usp=sharing"",""พะเยา!J413"")"),0)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IFERROR(__xludf.DUMMYFUNCTION("IMPORTRANGE(""https://docs.google.com/spreadsheets/d/11923uPwbBZFjjGgGUA6NLw09EwE0CqkOc4q9oUmW1yo/edit?usp=sharing"",""พะเยา!I414"")"),0)</f>
        <v>0</v>
      </c>
      <c r="J519" s="189">
        <f ca="1">IFERROR(__xludf.DUMMYFUNCTION("IMPORTRANGE(""https://docs.google.com/spreadsheets/d/11923uPwbBZFjjGgGUA6NLw09EwE0CqkOc4q9oUmW1yo/edit?usp=sharing"",""พะเยา!J414"")"),0)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IFERROR(__xludf.DUMMYFUNCTION("IMPORTRANGE(""https://docs.google.com/spreadsheets/d/11923uPwbBZFjjGgGUA6NLw09EwE0CqkOc4q9oUmW1yo/edit?usp=sharing"",""พะเยา!I415"")"),0)</f>
        <v>0</v>
      </c>
      <c r="J520" s="189">
        <f ca="1">IFERROR(__xludf.DUMMYFUNCTION("IMPORTRANGE(""https://docs.google.com/spreadsheets/d/11923uPwbBZFjjGgGUA6NLw09EwE0CqkOc4q9oUmW1yo/edit?usp=sharing"",""พะเยา!J415"")"),0)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IFERROR(__xludf.DUMMYFUNCTION("IMPORTRANGE(""https://docs.google.com/spreadsheets/d/11923uPwbBZFjjGgGUA6NLw09EwE0CqkOc4q9oUmW1yo/edit?usp=sharing"",""พะเยา!I416"")"),0)</f>
        <v>0</v>
      </c>
      <c r="J521" s="189">
        <f ca="1">IFERROR(__xludf.DUMMYFUNCTION("IMPORTRANGE(""https://docs.google.com/spreadsheets/d/11923uPwbBZFjjGgGUA6NLw09EwE0CqkOc4q9oUmW1yo/edit?usp=sharing"",""พะเยา!J416"")"),0)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IFERROR(__xludf.DUMMYFUNCTION("IMPORTRANGE(""https://docs.google.com/spreadsheets/d/11923uPwbBZFjjGgGUA6NLw09EwE0CqkOc4q9oUmW1yo/edit?usp=sharing"",""พะเยา!I417"")"),0)</f>
        <v>0</v>
      </c>
      <c r="J522" s="189">
        <f ca="1">IFERROR(__xludf.DUMMYFUNCTION("IMPORTRANGE(""https://docs.google.com/spreadsheets/d/11923uPwbBZFjjGgGUA6NLw09EwE0CqkOc4q9oUmW1yo/edit?usp=sharing"",""พะเยา!J417"")"),0)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IFERROR(__xludf.DUMMYFUNCTION("IMPORTRANGE(""https://docs.google.com/spreadsheets/d/11923uPwbBZFjjGgGUA6NLw09EwE0CqkOc4q9oUmW1yo/edit?usp=sharing"",""พะเยา!I418"")"),0)</f>
        <v>0</v>
      </c>
      <c r="J523" s="189">
        <f ca="1">IFERROR(__xludf.DUMMYFUNCTION("IMPORTRANGE(""https://docs.google.com/spreadsheets/d/11923uPwbBZFjjGgGUA6NLw09EwE0CqkOc4q9oUmW1yo/edit?usp=sharing"",""พะเยา!J418"")"),6)</f>
        <v>6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IFERROR(__xludf.DUMMYFUNCTION("IMPORTRANGE(""https://docs.google.com/spreadsheets/d/11923uPwbBZFjjGgGUA6NLw09EwE0CqkOc4q9oUmW1yo/edit?usp=sharing"",""พะเยา!I419"")"),0)</f>
        <v>0</v>
      </c>
      <c r="J524" s="189">
        <f ca="1">IFERROR(__xludf.DUMMYFUNCTION("IMPORTRANGE(""https://docs.google.com/spreadsheets/d/11923uPwbBZFjjGgGUA6NLw09EwE0CqkOc4q9oUmW1yo/edit?usp=sharing"",""พะเยา!J419"")"),4)</f>
        <v>4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IFERROR(__xludf.DUMMYFUNCTION("IMPORTRANGE(""https://docs.google.com/spreadsheets/d/11923uPwbBZFjjGgGUA6NLw09EwE0CqkOc4q9oUmW1yo/edit?usp=sharing"",""พะเยา!I420"")"),6)</f>
        <v>6</v>
      </c>
      <c r="J525" s="285">
        <f ca="1">IFERROR(__xludf.DUMMYFUNCTION("IMPORTRANGE(""https://docs.google.com/spreadsheets/d/11923uPwbBZFjjGgGUA6NLw09EwE0CqkOc4q9oUmW1yo/edit?usp=sharing"",""พะเยา!J420"")"),0)</f>
        <v>0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IFERROR(__xludf.DUMMYFUNCTION("IMPORTRANGE(""https://docs.google.com/spreadsheets/d/11923uPwbBZFjjGgGUA6NLw09EwE0CqkOc4q9oUmW1yo/edit?usp=sharing"",""พะเยา!I421"")"),4)</f>
        <v>4</v>
      </c>
      <c r="J526" s="285">
        <f ca="1">IFERROR(__xludf.DUMMYFUNCTION("IMPORTRANGE(""https://docs.google.com/spreadsheets/d/11923uPwbBZFjjGgGUA6NLw09EwE0CqkOc4q9oUmW1yo/edit?usp=sharing"",""พะเยา!J421"")"),0)</f>
        <v>0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IFERROR(__xludf.DUMMYFUNCTION("IMPORTRANGE(""https://docs.google.com/spreadsheets/d/11923uPwbBZFjjGgGUA6NLw09EwE0CqkOc4q9oUmW1yo/edit?usp=sharing"",""พะเยา!I422"")"),0)</f>
        <v>0</v>
      </c>
      <c r="J527" s="199">
        <f ca="1">IFERROR(__xludf.DUMMYFUNCTION("IMPORTRANGE(""https://docs.google.com/spreadsheets/d/11923uPwbBZFjjGgGUA6NLw09EwE0CqkOc4q9oUmW1yo/edit?usp=sharing"",""พะเยา!J422"")"),0)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IFERROR(__xludf.DUMMYFUNCTION("IMPORTRANGE(""https://docs.google.com/spreadsheets/d/11923uPwbBZFjjGgGUA6NLw09EwE0CqkOc4q9oUmW1yo/edit?usp=sharing"",""พะเยา!I423"")"),0)</f>
        <v>0</v>
      </c>
      <c r="J528" s="199">
        <f ca="1">IFERROR(__xludf.DUMMYFUNCTION("IMPORTRANGE(""https://docs.google.com/spreadsheets/d/11923uPwbBZFjjGgGUA6NLw09EwE0CqkOc4q9oUmW1yo/edit?usp=sharing"",""พะเยา!J423"")"),0)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IFERROR(__xludf.DUMMYFUNCTION("IMPORTRANGE(""https://docs.google.com/spreadsheets/d/11923uPwbBZFjjGgGUA6NLw09EwE0CqkOc4q9oUmW1yo/edit?usp=sharing"",""พะเยา!I424"")"),0)</f>
        <v>0</v>
      </c>
      <c r="J529" s="199">
        <f ca="1">IFERROR(__xludf.DUMMYFUNCTION("IMPORTRANGE(""https://docs.google.com/spreadsheets/d/11923uPwbBZFjjGgGUA6NLw09EwE0CqkOc4q9oUmW1yo/edit?usp=sharing"",""พะเยา!J424"")"),0)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IFERROR(__xludf.DUMMYFUNCTION("IMPORTRANGE(""https://docs.google.com/spreadsheets/d/11923uPwbBZFjjGgGUA6NLw09EwE0CqkOc4q9oUmW1yo/edit?usp=sharing"",""พะเยา!I425"")"),0)</f>
        <v>0</v>
      </c>
      <c r="J530" s="199">
        <f ca="1">IFERROR(__xludf.DUMMYFUNCTION("IMPORTRANGE(""https://docs.google.com/spreadsheets/d/11923uPwbBZFjjGgGUA6NLw09EwE0CqkOc4q9oUmW1yo/edit?usp=sharing"",""พะเยา!J425"")"),0)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IFERROR(__xludf.DUMMYFUNCTION("IMPORTRANGE(""https://docs.google.com/spreadsheets/d/11923uPwbBZFjjGgGUA6NLw09EwE0CqkOc4q9oUmW1yo/edit?usp=sharing"",""พะเยา!I426"")"),0)</f>
        <v>0</v>
      </c>
      <c r="J531" s="199">
        <f ca="1">IFERROR(__xludf.DUMMYFUNCTION("IMPORTRANGE(""https://docs.google.com/spreadsheets/d/11923uPwbBZFjjGgGUA6NLw09EwE0CqkOc4q9oUmW1yo/edit?usp=sharing"",""พะเยา!J426"")"),0)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IFERROR(__xludf.DUMMYFUNCTION("IMPORTRANGE(""https://docs.google.com/spreadsheets/d/11923uPwbBZFjjGgGUA6NLw09EwE0CqkOc4q9oUmW1yo/edit?usp=sharing"",""พะเยา!I427"")"),0)</f>
        <v>0</v>
      </c>
      <c r="J532" s="468">
        <f ca="1">IFERROR(__xludf.DUMMYFUNCTION("IMPORTRANGE(""https://docs.google.com/spreadsheets/d/11923uPwbBZFjjGgGUA6NLw09EwE0CqkOc4q9oUmW1yo/edit?usp=sharing"",""พะเยา!J427"")"),0)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IFERROR(__xludf.DUMMYFUNCTION("IMPORTRANGE(""https://docs.google.com/spreadsheets/d/11923uPwbBZFjjGgGUA6NLw09EwE0CqkOc4q9oUmW1yo/edit?usp=sharing"",""พะเยา!I428"")"),22)</f>
        <v>22</v>
      </c>
      <c r="J533" s="411">
        <f ca="1">IFERROR(__xludf.DUMMYFUNCTION("IMPORTRANGE(""https://docs.google.com/spreadsheets/d/11923uPwbBZFjjGgGUA6NLw09EwE0CqkOc4q9oUmW1yo/edit?usp=sharing"",""พะเยา!J428"")"),22)</f>
        <v>22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IFERROR(__xludf.DUMMYFUNCTION("IMPORTRANGE(""https://docs.google.com/spreadsheets/d/11923uPwbBZFjjGgGUA6NLw09EwE0CqkOc4q9oUmW1yo/edit?usp=sharing"",""พะเยา!L428"")"),34340)</f>
        <v>34340</v>
      </c>
      <c r="M533" s="413"/>
      <c r="N533" s="413">
        <f ca="1">IFERROR(__xludf.DUMMYFUNCTION("IMPORTRANGE(""https://docs.google.com/spreadsheets/d/11923uPwbBZFjjGgGUA6NLw09EwE0CqkOc4q9oUmW1yo/edit?usp=sharing"",""พะเยา!M428"")"),18660)</f>
        <v>18660</v>
      </c>
      <c r="O533" s="413">
        <f t="shared" ref="O533:O537" ca="1" si="118">+IF(L533&gt;0,N533*100/L533,0)</f>
        <v>54.338963308095515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IFERROR(__xludf.DUMMYFUNCTION("IMPORTRANGE(""https://docs.google.com/spreadsheets/d/11923uPwbBZFjjGgGUA6NLw09EwE0CqkOc4q9oUmW1yo/edit?usp=sharing"",""พะเยา!L429"")"),0)</f>
        <v>0</v>
      </c>
      <c r="M534" s="166"/>
      <c r="N534" s="170">
        <f ca="1">IFERROR(__xludf.DUMMYFUNCTION("IMPORTRANGE(""https://docs.google.com/spreadsheets/d/11923uPwbBZFjjGgGUA6NLw09EwE0CqkOc4q9oUmW1yo/edit?usp=sharing"",""พะเยา!M429"")"),0)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IFERROR(__xludf.DUMMYFUNCTION("IMPORTRANGE(""https://docs.google.com/spreadsheets/d/11923uPwbBZFjjGgGUA6NLw09EwE0CqkOc4q9oUmW1yo/edit?usp=sharing"",""พะเยา!L430"")"),34340)</f>
        <v>34340</v>
      </c>
      <c r="M535" s="167"/>
      <c r="N535" s="170">
        <f ca="1">IFERROR(__xludf.DUMMYFUNCTION("IMPORTRANGE(""https://docs.google.com/spreadsheets/d/11923uPwbBZFjjGgGUA6NLw09EwE0CqkOc4q9oUmW1yo/edit?usp=sharing"",""พะเยา!M430"")"),18660)</f>
        <v>18660</v>
      </c>
      <c r="O535" s="170">
        <f t="shared" ca="1" si="118"/>
        <v>54.338963308095515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IFERROR(__xludf.DUMMYFUNCTION("IMPORTRANGE(""https://docs.google.com/spreadsheets/d/11923uPwbBZFjjGgGUA6NLw09EwE0CqkOc4q9oUmW1yo/edit?usp=sharing"",""พะเยา!L431"")"),0)</f>
        <v>0</v>
      </c>
      <c r="M536" s="170"/>
      <c r="N536" s="170">
        <f ca="1">IFERROR(__xludf.DUMMYFUNCTION("IMPORTRANGE(""https://docs.google.com/spreadsheets/d/11923uPwbBZFjjGgGUA6NLw09EwE0CqkOc4q9oUmW1yo/edit?usp=sharing"",""พะเยา!M431"")"),0)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IFERROR(__xludf.DUMMYFUNCTION("IMPORTRANGE(""https://docs.google.com/spreadsheets/d/11923uPwbBZFjjGgGUA6NLw09EwE0CqkOc4q9oUmW1yo/edit?usp=sharing"",""พะเยา!L432"")"),34340)</f>
        <v>34340</v>
      </c>
      <c r="M537" s="170"/>
      <c r="N537" s="170">
        <f ca="1">IFERROR(__xludf.DUMMYFUNCTION("IMPORTRANGE(""https://docs.google.com/spreadsheets/d/11923uPwbBZFjjGgGUA6NLw09EwE0CqkOc4q9oUmW1yo/edit?usp=sharing"",""พะเยา!M432"")"),18660)</f>
        <v>18660</v>
      </c>
      <c r="O537" s="170">
        <f t="shared" ca="1" si="118"/>
        <v>54.338963308095515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IFERROR(__xludf.DUMMYFUNCTION("IMPORTRANGE(""https://docs.google.com/spreadsheets/d/11923uPwbBZFjjGgGUA6NLw09EwE0CqkOc4q9oUmW1yo/edit?usp=sharing"",""พะเยา!M433"")"),12520)</f>
        <v>12520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IFERROR(__xludf.DUMMYFUNCTION("IMPORTRANGE(""https://docs.google.com/spreadsheets/d/11923uPwbBZFjjGgGUA6NLw09EwE0CqkOc4q9oUmW1yo/edit?usp=sharing"",""พะเยา!M434"")"),0)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IFERROR(__xludf.DUMMYFUNCTION("IMPORTRANGE(""https://docs.google.com/spreadsheets/d/11923uPwbBZFjjGgGUA6NLw09EwE0CqkOc4q9oUmW1yo/edit?usp=sharing"",""พะเยา!M435"")"),0)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IFERROR(__xludf.DUMMYFUNCTION("IMPORTRANGE(""https://docs.google.com/spreadsheets/d/11923uPwbBZFjjGgGUA6NLw09EwE0CqkOc4q9oUmW1yo/edit?usp=sharing"",""พะเยา!M436"")"),6140)</f>
        <v>6140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IFERROR(__xludf.DUMMYFUNCTION("IMPORTRANGE(""https://docs.google.com/spreadsheets/d/11923uPwbBZFjjGgGUA6NLw09EwE0CqkOc4q9oUmW1yo/edit?usp=sharing"",""พะเยา!J438"")"),0)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IFERROR(__xludf.DUMMYFUNCTION("IMPORTRANGE(""https://docs.google.com/spreadsheets/d/11923uPwbBZFjjGgGUA6NLw09EwE0CqkOc4q9oUmW1yo/edit?usp=sharing"",""พะเยา!J439"")"),1)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IFERROR(__xludf.DUMMYFUNCTION("IMPORTRANGE(""https://docs.google.com/spreadsheets/d/11923uPwbBZFjjGgGUA6NLw09EwE0CqkOc4q9oUmW1yo/edit?usp=sharing"",""พะเยา!J440"")"),1)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IFERROR(__xludf.DUMMYFUNCTION("IMPORTRANGE(""https://docs.google.com/spreadsheets/d/11923uPwbBZFjjGgGUA6NLw09EwE0CqkOc4q9oUmW1yo/edit?usp=sharing"",""พะเยา!J441"")"),1)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IFERROR(__xludf.DUMMYFUNCTION("IMPORTRANGE(""https://docs.google.com/spreadsheets/d/11923uPwbBZFjjGgGUA6NLw09EwE0CqkOc4q9oUmW1yo/edit?usp=sharing"",""พะเยา!I442"")"),22)</f>
        <v>22</v>
      </c>
      <c r="J547" s="190">
        <f ca="1">IFERROR(__xludf.DUMMYFUNCTION("IMPORTRANGE(""https://docs.google.com/spreadsheets/d/11923uPwbBZFjjGgGUA6NLw09EwE0CqkOc4q9oUmW1yo/edit?usp=sharing"",""พะเยา!J442"")"),22)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IFERROR(__xludf.DUMMYFUNCTION("IMPORTRANGE(""https://docs.google.com/spreadsheets/d/11923uPwbBZFjjGgGUA6NLw09EwE0CqkOc4q9oUmW1yo/edit?usp=sharing"",""พะเยา!J166"")"),0)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IFERROR(__xludf.DUMMYFUNCTION("IMPORTRANGE(""https://docs.google.com/spreadsheets/d/11923uPwbBZFjjGgGUA6NLw09EwE0CqkOc4q9oUmW1yo/edit?usp=sharing"",""พะเยา!J444"")"),0)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IFERROR(__xludf.DUMMYFUNCTION("IMPORTRANGE(""https://docs.google.com/spreadsheets/d/11923uPwbBZFjjGgGUA6NLw09EwE0CqkOc4q9oUmW1yo/edit?usp=sharing"",""พะเยา!J445"")"),0)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IFERROR(__xludf.DUMMYFUNCTION("IMPORTRANGE(""https://docs.google.com/spreadsheets/d/11923uPwbBZFjjGgGUA6NLw09EwE0CqkOc4q9oUmW1yo/edit?usp=sharing"",""พะเยา!I446"")"),0)</f>
        <v>0</v>
      </c>
      <c r="J551" s="411">
        <f ca="1">IFERROR(__xludf.DUMMYFUNCTION("IMPORTRANGE(""https://docs.google.com/spreadsheets/d/11923uPwbBZFjjGgGUA6NLw09EwE0CqkOc4q9oUmW1yo/edit?usp=sharing"",""พะเยา!J446"")"),0)</f>
        <v>0</v>
      </c>
      <c r="K551" s="412">
        <f ca="1">IF(I551&gt;0,J551*100/I551,0)</f>
        <v>0</v>
      </c>
      <c r="L551" s="413">
        <f ca="1">IFERROR(__xludf.DUMMYFUNCTION("IMPORTRANGE(""https://docs.google.com/spreadsheets/d/11923uPwbBZFjjGgGUA6NLw09EwE0CqkOc4q9oUmW1yo/edit?usp=sharing"",""พะเยา!L446"")"),0)</f>
        <v>0</v>
      </c>
      <c r="M551" s="413"/>
      <c r="N551" s="413">
        <f ca="1">IFERROR(__xludf.DUMMYFUNCTION("IMPORTRANGE(""https://docs.google.com/spreadsheets/d/11923uPwbBZFjjGgGUA6NLw09EwE0CqkOc4q9oUmW1yo/edit?usp=sharing"",""พะเยา!M446"")"),0)</f>
        <v>0</v>
      </c>
      <c r="O551" s="413">
        <f t="shared" ref="O551:O555" ca="1" si="120">+IF(L551&gt;0,N551*100/L551,0)</f>
        <v>0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IFERROR(__xludf.DUMMYFUNCTION("IMPORTRANGE(""https://docs.google.com/spreadsheets/d/11923uPwbBZFjjGgGUA6NLw09EwE0CqkOc4q9oUmW1yo/edit?usp=sharing"",""พะเยา!L447"")"),0)</f>
        <v>0</v>
      </c>
      <c r="M552" s="166"/>
      <c r="N552" s="170">
        <f ca="1">IFERROR(__xludf.DUMMYFUNCTION("IMPORTRANGE(""https://docs.google.com/spreadsheets/d/11923uPwbBZFjjGgGUA6NLw09EwE0CqkOc4q9oUmW1yo/edit?usp=sharing"",""พะเยา!M447"")"),0)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IFERROR(__xludf.DUMMYFUNCTION("IMPORTRANGE(""https://docs.google.com/spreadsheets/d/11923uPwbBZFjjGgGUA6NLw09EwE0CqkOc4q9oUmW1yo/edit?usp=sharing"",""พะเยา!L448"")"),0)</f>
        <v>0</v>
      </c>
      <c r="M553" s="167"/>
      <c r="N553" s="170">
        <f ca="1">IFERROR(__xludf.DUMMYFUNCTION("IMPORTRANGE(""https://docs.google.com/spreadsheets/d/11923uPwbBZFjjGgGUA6NLw09EwE0CqkOc4q9oUmW1yo/edit?usp=sharing"",""พะเยา!M448"")"),0)</f>
        <v>0</v>
      </c>
      <c r="O553" s="170">
        <f t="shared" ca="1" si="120"/>
        <v>0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IFERROR(__xludf.DUMMYFUNCTION("IMPORTRANGE(""https://docs.google.com/spreadsheets/d/11923uPwbBZFjjGgGUA6NLw09EwE0CqkOc4q9oUmW1yo/edit?usp=sharing"",""พะเยา!L449"")"),0)</f>
        <v>0</v>
      </c>
      <c r="M554" s="170"/>
      <c r="N554" s="170">
        <f ca="1">IFERROR(__xludf.DUMMYFUNCTION("IMPORTRANGE(""https://docs.google.com/spreadsheets/d/11923uPwbBZFjjGgGUA6NLw09EwE0CqkOc4q9oUmW1yo/edit?usp=sharing"",""พะเยา!M449"")"),0)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IFERROR(__xludf.DUMMYFUNCTION("IMPORTRANGE(""https://docs.google.com/spreadsheets/d/11923uPwbBZFjjGgGUA6NLw09EwE0CqkOc4q9oUmW1yo/edit?usp=sharing"",""พะเยา!L450"")"),0)</f>
        <v>0</v>
      </c>
      <c r="M555" s="170"/>
      <c r="N555" s="170">
        <f ca="1">IFERROR(__xludf.DUMMYFUNCTION("IMPORTRANGE(""https://docs.google.com/spreadsheets/d/11923uPwbBZFjjGgGUA6NLw09EwE0CqkOc4q9oUmW1yo/edit?usp=sharing"",""พะเยา!M450"")"),0)</f>
        <v>0</v>
      </c>
      <c r="O555" s="170">
        <f t="shared" ca="1" si="120"/>
        <v>0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IFERROR(__xludf.DUMMYFUNCTION("IMPORTRANGE(""https://docs.google.com/spreadsheets/d/11923uPwbBZFjjGgGUA6NLw09EwE0CqkOc4q9oUmW1yo/edit?usp=sharing"",""พะเยา!M451"")"),0)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IFERROR(__xludf.DUMMYFUNCTION("IMPORTRANGE(""https://docs.google.com/spreadsheets/d/11923uPwbBZFjjGgGUA6NLw09EwE0CqkOc4q9oUmW1yo/edit?usp=sharing"",""พะเยา!M452"")"),0)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IFERROR(__xludf.DUMMYFUNCTION("IMPORTRANGE(""https://docs.google.com/spreadsheets/d/11923uPwbBZFjjGgGUA6NLw09EwE0CqkOc4q9oUmW1yo/edit?usp=sharing"",""พะเยา!M453"")"),0)</f>
        <v>0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IFERROR(__xludf.DUMMYFUNCTION("IMPORTRANGE(""https://docs.google.com/spreadsheets/d/11923uPwbBZFjjGgGUA6NLw09EwE0CqkOc4q9oUmW1yo/edit?usp=sharing"",""พะเยา!M454"")"),0)</f>
        <v>0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IFERROR(__xludf.DUMMYFUNCTION("IMPORTRANGE(""https://docs.google.com/spreadsheets/d/11923uPwbBZFjjGgGUA6NLw09EwE0CqkOc4q9oUmW1yo/edit?usp=sharing"",""พะเยา!I455"")"),0)</f>
        <v>0</v>
      </c>
      <c r="J560" s="164">
        <f ca="1">IFERROR(__xludf.DUMMYFUNCTION("IMPORTRANGE(""https://docs.google.com/spreadsheets/d/11923uPwbBZFjjGgGUA6NLw09EwE0CqkOc4q9oUmW1yo/edit?usp=sharing"",""พะเยา!J455"")"),0)</f>
        <v>0</v>
      </c>
      <c r="K560" s="225">
        <f t="shared" ref="K560:K561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IFERROR(__xludf.DUMMYFUNCTION("IMPORTRANGE(""https://docs.google.com/spreadsheets/d/11923uPwbBZFjjGgGUA6NLw09EwE0CqkOc4q9oUmW1yo/edit?usp=sharing"",""พะเยา!I456"")"),0)</f>
        <v>0</v>
      </c>
      <c r="J561" s="205">
        <f ca="1">IFERROR(__xludf.DUMMYFUNCTION("IMPORTRANGE(""https://docs.google.com/spreadsheets/d/11923uPwbBZFjjGgGUA6NLw09EwE0CqkOc4q9oUmW1yo/edit?usp=sharing"",""พะเยา!J456"")"),0)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IFERROR(__xludf.DUMMYFUNCTION("IMPORTRANGE(""https://docs.google.com/spreadsheets/d/11923uPwbBZFjjGgGUA6NLw09EwE0CqkOc4q9oUmW1yo/edit?usp=sharing"",""พะเยา!I459"")"),1950)</f>
        <v>1950</v>
      </c>
      <c r="J564" s="372">
        <f ca="1">IFERROR(__xludf.DUMMYFUNCTION("IMPORTRANGE(""https://docs.google.com/spreadsheets/d/11923uPwbBZFjjGgGUA6NLw09EwE0CqkOc4q9oUmW1yo/edit?usp=sharing"",""พะเยา!J459"")"),1628)</f>
        <v>1628</v>
      </c>
      <c r="K564" s="373">
        <f ca="1">IF(I564&gt;0,J564*100/I564,0)</f>
        <v>83.487179487179489</v>
      </c>
      <c r="L564" s="374">
        <f ca="1">IFERROR(__xludf.DUMMYFUNCTION("IMPORTRANGE(""https://docs.google.com/spreadsheets/d/11923uPwbBZFjjGgGUA6NLw09EwE0CqkOc4q9oUmW1yo/edit?usp=sharing"",""พะเยา!L459"")"),142240)</f>
        <v>142240</v>
      </c>
      <c r="M564" s="374"/>
      <c r="N564" s="374">
        <f ca="1">IFERROR(__xludf.DUMMYFUNCTION("IMPORTRANGE(""https://docs.google.com/spreadsheets/d/11923uPwbBZFjjGgGUA6NLw09EwE0CqkOc4q9oUmW1yo/edit?usp=sharing"",""พะเยา!M459"")"),55110)</f>
        <v>55110</v>
      </c>
      <c r="O564" s="374">
        <f t="shared" ref="O564:O568" ca="1" si="122">+IF(L564&gt;0,N564*100/L564,0)</f>
        <v>38.744375703037122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IFERROR(__xludf.DUMMYFUNCTION("IMPORTRANGE(""https://docs.google.com/spreadsheets/d/11923uPwbBZFjjGgGUA6NLw09EwE0CqkOc4q9oUmW1yo/edit?usp=sharing"",""พะเยา!L460"")"),0)</f>
        <v>0</v>
      </c>
      <c r="M565" s="166"/>
      <c r="N565" s="170">
        <f ca="1">IFERROR(__xludf.DUMMYFUNCTION("IMPORTRANGE(""https://docs.google.com/spreadsheets/d/11923uPwbBZFjjGgGUA6NLw09EwE0CqkOc4q9oUmW1yo/edit?usp=sharing"",""พะเยา!M460"")"),0)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IFERROR(__xludf.DUMMYFUNCTION("IMPORTRANGE(""https://docs.google.com/spreadsheets/d/11923uPwbBZFjjGgGUA6NLw09EwE0CqkOc4q9oUmW1yo/edit?usp=sharing"",""พะเยา!L461"")"),142240)</f>
        <v>142240</v>
      </c>
      <c r="M566" s="167"/>
      <c r="N566" s="170">
        <f ca="1">IFERROR(__xludf.DUMMYFUNCTION("IMPORTRANGE(""https://docs.google.com/spreadsheets/d/11923uPwbBZFjjGgGUA6NLw09EwE0CqkOc4q9oUmW1yo/edit?usp=sharing"",""พะเยา!M461"")"),55110)</f>
        <v>55110</v>
      </c>
      <c r="O566" s="170">
        <f t="shared" ca="1" si="122"/>
        <v>38.744375703037122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IFERROR(__xludf.DUMMYFUNCTION("IMPORTRANGE(""https://docs.google.com/spreadsheets/d/11923uPwbBZFjjGgGUA6NLw09EwE0CqkOc4q9oUmW1yo/edit?usp=sharing"",""พะเยา!L462"")"),0)</f>
        <v>0</v>
      </c>
      <c r="M567" s="170"/>
      <c r="N567" s="170">
        <f ca="1">IFERROR(__xludf.DUMMYFUNCTION("IMPORTRANGE(""https://docs.google.com/spreadsheets/d/11923uPwbBZFjjGgGUA6NLw09EwE0CqkOc4q9oUmW1yo/edit?usp=sharing"",""พะเยา!M462"")"),0)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IFERROR(__xludf.DUMMYFUNCTION("IMPORTRANGE(""https://docs.google.com/spreadsheets/d/11923uPwbBZFjjGgGUA6NLw09EwE0CqkOc4q9oUmW1yo/edit?usp=sharing"",""พะเยา!L463"")"),142240)</f>
        <v>142240</v>
      </c>
      <c r="M568" s="170"/>
      <c r="N568" s="170">
        <f ca="1">IFERROR(__xludf.DUMMYFUNCTION("IMPORTRANGE(""https://docs.google.com/spreadsheets/d/11923uPwbBZFjjGgGUA6NLw09EwE0CqkOc4q9oUmW1yo/edit?usp=sharing"",""พะเยา!M463"")"),55110)</f>
        <v>55110</v>
      </c>
      <c r="O568" s="170">
        <f t="shared" ca="1" si="122"/>
        <v>38.744375703037122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IFERROR(__xludf.DUMMYFUNCTION("IMPORTRANGE(""https://docs.google.com/spreadsheets/d/11923uPwbBZFjjGgGUA6NLw09EwE0CqkOc4q9oUmW1yo/edit?usp=sharing"",""พะเยา!M464"")"),0)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IFERROR(__xludf.DUMMYFUNCTION("IMPORTRANGE(""https://docs.google.com/spreadsheets/d/11923uPwbBZFjjGgGUA6NLw09EwE0CqkOc4q9oUmW1yo/edit?usp=sharing"",""พะเยา!M465"")"),0)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IFERROR(__xludf.DUMMYFUNCTION("IMPORTRANGE(""https://docs.google.com/spreadsheets/d/11923uPwbBZFjjGgGUA6NLw09EwE0CqkOc4q9oUmW1yo/edit?usp=sharing"",""พะเยา!M466"")"),32633)</f>
        <v>32633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IFERROR(__xludf.DUMMYFUNCTION("IMPORTRANGE(""https://docs.google.com/spreadsheets/d/11923uPwbBZFjjGgGUA6NLw09EwE0CqkOc4q9oUmW1yo/edit?usp=sharing"",""พะเยา!M467"")"),22477)</f>
        <v>22477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IFERROR(__xludf.DUMMYFUNCTION("IMPORTRANGE(""https://docs.google.com/spreadsheets/d/11923uPwbBZFjjGgGUA6NLw09EwE0CqkOc4q9oUmW1yo/edit?usp=sharing"",""พะเยา!I468"")"),1950)</f>
        <v>1950</v>
      </c>
      <c r="J573" s="422">
        <f ca="1">IFERROR(__xludf.DUMMYFUNCTION("IMPORTRANGE(""https://docs.google.com/spreadsheets/d/11923uPwbBZFjjGgGUA6NLw09EwE0CqkOc4q9oUmW1yo/edit?usp=sharing"",""พะเยา!J468"")"),1628)</f>
        <v>1628</v>
      </c>
      <c r="K573" s="203">
        <f ca="1">IF(I573&gt;0,J573*100/I573,0)</f>
        <v>83.487179487179489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IFERROR(__xludf.DUMMYFUNCTION("IMPORTRANGE(""https://docs.google.com/spreadsheets/d/11923uPwbBZFjjGgGUA6NLw09EwE0CqkOc4q9oUmW1yo/edit?usp=sharing"",""พะเยา!I470"")"),0)</f>
        <v>0</v>
      </c>
      <c r="J575" s="199">
        <f ca="1">IFERROR(__xludf.DUMMYFUNCTION("IMPORTRANGE(""https://docs.google.com/spreadsheets/d/11923uPwbBZFjjGgGUA6NLw09EwE0CqkOc4q9oUmW1yo/edit?usp=sharing"",""พะเยา!J470"")"),1)</f>
        <v>1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IFERROR(__xludf.DUMMYFUNCTION("IMPORTRANGE(""https://docs.google.com/spreadsheets/d/11923uPwbBZFjjGgGUA6NLw09EwE0CqkOc4q9oUmW1yo/edit?usp=sharing"",""พะเยา!I471"")"),0)</f>
        <v>0</v>
      </c>
      <c r="J576" s="199">
        <f ca="1">IFERROR(__xludf.DUMMYFUNCTION("IMPORTRANGE(""https://docs.google.com/spreadsheets/d/11923uPwbBZFjjGgGUA6NLw09EwE0CqkOc4q9oUmW1yo/edit?usp=sharing"",""พะเยา!J471"")"),64)</f>
        <v>64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IFERROR(__xludf.DUMMYFUNCTION("IMPORTRANGE(""https://docs.google.com/spreadsheets/d/11923uPwbBZFjjGgGUA6NLw09EwE0CqkOc4q9oUmW1yo/edit?usp=sharing"",""พะเยา!I472"")"),0)</f>
        <v>0</v>
      </c>
      <c r="J577" s="190">
        <f ca="1">IFERROR(__xludf.DUMMYFUNCTION("IMPORTRANGE(""https://docs.google.com/spreadsheets/d/11923uPwbBZFjjGgGUA6NLw09EwE0CqkOc4q9oUmW1yo/edit?usp=sharing"",""พะเยา!J472"")"),1564)</f>
        <v>1564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IFERROR(__xludf.DUMMYFUNCTION("IMPORTRANGE(""https://docs.google.com/spreadsheets/d/11923uPwbBZFjjGgGUA6NLw09EwE0CqkOc4q9oUmW1yo/edit?usp=sharing"",""พะเยา!I473"")"),0)</f>
        <v>0</v>
      </c>
      <c r="J578" s="199">
        <f ca="1">IFERROR(__xludf.DUMMYFUNCTION("IMPORTRANGE(""https://docs.google.com/spreadsheets/d/11923uPwbBZFjjGgGUA6NLw09EwE0CqkOc4q9oUmW1yo/edit?usp=sharing"",""พะเยา!J473"")"),0)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IFERROR(__xludf.DUMMYFUNCTION("IMPORTRANGE(""https://docs.google.com/spreadsheets/d/11923uPwbBZFjjGgGUA6NLw09EwE0CqkOc4q9oUmW1yo/edit?usp=sharing"",""พะเยา!I474"")"),0)</f>
        <v>0</v>
      </c>
      <c r="J579" s="199">
        <f ca="1">IFERROR(__xludf.DUMMYFUNCTION("IMPORTRANGE(""https://docs.google.com/spreadsheets/d/11923uPwbBZFjjGgGUA6NLw09EwE0CqkOc4q9oUmW1yo/edit?usp=sharing"",""พะเยา!J474"")"),0)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IFERROR(__xludf.DUMMYFUNCTION("IMPORTRANGE(""https://docs.google.com/spreadsheets/d/11923uPwbBZFjjGgGUA6NLw09EwE0CqkOc4q9oUmW1yo/edit?usp=sharing"",""พะเยา!I475"")"),40)</f>
        <v>40</v>
      </c>
      <c r="J580" s="372">
        <f ca="1">IFERROR(__xludf.DUMMYFUNCTION("IMPORTRANGE(""https://docs.google.com/spreadsheets/d/11923uPwbBZFjjGgGUA6NLw09EwE0CqkOc4q9oUmW1yo/edit?usp=sharing"",""พะเยา!J475"")"),11)</f>
        <v>11</v>
      </c>
      <c r="K580" s="373">
        <f ca="1">IF(I580&gt;0,J580*100/I580,0)</f>
        <v>27.5</v>
      </c>
      <c r="L580" s="374">
        <f ca="1">IFERROR(__xludf.DUMMYFUNCTION("IMPORTRANGE(""https://docs.google.com/spreadsheets/d/11923uPwbBZFjjGgGUA6NLw09EwE0CqkOc4q9oUmW1yo/edit?usp=sharing"",""พะเยา!L475"")"),138840)</f>
        <v>138840</v>
      </c>
      <c r="M580" s="374"/>
      <c r="N580" s="374">
        <f ca="1">IFERROR(__xludf.DUMMYFUNCTION("IMPORTRANGE(""https://docs.google.com/spreadsheets/d/11923uPwbBZFjjGgGUA6NLw09EwE0CqkOc4q9oUmW1yo/edit?usp=sharing"",""พะเยา!M475"")"),0)</f>
        <v>0</v>
      </c>
      <c r="O580" s="374">
        <f t="shared" ref="O580:O584" ca="1" si="124">+IF(L580&gt;0,N580*100/L580,0)</f>
        <v>0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IFERROR(__xludf.DUMMYFUNCTION("IMPORTRANGE(""https://docs.google.com/spreadsheets/d/11923uPwbBZFjjGgGUA6NLw09EwE0CqkOc4q9oUmW1yo/edit?usp=sharing"",""พะเยา!L476"")"),0)</f>
        <v>0</v>
      </c>
      <c r="M581" s="166"/>
      <c r="N581" s="170">
        <f ca="1">IFERROR(__xludf.DUMMYFUNCTION("IMPORTRANGE(""https://docs.google.com/spreadsheets/d/11923uPwbBZFjjGgGUA6NLw09EwE0CqkOc4q9oUmW1yo/edit?usp=sharing"",""พะเยา!M476"")"),0)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IFERROR(__xludf.DUMMYFUNCTION("IMPORTRANGE(""https://docs.google.com/spreadsheets/d/11923uPwbBZFjjGgGUA6NLw09EwE0CqkOc4q9oUmW1yo/edit?usp=sharing"",""พะเยา!L477"")"),138840)</f>
        <v>138840</v>
      </c>
      <c r="M582" s="167"/>
      <c r="N582" s="170">
        <f ca="1">IFERROR(__xludf.DUMMYFUNCTION("IMPORTRANGE(""https://docs.google.com/spreadsheets/d/11923uPwbBZFjjGgGUA6NLw09EwE0CqkOc4q9oUmW1yo/edit?usp=sharing"",""พะเยา!M477"")"),0)</f>
        <v>0</v>
      </c>
      <c r="O582" s="170">
        <f t="shared" ca="1" si="124"/>
        <v>0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IFERROR(__xludf.DUMMYFUNCTION("IMPORTRANGE(""https://docs.google.com/spreadsheets/d/11923uPwbBZFjjGgGUA6NLw09EwE0CqkOc4q9oUmW1yo/edit?usp=sharing"",""พะเยา!L478"")"),0)</f>
        <v>0</v>
      </c>
      <c r="M583" s="170"/>
      <c r="N583" s="170">
        <f ca="1">IFERROR(__xludf.DUMMYFUNCTION("IMPORTRANGE(""https://docs.google.com/spreadsheets/d/11923uPwbBZFjjGgGUA6NLw09EwE0CqkOc4q9oUmW1yo/edit?usp=sharing"",""พะเยา!M478"")"),0)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IFERROR(__xludf.DUMMYFUNCTION("IMPORTRANGE(""https://docs.google.com/spreadsheets/d/11923uPwbBZFjjGgGUA6NLw09EwE0CqkOc4q9oUmW1yo/edit?usp=sharing"",""พะเยา!L479"")"),138840)</f>
        <v>138840</v>
      </c>
      <c r="M584" s="170"/>
      <c r="N584" s="170">
        <f ca="1">IFERROR(__xludf.DUMMYFUNCTION("IMPORTRANGE(""https://docs.google.com/spreadsheets/d/11923uPwbBZFjjGgGUA6NLw09EwE0CqkOc4q9oUmW1yo/edit?usp=sharing"",""พะเยา!M479"")"),0)</f>
        <v>0</v>
      </c>
      <c r="O584" s="170">
        <f t="shared" ca="1" si="124"/>
        <v>0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IFERROR(__xludf.DUMMYFUNCTION("IMPORTRANGE(""https://docs.google.com/spreadsheets/d/11923uPwbBZFjjGgGUA6NLw09EwE0CqkOc4q9oUmW1yo/edit?usp=sharing"",""พะเยา!M480"")"),0)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IFERROR(__xludf.DUMMYFUNCTION("IMPORTRANGE(""https://docs.google.com/spreadsheets/d/11923uPwbBZFjjGgGUA6NLw09EwE0CqkOc4q9oUmW1yo/edit?usp=sharing"",""พะเยา!M481"")"),0)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IFERROR(__xludf.DUMMYFUNCTION("IMPORTRANGE(""https://docs.google.com/spreadsheets/d/11923uPwbBZFjjGgGUA6NLw09EwE0CqkOc4q9oUmW1yo/edit?usp=sharing"",""พะเยา!M482"")"),0)</f>
        <v>0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IFERROR(__xludf.DUMMYFUNCTION("IMPORTRANGE(""https://docs.google.com/spreadsheets/d/11923uPwbBZFjjGgGUA6NLw09EwE0CqkOc4q9oUmW1yo/edit?usp=sharing"",""พะเยา!M483"")"),0)</f>
        <v>0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IFERROR(__xludf.DUMMYFUNCTION("IMPORTRANGE(""https://docs.google.com/spreadsheets/d/11923uPwbBZFjjGgGUA6NLw09EwE0CqkOc4q9oUmW1yo/edit?usp=sharing"",""พะเยา!I484"")"),40)</f>
        <v>40</v>
      </c>
      <c r="J589" s="189">
        <f ca="1">IFERROR(__xludf.DUMMYFUNCTION("IMPORTRANGE(""https://docs.google.com/spreadsheets/d/11923uPwbBZFjjGgGUA6NLw09EwE0CqkOc4q9oUmW1yo/edit?usp=sharing"",""พะเยา!J484"")"),0)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IFERROR(__xludf.DUMMYFUNCTION("IMPORTRANGE(""https://docs.google.com/spreadsheets/d/11923uPwbBZFjjGgGUA6NLw09EwE0CqkOc4q9oUmW1yo/edit?usp=sharing"",""พะเยา!I485"")"),0)</f>
        <v>0</v>
      </c>
      <c r="J590" s="189">
        <f ca="1">IFERROR(__xludf.DUMMYFUNCTION("IMPORTRANGE(""https://docs.google.com/spreadsheets/d/11923uPwbBZFjjGgGUA6NLw09EwE0CqkOc4q9oUmW1yo/edit?usp=sharing"",""พะเยา!J485"")"),0)</f>
        <v>0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IFERROR(__xludf.DUMMYFUNCTION("IMPORTRANGE(""https://docs.google.com/spreadsheets/d/11923uPwbBZFjjGgGUA6NLw09EwE0CqkOc4q9oUmW1yo/edit?usp=sharing"",""พะเยา!I486"")"),40)</f>
        <v>40</v>
      </c>
      <c r="J591" s="189">
        <f ca="1">IFERROR(__xludf.DUMMYFUNCTION("IMPORTRANGE(""https://docs.google.com/spreadsheets/d/11923uPwbBZFjjGgGUA6NLw09EwE0CqkOc4q9oUmW1yo/edit?usp=sharing"",""พะเยา!J486"")"),11)</f>
        <v>11</v>
      </c>
      <c r="K591" s="165">
        <f t="shared" ca="1" si="125"/>
        <v>27.5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IFERROR(__xludf.DUMMYFUNCTION("IMPORTRANGE(""https://docs.google.com/spreadsheets/d/11923uPwbBZFjjGgGUA6NLw09EwE0CqkOc4q9oUmW1yo/edit?usp=sharing"",""พะเยา!I487"")"),0)</f>
        <v>0</v>
      </c>
      <c r="J592" s="189">
        <f ca="1">IFERROR(__xludf.DUMMYFUNCTION("IMPORTRANGE(""https://docs.google.com/spreadsheets/d/11923uPwbBZFjjGgGUA6NLw09EwE0CqkOc4q9oUmW1yo/edit?usp=sharing"",""พะเยา!J487"")"),5.5)</f>
        <v>5.5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IFERROR(__xludf.DUMMYFUNCTION("IMPORTRANGE(""https://docs.google.com/spreadsheets/d/11923uPwbBZFjjGgGUA6NLw09EwE0CqkOc4q9oUmW1yo/edit?usp=sharing"",""พะเยา!I488"")"),40)</f>
        <v>40</v>
      </c>
      <c r="J593" s="189">
        <f ca="1">IFERROR(__xludf.DUMMYFUNCTION("IMPORTRANGE(""https://docs.google.com/spreadsheets/d/11923uPwbBZFjjGgGUA6NLw09EwE0CqkOc4q9oUmW1yo/edit?usp=sharing"",""พะเยา!J488"")"),0)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IFERROR(__xludf.DUMMYFUNCTION("IMPORTRANGE(""https://docs.google.com/spreadsheets/d/11923uPwbBZFjjGgGUA6NLw09EwE0CqkOc4q9oUmW1yo/edit?usp=sharing"",""พะเยา!I489"")"),0)</f>
        <v>0</v>
      </c>
      <c r="J594" s="189">
        <f ca="1">IFERROR(__xludf.DUMMYFUNCTION("IMPORTRANGE(""https://docs.google.com/spreadsheets/d/11923uPwbBZFjjGgGUA6NLw09EwE0CqkOc4q9oUmW1yo/edit?usp=sharing"",""พะเยา!J489"")"),0)</f>
        <v>0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IFERROR(__xludf.DUMMYFUNCTION("IMPORTRANGE(""https://docs.google.com/spreadsheets/d/11923uPwbBZFjjGgGUA6NLw09EwE0CqkOc4q9oUmW1yo/edit?usp=sharing"",""พะเยา!I490"")"),40)</f>
        <v>40</v>
      </c>
      <c r="J595" s="189">
        <f ca="1">IFERROR(__xludf.DUMMYFUNCTION("IMPORTRANGE(""https://docs.google.com/spreadsheets/d/11923uPwbBZFjjGgGUA6NLw09EwE0CqkOc4q9oUmW1yo/edit?usp=sharing"",""พะเยา!J490"")"),11)</f>
        <v>11</v>
      </c>
      <c r="K595" s="165">
        <f t="shared" ca="1" si="125"/>
        <v>27.5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IFERROR(__xludf.DUMMYFUNCTION("IMPORTRANGE(""https://docs.google.com/spreadsheets/d/11923uPwbBZFjjGgGUA6NLw09EwE0CqkOc4q9oUmW1yo/edit?usp=sharing"",""พะเยา!I491"")"),0)</f>
        <v>0</v>
      </c>
      <c r="J596" s="242">
        <f ca="1">IFERROR(__xludf.DUMMYFUNCTION("IMPORTRANGE(""https://docs.google.com/spreadsheets/d/11923uPwbBZFjjGgGUA6NLw09EwE0CqkOc4q9oUmW1yo/edit?usp=sharing"",""พะเยา!J491"")"),5.5)</f>
        <v>5.5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IFERROR(__xludf.DUMMYFUNCTION("IMPORTRANGE(""https://docs.google.com/spreadsheets/d/11923uPwbBZFjjGgGUA6NLw09EwE0CqkOc4q9oUmW1yo/edit?usp=sharing"",""พะเยา!I492"")"),150)</f>
        <v>150</v>
      </c>
      <c r="J597" s="489">
        <f ca="1">IFERROR(__xludf.DUMMYFUNCTION("IMPORTRANGE(""https://docs.google.com/spreadsheets/d/11923uPwbBZFjjGgGUA6NLw09EwE0CqkOc4q9oUmW1yo/edit?usp=sharing"",""พะเยา!J492"")"),0)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IFERROR(__xludf.DUMMYFUNCTION("IMPORTRANGE(""https://docs.google.com/spreadsheets/d/11923uPwbBZFjjGgGUA6NLw09EwE0CqkOc4q9oUmW1yo/edit?usp=sharing"",""พะเยา!L492"")"),14050)</f>
        <v>14050</v>
      </c>
      <c r="M597" s="413"/>
      <c r="N597" s="413">
        <f ca="1">IFERROR(__xludf.DUMMYFUNCTION("IMPORTRANGE(""https://docs.google.com/spreadsheets/d/11923uPwbBZFjjGgGUA6NLw09EwE0CqkOc4q9oUmW1yo/edit?usp=sharing"",""พะเยา!M492"")"),2100)</f>
        <v>2100</v>
      </c>
      <c r="O597" s="413">
        <f t="shared" ref="O597:O601" ca="1" si="126">+IF(L597&gt;0,N597*100/L597,0)</f>
        <v>14.946619217081851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IFERROR(__xludf.DUMMYFUNCTION("IMPORTRANGE(""https://docs.google.com/spreadsheets/d/11923uPwbBZFjjGgGUA6NLw09EwE0CqkOc4q9oUmW1yo/edit?usp=sharing"",""พะเยา!L493"")"),0)</f>
        <v>0</v>
      </c>
      <c r="M598" s="166"/>
      <c r="N598" s="170">
        <f ca="1">IFERROR(__xludf.DUMMYFUNCTION("IMPORTRANGE(""https://docs.google.com/spreadsheets/d/11923uPwbBZFjjGgGUA6NLw09EwE0CqkOc4q9oUmW1yo/edit?usp=sharing"",""พะเยา!M493"")"),0)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IFERROR(__xludf.DUMMYFUNCTION("IMPORTRANGE(""https://docs.google.com/spreadsheets/d/11923uPwbBZFjjGgGUA6NLw09EwE0CqkOc4q9oUmW1yo/edit?usp=sharing"",""พะเยา!L494"")"),14050)</f>
        <v>14050</v>
      </c>
      <c r="M599" s="167"/>
      <c r="N599" s="170">
        <f ca="1">IFERROR(__xludf.DUMMYFUNCTION("IMPORTRANGE(""https://docs.google.com/spreadsheets/d/11923uPwbBZFjjGgGUA6NLw09EwE0CqkOc4q9oUmW1yo/edit?usp=sharing"",""พะเยา!M494"")"),2100)</f>
        <v>2100</v>
      </c>
      <c r="O599" s="170">
        <f t="shared" ca="1" si="126"/>
        <v>14.946619217081851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IFERROR(__xludf.DUMMYFUNCTION("IMPORTRANGE(""https://docs.google.com/spreadsheets/d/11923uPwbBZFjjGgGUA6NLw09EwE0CqkOc4q9oUmW1yo/edit?usp=sharing"",""พะเยา!L495"")"),0)</f>
        <v>0</v>
      </c>
      <c r="M600" s="170"/>
      <c r="N600" s="170">
        <f ca="1">IFERROR(__xludf.DUMMYFUNCTION("IMPORTRANGE(""https://docs.google.com/spreadsheets/d/11923uPwbBZFjjGgGUA6NLw09EwE0CqkOc4q9oUmW1yo/edit?usp=sharing"",""พะเยา!M495"")"),0)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IFERROR(__xludf.DUMMYFUNCTION("IMPORTRANGE(""https://docs.google.com/spreadsheets/d/11923uPwbBZFjjGgGUA6NLw09EwE0CqkOc4q9oUmW1yo/edit?usp=sharing"",""พะเยา!L496"")"),14050)</f>
        <v>14050</v>
      </c>
      <c r="M601" s="170"/>
      <c r="N601" s="170">
        <f ca="1">IFERROR(__xludf.DUMMYFUNCTION("IMPORTRANGE(""https://docs.google.com/spreadsheets/d/11923uPwbBZFjjGgGUA6NLw09EwE0CqkOc4q9oUmW1yo/edit?usp=sharing"",""พะเยา!M496"")"),2100)</f>
        <v>2100</v>
      </c>
      <c r="O601" s="170">
        <f t="shared" ca="1" si="126"/>
        <v>14.946619217081851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IFERROR(__xludf.DUMMYFUNCTION("IMPORTRANGE(""https://docs.google.com/spreadsheets/d/11923uPwbBZFjjGgGUA6NLw09EwE0CqkOc4q9oUmW1yo/edit?usp=sharing"",""พะเยา!M497"")"),0)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IFERROR(__xludf.DUMMYFUNCTION("IMPORTRANGE(""https://docs.google.com/spreadsheets/d/11923uPwbBZFjjGgGUA6NLw09EwE0CqkOc4q9oUmW1yo/edit?usp=sharing"",""พะเยา!M498"")"),0)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IFERROR(__xludf.DUMMYFUNCTION("IMPORTRANGE(""https://docs.google.com/spreadsheets/d/11923uPwbBZFjjGgGUA6NLw09EwE0CqkOc4q9oUmW1yo/edit?usp=sharing"",""พะเยา!M499"")"),0)</f>
        <v>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IFERROR(__xludf.DUMMYFUNCTION("IMPORTRANGE(""https://docs.google.com/spreadsheets/d/11923uPwbBZFjjGgGUA6NLw09EwE0CqkOc4q9oUmW1yo/edit?usp=sharing"",""พะเยา!M500"")"),2100)</f>
        <v>2100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IFERROR(__xludf.DUMMYFUNCTION("IMPORTRANGE(""https://docs.google.com/spreadsheets/d/11923uPwbBZFjjGgGUA6NLw09EwE0CqkOc4q9oUmW1yo/edit?usp=sharing"",""พะเยา!J502"")"),0)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IFERROR(__xludf.DUMMYFUNCTION("IMPORTRANGE(""https://docs.google.com/spreadsheets/d/11923uPwbBZFjjGgGUA6NLw09EwE0CqkOc4q9oUmW1yo/edit?usp=sharing"",""พะเยา!J503"")"),1)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IFERROR(__xludf.DUMMYFUNCTION("IMPORTRANGE(""https://docs.google.com/spreadsheets/d/11923uPwbBZFjjGgGUA6NLw09EwE0CqkOc4q9oUmW1yo/edit?usp=sharing"",""พะเยา!J166"")"),0)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IFERROR(__xludf.DUMMYFUNCTION("IMPORTRANGE(""https://docs.google.com/spreadsheets/d/11923uPwbBZFjjGgGUA6NLw09EwE0CqkOc4q9oUmW1yo/edit?usp=sharing"",""พะเยา!J166"")"),0)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IFERROR(__xludf.DUMMYFUNCTION("IMPORTRANGE(""https://docs.google.com/spreadsheets/d/11923uPwbBZFjjGgGUA6NLw09EwE0CqkOc4q9oUmW1yo/edit?usp=sharing"",""พะเยา!I506"")"),150)</f>
        <v>150</v>
      </c>
      <c r="J611" s="164">
        <f ca="1">IFERROR(__xludf.DUMMYFUNCTION("IMPORTRANGE(""https://docs.google.com/spreadsheets/d/11923uPwbBZFjjGgGUA6NLw09EwE0CqkOc4q9oUmW1yo/edit?usp=sharing"",""พะเยา!J506"")"),0)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IFERROR(__xludf.DUMMYFUNCTION("IMPORTRANGE(""https://docs.google.com/spreadsheets/d/11923uPwbBZFjjGgGUA6NLw09EwE0CqkOc4q9oUmW1yo/edit?usp=sharing"",""พะเยา!I507"")"),0)</f>
        <v>0</v>
      </c>
      <c r="J612" s="199">
        <f ca="1">IFERROR(__xludf.DUMMYFUNCTION("IMPORTRANGE(""https://docs.google.com/spreadsheets/d/11923uPwbBZFjjGgGUA6NLw09EwE0CqkOc4q9oUmW1yo/edit?usp=sharing"",""พะเยา!J507"")"),0)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IFERROR(__xludf.DUMMYFUNCTION("IMPORTRANGE(""https://docs.google.com/spreadsheets/d/11923uPwbBZFjjGgGUA6NLw09EwE0CqkOc4q9oUmW1yo/edit?usp=sharing"",""พะเยา!I508"")"),0)</f>
        <v>0</v>
      </c>
      <c r="J613" s="199">
        <f ca="1">IFERROR(__xludf.DUMMYFUNCTION("IMPORTRANGE(""https://docs.google.com/spreadsheets/d/11923uPwbBZFjjGgGUA6NLw09EwE0CqkOc4q9oUmW1yo/edit?usp=sharing"",""พะเยา!J508"")"),0)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IFERROR(__xludf.DUMMYFUNCTION("IMPORTRANGE(""https://docs.google.com/spreadsheets/d/11923uPwbBZFjjGgGUA6NLw09EwE0CqkOc4q9oUmW1yo/edit?usp=sharing"",""พะเยา!I509"")"),0)</f>
        <v>0</v>
      </c>
      <c r="J614" s="199">
        <f ca="1">IFERROR(__xludf.DUMMYFUNCTION("IMPORTRANGE(""https://docs.google.com/spreadsheets/d/11923uPwbBZFjjGgGUA6NLw09EwE0CqkOc4q9oUmW1yo/edit?usp=sharing"",""พะเยา!J509"")"),0)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IFERROR(__xludf.DUMMYFUNCTION("IMPORTRANGE(""https://docs.google.com/spreadsheets/d/11923uPwbBZFjjGgGUA6NLw09EwE0CqkOc4q9oUmW1yo/edit?usp=sharing"",""พะเยา!I510"")"),0)</f>
        <v>0</v>
      </c>
      <c r="J615" s="199">
        <f ca="1">IFERROR(__xludf.DUMMYFUNCTION("IMPORTRANGE(""https://docs.google.com/spreadsheets/d/11923uPwbBZFjjGgGUA6NLw09EwE0CqkOc4q9oUmW1yo/edit?usp=sharing"",""พะเยา!J510"")"),0)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IFERROR(__xludf.DUMMYFUNCTION("IMPORTRANGE(""https://docs.google.com/spreadsheets/d/11923uPwbBZFjjGgGUA6NLw09EwE0CqkOc4q9oUmW1yo/edit?usp=sharing"",""พะเยา!I511"")"),0)</f>
        <v>0</v>
      </c>
      <c r="J616" s="199">
        <f ca="1">IFERROR(__xludf.DUMMYFUNCTION("IMPORTRANGE(""https://docs.google.com/spreadsheets/d/11923uPwbBZFjjGgGUA6NLw09EwE0CqkOc4q9oUmW1yo/edit?usp=sharing"",""พะเยา!J511"")"),0)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IFERROR(__xludf.DUMMYFUNCTION("IMPORTRANGE(""https://docs.google.com/spreadsheets/d/11923uPwbBZFjjGgGUA6NLw09EwE0CqkOc4q9oUmW1yo/edit?usp=sharing"",""พะเยา!I512"")"),0)</f>
        <v>0</v>
      </c>
      <c r="J617" s="189">
        <f ca="1">IFERROR(__xludf.DUMMYFUNCTION("IMPORTRANGE(""https://docs.google.com/spreadsheets/d/11923uPwbBZFjjGgGUA6NLw09EwE0CqkOc4q9oUmW1yo/edit?usp=sharing"",""พะเยา!J512"")"),0)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IFERROR(__xludf.DUMMYFUNCTION("IMPORTRANGE(""https://docs.google.com/spreadsheets/d/11923uPwbBZFjjGgGUA6NLw09EwE0CqkOc4q9oUmW1yo/edit?usp=sharing"",""พะเยา!I513"")"),0)</f>
        <v>0</v>
      </c>
      <c r="J618" s="190">
        <f ca="1">IFERROR(__xludf.DUMMYFUNCTION("IMPORTRANGE(""https://docs.google.com/spreadsheets/d/11923uPwbBZFjjGgGUA6NLw09EwE0CqkOc4q9oUmW1yo/edit?usp=sharing"",""พะเยา!J513"")"),0)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IFERROR(__xludf.DUMMYFUNCTION("IMPORTRANGE(""https://docs.google.com/spreadsheets/d/11923uPwbBZFjjGgGUA6NLw09EwE0CqkOc4q9oUmW1yo/edit?usp=sharing"",""พะเยา!I514"")"),0)</f>
        <v>0</v>
      </c>
      <c r="J619" s="190">
        <f ca="1">IFERROR(__xludf.DUMMYFUNCTION("IMPORTRANGE(""https://docs.google.com/spreadsheets/d/11923uPwbBZFjjGgGUA6NLw09EwE0CqkOc4q9oUmW1yo/edit?usp=sharing"",""พะเยา!J514"")"),0)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IFERROR(__xludf.DUMMYFUNCTION("IMPORTRANGE(""https://docs.google.com/spreadsheets/d/11923uPwbBZFjjGgGUA6NLw09EwE0CqkOc4q9oUmW1yo/edit?usp=sharing"",""พะเยา!I515"")"),0)</f>
        <v>0</v>
      </c>
      <c r="J620" s="204">
        <f ca="1">IFERROR(__xludf.DUMMYFUNCTION("IMPORTRANGE(""https://docs.google.com/spreadsheets/d/11923uPwbBZFjjGgGUA6NLw09EwE0CqkOc4q9oUmW1yo/edit?usp=sharing"",""พะเยา!J515"")"),0)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IFERROR(__xludf.DUMMYFUNCTION("IMPORTRANGE(""https://docs.google.com/spreadsheets/d/11923uPwbBZFjjGgGUA6NLw09EwE0CqkOc4q9oUmW1yo/edit?usp=sharing"",""พะเยา!I516"")"),0)</f>
        <v>0</v>
      </c>
      <c r="J621" s="204">
        <f ca="1">IFERROR(__xludf.DUMMYFUNCTION("IMPORTRANGE(""https://docs.google.com/spreadsheets/d/11923uPwbBZFjjGgGUA6NLw09EwE0CqkOc4q9oUmW1yo/edit?usp=sharing"",""พะเยา!J516"")"),0)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IFERROR(__xludf.DUMMYFUNCTION("IMPORTRANGE(""https://docs.google.com/spreadsheets/d/11923uPwbBZFjjGgGUA6NLw09EwE0CqkOc4q9oUmW1yo/edit?usp=sharing"",""พะเยา!I517"")"),0)</f>
        <v>0</v>
      </c>
      <c r="J622" s="190">
        <f ca="1">IFERROR(__xludf.DUMMYFUNCTION("IMPORTRANGE(""https://docs.google.com/spreadsheets/d/11923uPwbBZFjjGgGUA6NLw09EwE0CqkOc4q9oUmW1yo/edit?usp=sharing"",""พะเยา!J517"")"),0)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IFERROR(__xludf.DUMMYFUNCTION("IMPORTRANGE(""https://docs.google.com/spreadsheets/d/11923uPwbBZFjjGgGUA6NLw09EwE0CqkOc4q9oUmW1yo/edit?usp=sharing"",""พะเยา!I518"")"),0)</f>
        <v>0</v>
      </c>
      <c r="J623" s="190">
        <f ca="1">IFERROR(__xludf.DUMMYFUNCTION("IMPORTRANGE(""https://docs.google.com/spreadsheets/d/11923uPwbBZFjjGgGUA6NLw09EwE0CqkOc4q9oUmW1yo/edit?usp=sharing"",""พะเยา!J518"")"),0)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IFERROR(__xludf.DUMMYFUNCTION("IMPORTRANGE(""https://docs.google.com/spreadsheets/d/11923uPwbBZFjjGgGUA6NLw09EwE0CqkOc4q9oUmW1yo/edit?usp=sharing"",""พะเยา!I519"")"),0)</f>
        <v>0</v>
      </c>
      <c r="J624" s="189">
        <f ca="1">IFERROR(__xludf.DUMMYFUNCTION("IMPORTRANGE(""https://docs.google.com/spreadsheets/d/11923uPwbBZFjjGgGUA6NLw09EwE0CqkOc4q9oUmW1yo/edit?usp=sharing"",""พะเยา!J519"")"),0)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IFERROR(__xludf.DUMMYFUNCTION("IMPORTRANGE(""https://docs.google.com/spreadsheets/d/11923uPwbBZFjjGgGUA6NLw09EwE0CqkOc4q9oUmW1yo/edit?usp=sharing"",""พะเยา!I520"")"),0)</f>
        <v>0</v>
      </c>
      <c r="J625" s="190">
        <f ca="1">IFERROR(__xludf.DUMMYFUNCTION("IMPORTRANGE(""https://docs.google.com/spreadsheets/d/11923uPwbBZFjjGgGUA6NLw09EwE0CqkOc4q9oUmW1yo/edit?usp=sharing"",""พะเยา!J520"")"),0)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IFERROR(__xludf.DUMMYFUNCTION("IMPORTRANGE(""https://docs.google.com/spreadsheets/d/11923uPwbBZFjjGgGUA6NLw09EwE0CqkOc4q9oUmW1yo/edit?usp=sharing"",""พะเยา!I521"")"),0)</f>
        <v>0</v>
      </c>
      <c r="J626" s="190">
        <f ca="1">IFERROR(__xludf.DUMMYFUNCTION("IMPORTRANGE(""https://docs.google.com/spreadsheets/d/11923uPwbBZFjjGgGUA6NLw09EwE0CqkOc4q9oUmW1yo/edit?usp=sharing"",""พะเยา!J521"")"),0)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IFERROR(__xludf.DUMMYFUNCTION("IMPORTRANGE(""https://docs.google.com/spreadsheets/d/11923uPwbBZFjjGgGUA6NLw09EwE0CqkOc4q9oUmW1yo/edit?usp=sharing"",""พะเยา!I523"")"),4799661.59)</f>
        <v>4799661.59</v>
      </c>
      <c r="J628" s="342">
        <f ca="1">IFERROR(__xludf.DUMMYFUNCTION("IMPORTRANGE(""https://docs.google.com/spreadsheets/d/11923uPwbBZFjjGgGUA6NLw09EwE0CqkOc4q9oUmW1yo/edit?usp=sharing"",""พะเยา!J523"")"),2964880.52)</f>
        <v>2964880.52</v>
      </c>
      <c r="K628" s="343">
        <f t="shared" ref="K628:K635" ca="1" si="129">IF(I628&gt;0,J628*100/I628,0)</f>
        <v>61.772699270658372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IFERROR(__xludf.DUMMYFUNCTION("IMPORTRANGE(""https://docs.google.com/spreadsheets/d/11923uPwbBZFjjGgGUA6NLw09EwE0CqkOc4q9oUmW1yo/edit?usp=sharing"",""พะเยา!I524"")"),454)</f>
        <v>454</v>
      </c>
      <c r="J629" s="342">
        <f ca="1">IFERROR(__xludf.DUMMYFUNCTION("IMPORTRANGE(""https://docs.google.com/spreadsheets/d/11923uPwbBZFjjGgGUA6NLw09EwE0CqkOc4q9oUmW1yo/edit?usp=sharing"",""พะเยา!J524"")"),286)</f>
        <v>286</v>
      </c>
      <c r="K629" s="343">
        <f t="shared" ca="1" si="129"/>
        <v>62.995594713656388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42">
        <f ca="1">IFERROR(__xludf.DUMMYFUNCTION("IMPORTRANGE(""https://docs.google.com/spreadsheets/d/11923uPwbBZFjjGgGUA6NLw09EwE0CqkOc4q9oUmW1yo/edit?usp=sharing"",""พะเยา!J525"")"),538935.41)</f>
        <v>538935.41</v>
      </c>
      <c r="K630" s="343">
        <f t="shared" ca="1" si="129"/>
        <v>5.4326389824839181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IFERROR(__xludf.DUMMYFUNCTION("IMPORTRANGE(""https://docs.google.com/spreadsheets/d/11923uPwbBZFjjGgGUA6NLw09EwE0CqkOc4q9oUmW1yo/edit?usp=sharing"",""พะเยา!I526"")"),332)</f>
        <v>332</v>
      </c>
      <c r="J631" s="342">
        <f ca="1">IFERROR(__xludf.DUMMYFUNCTION("IMPORTRANGE(""https://docs.google.com/spreadsheets/d/11923uPwbBZFjjGgGUA6NLw09EwE0CqkOc4q9oUmW1yo/edit?usp=sharing"",""พะเยา!J526"")"),93)</f>
        <v>93</v>
      </c>
      <c r="K631" s="343">
        <f t="shared" ca="1" si="129"/>
        <v>28.012048192771083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IFERROR(__xludf.DUMMYFUNCTION("IMPORTRANGE(""https://docs.google.com/spreadsheets/d/11923uPwbBZFjjGgGUA6NLw09EwE0CqkOc4q9oUmW1yo/edit?usp=sharing"",""พะเยา!I527"")"),61819.65)</f>
        <v>61819.65</v>
      </c>
      <c r="J632" s="342">
        <f ca="1">IFERROR(__xludf.DUMMYFUNCTION("IMPORTRANGE(""https://docs.google.com/spreadsheets/d/11923uPwbBZFjjGgGUA6NLw09EwE0CqkOc4q9oUmW1yo/edit?usp=sharing"",""พะเยา!J527"")"),2100)</f>
        <v>2100</v>
      </c>
      <c r="K632" s="343">
        <f t="shared" ca="1" si="129"/>
        <v>3.3969781452984606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IFERROR(__xludf.DUMMYFUNCTION("IMPORTRANGE(""https://docs.google.com/spreadsheets/d/11923uPwbBZFjjGgGUA6NLw09EwE0CqkOc4q9oUmW1yo/edit?usp=sharing"",""พะเยา!I528"")"),107)</f>
        <v>107</v>
      </c>
      <c r="J633" s="342">
        <f ca="1">IFERROR(__xludf.DUMMYFUNCTION("IMPORTRANGE(""https://docs.google.com/spreadsheets/d/11923uPwbBZFjjGgGUA6NLw09EwE0CqkOc4q9oUmW1yo/edit?usp=sharing"",""พะเยา!J528"")"),2)</f>
        <v>2</v>
      </c>
      <c r="K633" s="343">
        <f t="shared" ca="1" si="129"/>
        <v>1.8691588785046729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IFERROR(__xludf.DUMMYFUNCTION("IMPORTRANGE(""https://docs.google.com/spreadsheets/d/11923uPwbBZFjjGgGUA6NLw09EwE0CqkOc4q9oUmW1yo/edit?usp=sharing"",""พะเยา!I529"")"),6000000)</f>
        <v>6000000</v>
      </c>
      <c r="J634" s="342">
        <f ca="1">IFERROR(__xludf.DUMMYFUNCTION("IMPORTRANGE(""https://docs.google.com/spreadsheets/d/11923uPwbBZFjjGgGUA6NLw09EwE0CqkOc4q9oUmW1yo/edit?usp=sharing"",""พะเยา!J529"")"),3630000)</f>
        <v>3630000</v>
      </c>
      <c r="K634" s="343">
        <f t="shared" ca="1" si="129"/>
        <v>60.5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IFERROR(__xludf.DUMMYFUNCTION("IMPORTRANGE(""https://docs.google.com/spreadsheets/d/11923uPwbBZFjjGgGUA6NLw09EwE0CqkOc4q9oUmW1yo/edit?usp=sharing"",""พะเยา!I530"")"),120)</f>
        <v>120</v>
      </c>
      <c r="J635" s="506">
        <f ca="1">IFERROR(__xludf.DUMMYFUNCTION("IMPORTRANGE(""https://docs.google.com/spreadsheets/d/11923uPwbBZFjjGgGUA6NLw09EwE0CqkOc4q9oUmW1yo/edit?usp=sharing"",""พะเยา!J530"")"),75)</f>
        <v>75</v>
      </c>
      <c r="K635" s="488">
        <f t="shared" ca="1" si="129"/>
        <v>62.5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IFERROR(__xludf.DUMMYFUNCTION("IMPORTRANGE(""https://docs.google.com/spreadsheets/d/11923uPwbBZFjjGgGUA6NLw09EwE0CqkOc4q9oUmW1yo/edit?usp=sharing"",""พะเยา!J541"")"),0)</f>
        <v>0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IFERROR(__xludf.DUMMYFUNCTION("IMPORTRANGE(""https://docs.google.com/spreadsheets/d/11923uPwbBZFjjGgGUA6NLw09EwE0CqkOc4q9oUmW1yo/edit?usp=sharing"",""พะเยา!J542"")"),0)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IFERROR(__xludf.DUMMYFUNCTION("IMPORTRANGE(""https://docs.google.com/spreadsheets/d/11923uPwbBZFjjGgGUA6NLw09EwE0CqkOc4q9oUmW1yo/edit?usp=sharing"",""พะเยา!I543"")"),0)</f>
        <v>0</v>
      </c>
      <c r="J648" s="537">
        <f ca="1">IFERROR(__xludf.DUMMYFUNCTION("IMPORTRANGE(""https://docs.google.com/spreadsheets/d/11923uPwbBZFjjGgGUA6NLw09EwE0CqkOc4q9oUmW1yo/edit?usp=sharing"",""พะเยา!J543"")"),0)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IFERROR(__xludf.DUMMYFUNCTION("IMPORTRANGE(""https://docs.google.com/spreadsheets/d/11923uPwbBZFjjGgGUA6NLw09EwE0CqkOc4q9oUmW1yo/edit?usp=sharing"",""พะเยา!L543"")"),0)</f>
        <v>0</v>
      </c>
      <c r="M648" s="522"/>
      <c r="N648" s="539">
        <f ca="1">IFERROR(__xludf.DUMMYFUNCTION("IMPORTRANGE(""https://docs.google.com/spreadsheets/d/11923uPwbBZFjjGgGUA6NLw09EwE0CqkOc4q9oUmW1yo/edit?usp=sharing"",""พะเยา!M543"")"),0)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IFERROR(__xludf.DUMMYFUNCTION("IMPORTRANGE(""https://docs.google.com/spreadsheets/d/11923uPwbBZFjjGgGUA6NLw09EwE0CqkOc4q9oUmW1yo/edit?usp=sharing"",""พะเยา!I544"")"),0)</f>
        <v>0</v>
      </c>
      <c r="J649" s="537">
        <f ca="1">IFERROR(__xludf.DUMMYFUNCTION("IMPORTRANGE(""https://docs.google.com/spreadsheets/d/11923uPwbBZFjjGgGUA6NLw09EwE0CqkOc4q9oUmW1yo/edit?usp=sharing"",""พะเยา!J544"")"),0)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IFERROR(__xludf.DUMMYFUNCTION("IMPORTRANGE(""https://docs.google.com/spreadsheets/d/11923uPwbBZFjjGgGUA6NLw09EwE0CqkOc4q9oUmW1yo/edit?usp=sharing"",""พะเยา!L544"")"),0)</f>
        <v>0</v>
      </c>
      <c r="M649" s="522"/>
      <c r="N649" s="539">
        <f ca="1">IFERROR(__xludf.DUMMYFUNCTION("IMPORTRANGE(""https://docs.google.com/spreadsheets/d/11923uPwbBZFjjGgGUA6NLw09EwE0CqkOc4q9oUmW1yo/edit?usp=sharing"",""พะเยา!M544"")"),0)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IFERROR(__xludf.DUMMYFUNCTION("IMPORTRANGE(""https://docs.google.com/spreadsheets/d/11923uPwbBZFjjGgGUA6NLw09EwE0CqkOc4q9oUmW1yo/edit?usp=sharing"",""พะเยา!I545"")"),0)</f>
        <v>0</v>
      </c>
      <c r="J650" s="537">
        <f ca="1">IFERROR(__xludf.DUMMYFUNCTION("IMPORTRANGE(""https://docs.google.com/spreadsheets/d/11923uPwbBZFjjGgGUA6NLw09EwE0CqkOc4q9oUmW1yo/edit?usp=sharing"",""พะเยา!J545"")"),0)</f>
        <v>0</v>
      </c>
      <c r="K650" s="538">
        <f t="shared" ca="1" si="131"/>
        <v>0</v>
      </c>
      <c r="L650" s="523">
        <f ca="1">IFERROR(__xludf.DUMMYFUNCTION("IMPORTRANGE(""https://docs.google.com/spreadsheets/d/11923uPwbBZFjjGgGUA6NLw09EwE0CqkOc4q9oUmW1yo/edit?usp=sharing"",""พะเยา!L545"")"),0)</f>
        <v>0</v>
      </c>
      <c r="M650" s="522"/>
      <c r="N650" s="539">
        <f ca="1">IFERROR(__xludf.DUMMYFUNCTION("IMPORTRANGE(""https://docs.google.com/spreadsheets/d/11923uPwbBZFjjGgGUA6NLw09EwE0CqkOc4q9oUmW1yo/edit?usp=sharing"",""พะเยา!M545"")"),0)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IFERROR(__xludf.DUMMYFUNCTION("IMPORTRANGE(""https://docs.google.com/spreadsheets/d/11923uPwbBZFjjGgGUA6NLw09EwE0CqkOc4q9oUmW1yo/edit?usp=sharing"",""พะเยา!I546"")"),0)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IFERROR(__xludf.DUMMYFUNCTION("IMPORTRANGE(""https://docs.google.com/spreadsheets/d/11923uPwbBZFjjGgGUA6NLw09EwE0CqkOc4q9oUmW1yo/edit?usp=sharing"",""พะเยา!L546"")"),0)</f>
        <v>0</v>
      </c>
      <c r="M651" s="522"/>
      <c r="N651" s="539">
        <f ca="1">IFERROR(__xludf.DUMMYFUNCTION("IMPORTRANGE(""https://docs.google.com/spreadsheets/d/11923uPwbBZFjjGgGUA6NLw09EwE0CqkOc4q9oUmW1yo/edit?usp=sharing"",""พะเยา!M546"")"),0)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IFERROR(__xludf.DUMMYFUNCTION("IMPORTRANGE(""https://docs.google.com/spreadsheets/d/11923uPwbBZFjjGgGUA6NLw09EwE0CqkOc4q9oUmW1yo/edit?usp=sharing"",""พะเยา!J547"")"),0)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IFERROR(__xludf.DUMMYFUNCTION("IMPORTRANGE(""https://docs.google.com/spreadsheets/d/11923uPwbBZFjjGgGUA6NLw09EwE0CqkOc4q9oUmW1yo/edit?usp=sharing"",""พะเยา!J548"")"),0)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IFERROR(__xludf.DUMMYFUNCTION("IMPORTRANGE(""https://docs.google.com/spreadsheets/d/11923uPwbBZFjjGgGUA6NLw09EwE0CqkOc4q9oUmW1yo/edit?usp=sharing"",""พะเยา!J550"")"),0)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IFERROR(__xludf.DUMMYFUNCTION("IMPORTRANGE(""https://docs.google.com/spreadsheets/d/11923uPwbBZFjjGgGUA6NLw09EwE0CqkOc4q9oUmW1yo/edit?usp=sharing"",""พะเยา!J551"")"),0)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IFERROR(__xludf.DUMMYFUNCTION("IMPORTRANGE(""https://docs.google.com/spreadsheets/d/11923uPwbBZFjjGgGUA6NLw09EwE0CqkOc4q9oUmW1yo/edit?usp=sharing"",""พะเยา!J552"")"),0)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IFERROR(__xludf.DUMMYFUNCTION("IMPORTRANGE(""https://docs.google.com/spreadsheets/d/11923uPwbBZFjjGgGUA6NLw09EwE0CqkOc4q9oUmW1yo/edit?usp=sharing"",""พะเยา!J553"")"),0)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IFERROR(__xludf.DUMMYFUNCTION("IMPORTRANGE(""https://docs.google.com/spreadsheets/d/11923uPwbBZFjjGgGUA6NLw09EwE0CqkOc4q9oUmW1yo/edit?usp=sharing"",""พะเยา!J554"")"),0)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IFERROR(__xludf.DUMMYFUNCTION("IMPORTRANGE(""https://docs.google.com/spreadsheets/d/11923uPwbBZFjjGgGUA6NLw09EwE0CqkOc4q9oUmW1yo/edit?usp=sharing"",""พะเยา!J555"")"),0)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IFERROR(__xludf.DUMMYFUNCTION("IMPORTRANGE(""https://docs.google.com/spreadsheets/d/11923uPwbBZFjjGgGUA6NLw09EwE0CqkOc4q9oUmW1yo/edit?usp=sharing"",""พะเยา!J556"")"),0)</f>
        <v>0</v>
      </c>
      <c r="K661" s="538"/>
      <c r="L661" s="523">
        <f ca="1">IFERROR(__xludf.DUMMYFUNCTION("IMPORTRANGE(""https://docs.google.com/spreadsheets/d/11923uPwbBZFjjGgGUA6NLw09EwE0CqkOc4q9oUmW1yo/edit?usp=sharing"",""พะเยา!L556"")"),0)</f>
        <v>0</v>
      </c>
      <c r="M661" s="522"/>
      <c r="N661" s="539">
        <f ca="1">IFERROR(__xludf.DUMMYFUNCTION("IMPORTRANGE(""https://docs.google.com/spreadsheets/d/11923uPwbBZFjjGgGUA6NLw09EwE0CqkOc4q9oUmW1yo/edit?usp=sharing"",""พะเยา!M556"")"),0)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IFERROR(__xludf.DUMMYFUNCTION("IMPORTRANGE(""https://docs.google.com/spreadsheets/d/11923uPwbBZFjjGgGUA6NLw09EwE0CqkOc4q9oUmW1yo/edit?usp=sharing"",""พะเยา!J557"")"),0)</f>
        <v>0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IFERROR(__xludf.DUMMYFUNCTION("IMPORTRANGE(""https://docs.google.com/spreadsheets/d/11923uPwbBZFjjGgGUA6NLw09EwE0CqkOc4q9oUmW1yo/edit?usp=sharing"",""พะเยา!I558"")"),0)</f>
        <v>0</v>
      </c>
      <c r="J663" s="537">
        <f ca="1">IFERROR(__xludf.DUMMYFUNCTION("IMPORTRANGE(""https://docs.google.com/spreadsheets/d/11923uPwbBZFjjGgGUA6NLw09EwE0CqkOc4q9oUmW1yo/edit?usp=sharing"",""พะเยา!J558"")"),0)</f>
        <v>0</v>
      </c>
      <c r="K663" s="538">
        <f ca="1">IF(I663&gt;0,J663*100/I663,0)</f>
        <v>0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IFERROR(__xludf.DUMMYFUNCTION("IMPORTRANGE(""https://docs.google.com/spreadsheets/d/11923uPwbBZFjjGgGUA6NLw09EwE0CqkOc4q9oUmW1yo/edit?usp=sharing"",""พะเยา!I560"")"),0)</f>
        <v>0</v>
      </c>
      <c r="J665" s="537">
        <f ca="1">IFERROR(__xludf.DUMMYFUNCTION("IMPORTRANGE(""https://docs.google.com/spreadsheets/d/11923uPwbBZFjjGgGUA6NLw09EwE0CqkOc4q9oUmW1yo/edit?usp=sharing"",""พะเยา!J560"")"),0)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IFERROR(__xludf.DUMMYFUNCTION("IMPORTRANGE(""https://docs.google.com/spreadsheets/d/11923uPwbBZFjjGgGUA6NLw09EwE0CqkOc4q9oUmW1yo/edit?usp=sharing"",""พะเยา!L560"")"),0)</f>
        <v>0</v>
      </c>
      <c r="M665" s="522"/>
      <c r="N665" s="539">
        <f ca="1">IFERROR(__xludf.DUMMYFUNCTION("IMPORTRANGE(""https://docs.google.com/spreadsheets/d/11923uPwbBZFjjGgGUA6NLw09EwE0CqkOc4q9oUmW1yo/edit?usp=sharing"",""พะเยา!M560"")"),0)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IFERROR(__xludf.DUMMYFUNCTION("IMPORTRANGE(""https://docs.google.com/spreadsheets/d/11923uPwbBZFjjGgGUA6NLw09EwE0CqkOc4q9oUmW1yo/edit?usp=sharing"",""พะเยา!J561"")"),0)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IFERROR(__xludf.DUMMYFUNCTION("IMPORTRANGE(""https://docs.google.com/spreadsheets/d/11923uPwbBZFjjGgGUA6NLw09EwE0CqkOc4q9oUmW1yo/edit?usp=sharing"",""พะเยา!J562"")"),0)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IFERROR(__xludf.DUMMYFUNCTION("IMPORTRANGE(""https://docs.google.com/spreadsheets/d/11923uPwbBZFjjGgGUA6NLw09EwE0CqkOc4q9oUmW1yo/edit?usp=sharing"",""พะเยา!I563"")"),0)</f>
        <v>0</v>
      </c>
      <c r="J668" s="537">
        <f ca="1">IFERROR(__xludf.DUMMYFUNCTION("IMPORTRANGE(""https://docs.google.com/spreadsheets/d/11923uPwbBZFjjGgGUA6NLw09EwE0CqkOc4q9oUmW1yo/edit?usp=sharing"",""พะเยา!J563"")"),0)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IFERROR(__xludf.DUMMYFUNCTION("IMPORTRANGE(""https://docs.google.com/spreadsheets/d/11923uPwbBZFjjGgGUA6NLw09EwE0CqkOc4q9oUmW1yo/edit?usp=sharing"",""พะเยา!L563"")"),0)</f>
        <v>0</v>
      </c>
      <c r="M668" s="522"/>
      <c r="N668" s="539">
        <f ca="1">IFERROR(__xludf.DUMMYFUNCTION("IMPORTRANGE(""https://docs.google.com/spreadsheets/d/11923uPwbBZFjjGgGUA6NLw09EwE0CqkOc4q9oUmW1yo/edit?usp=sharing"",""พะเยา!M563"")"),0)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IFERROR(__xludf.DUMMYFUNCTION("IMPORTRANGE(""https://docs.google.com/spreadsheets/d/11923uPwbBZFjjGgGUA6NLw09EwE0CqkOc4q9oUmW1yo/edit?usp=sharing"",""พะเยา!J564"")"),0)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IFERROR(__xludf.DUMMYFUNCTION("IMPORTRANGE(""https://docs.google.com/spreadsheets/d/11923uPwbBZFjjGgGUA6NLw09EwE0CqkOc4q9oUmW1yo/edit?usp=sharing"",""พะเยา!J565"")"),0)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IFERROR(__xludf.DUMMYFUNCTION("IMPORTRANGE(""https://docs.google.com/spreadsheets/d/11923uPwbBZFjjGgGUA6NLw09EwE0CqkOc4q9oUmW1yo/edit?usp=sharing"",""พะเยา!I566"")"),0)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IFERROR(__xludf.DUMMYFUNCTION("IMPORTRANGE(""https://docs.google.com/spreadsheets/d/11923uPwbBZFjjGgGUA6NLw09EwE0CqkOc4q9oUmW1yo/edit?usp=sharing"",""พะเยา!L566"")"),0)</f>
        <v>0</v>
      </c>
      <c r="M671" s="522"/>
      <c r="N671" s="539">
        <f ca="1">IFERROR(__xludf.DUMMYFUNCTION("IMPORTRANGE(""https://docs.google.com/spreadsheets/d/11923uPwbBZFjjGgGUA6NLw09EwE0CqkOc4q9oUmW1yo/edit?usp=sharing"",""พะเยา!M566"")"),0)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IFERROR(__xludf.DUMMYFUNCTION("IMPORTRANGE(""https://docs.google.com/spreadsheets/d/11923uPwbBZFjjGgGUA6NLw09EwE0CqkOc4q9oUmW1yo/edit?usp=sharing"",""พะเยา!J567"")"),0)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IFERROR(__xludf.DUMMYFUNCTION("IMPORTRANGE(""https://docs.google.com/spreadsheets/d/11923uPwbBZFjjGgGUA6NLw09EwE0CqkOc4q9oUmW1yo/edit?usp=sharing"",""พะเยา!J568"")"),0)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IFERROR(__xludf.DUMMYFUNCTION("IMPORTRANGE(""https://docs.google.com/spreadsheets/d/11923uPwbBZFjjGgGUA6NLw09EwE0CqkOc4q9oUmW1yo/edit?usp=sharing"",""พะเยา!J569"")"),0)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IFERROR(__xludf.DUMMYFUNCTION("IMPORTRANGE(""https://docs.google.com/spreadsheets/d/11923uPwbBZFjjGgGUA6NLw09EwE0CqkOc4q9oUmW1yo/edit?usp=sharing"",""พะเยา!J570"")"),0)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IFERROR(__xludf.DUMMYFUNCTION("IMPORTRANGE(""https://docs.google.com/spreadsheets/d/11923uPwbBZFjjGgGUA6NLw09EwE0CqkOc4q9oUmW1yo/edit?usp=sharing"",""พะเยา!J571"")"),0)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IFERROR(__xludf.DUMMYFUNCTION("IMPORTRANGE(""https://docs.google.com/spreadsheets/d/11923uPwbBZFjjGgGUA6NLw09EwE0CqkOc4q9oUmW1yo/edit?usp=sharing"",""พะเยา!J572"")"),0)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9" t="s">
        <v>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1"/>
    </row>
    <row r="2" spans="1:16" ht="18" customHeight="1">
      <c r="A2" s="579" t="s">
        <v>274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2"/>
    </row>
    <row r="3" spans="1:16" ht="18" customHeight="1">
      <c r="A3" s="579" t="s">
        <v>294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6" t="s">
        <v>2</v>
      </c>
      <c r="B5" s="587"/>
      <c r="C5" s="587"/>
      <c r="D5" s="587"/>
      <c r="E5" s="587"/>
      <c r="F5" s="587"/>
      <c r="G5" s="588"/>
      <c r="H5" s="581" t="s">
        <v>3</v>
      </c>
      <c r="I5" s="583" t="s">
        <v>4</v>
      </c>
      <c r="J5" s="572"/>
      <c r="K5" s="573"/>
      <c r="L5" s="584" t="s">
        <v>5</v>
      </c>
      <c r="M5" s="573"/>
      <c r="N5" s="585" t="s">
        <v>6</v>
      </c>
      <c r="O5" s="572"/>
      <c r="P5" s="573"/>
    </row>
    <row r="6" spans="1:16" ht="21.75" customHeight="1">
      <c r="A6" s="589"/>
      <c r="B6" s="590"/>
      <c r="C6" s="590"/>
      <c r="D6" s="590"/>
      <c r="E6" s="590"/>
      <c r="F6" s="590"/>
      <c r="G6" s="591"/>
      <c r="H6" s="58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2"/>
      <c r="C7" s="572"/>
      <c r="D7" s="572"/>
      <c r="E7" s="572"/>
      <c r="F7" s="572"/>
      <c r="G7" s="573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7" t="s">
        <v>17</v>
      </c>
      <c r="E8" s="567"/>
      <c r="F8" s="567"/>
      <c r="G8" s="567"/>
      <c r="H8" s="22" t="s">
        <v>12</v>
      </c>
      <c r="I8" s="23"/>
      <c r="J8" s="23"/>
      <c r="K8" s="24"/>
      <c r="L8" s="25">
        <f t="shared" ref="L8:N8" ca="1" si="0">L9+L10</f>
        <v>4621612</v>
      </c>
      <c r="M8" s="25">
        <f t="shared" ca="1" si="0"/>
        <v>2059250</v>
      </c>
      <c r="N8" s="25">
        <f t="shared" ca="1" si="0"/>
        <v>2111605.2999999998</v>
      </c>
      <c r="O8" s="24">
        <f t="shared" ref="O8:O16" ca="1" si="1">IF(L8&gt;0,N8*100/L8,0)</f>
        <v>45.689800441923722</v>
      </c>
      <c r="P8" s="24">
        <f t="shared" ref="P8:P16" ca="1" si="2">IF(M8&gt;0,N8*100/M8,0)</f>
        <v>102.54244506495081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4621612</v>
      </c>
      <c r="M10" s="32">
        <f t="shared" ca="1" si="4"/>
        <v>2059250</v>
      </c>
      <c r="N10" s="32">
        <f t="shared" ca="1" si="4"/>
        <v>2111605.2999999998</v>
      </c>
      <c r="O10" s="31">
        <f t="shared" ca="1" si="1"/>
        <v>45.689800441923722</v>
      </c>
      <c r="P10" s="31">
        <f t="shared" ca="1" si="2"/>
        <v>102.54244506495081</v>
      </c>
    </row>
    <row r="11" spans="1:16" ht="21.75" customHeight="1">
      <c r="A11" s="33"/>
      <c r="B11" s="34"/>
      <c r="C11" s="35" t="s">
        <v>16</v>
      </c>
      <c r="D11" s="570" t="s">
        <v>20</v>
      </c>
      <c r="E11" s="565"/>
      <c r="F11" s="565"/>
      <c r="G11" s="37" t="s">
        <v>18</v>
      </c>
      <c r="H11" s="38" t="s">
        <v>12</v>
      </c>
      <c r="I11" s="39"/>
      <c r="J11" s="39"/>
      <c r="K11" s="40"/>
      <c r="L11" s="41">
        <f t="shared" ref="L11:N11" ca="1" si="5">L21+L31</f>
        <v>0</v>
      </c>
      <c r="M11" s="41">
        <f t="shared" si="5"/>
        <v>0</v>
      </c>
      <c r="N11" s="41">
        <f t="shared" ca="1" si="5"/>
        <v>0</v>
      </c>
      <c r="O11" s="41">
        <f t="shared" ca="1" si="1"/>
        <v>0</v>
      </c>
      <c r="P11" s="41">
        <f t="shared" si="2"/>
        <v>0</v>
      </c>
    </row>
    <row r="12" spans="1:16" ht="21.75" customHeight="1">
      <c r="A12" s="33"/>
      <c r="B12" s="34"/>
      <c r="C12" s="34"/>
      <c r="D12" s="34"/>
      <c r="E12" s="42"/>
      <c r="F12" s="43"/>
      <c r="G12" s="37" t="s">
        <v>19</v>
      </c>
      <c r="H12" s="38" t="s">
        <v>12</v>
      </c>
      <c r="I12" s="39"/>
      <c r="J12" s="39"/>
      <c r="K12" s="40"/>
      <c r="L12" s="41">
        <f t="shared" ref="L12:N12" ca="1" si="6">L22+L32</f>
        <v>4546012</v>
      </c>
      <c r="M12" s="41">
        <f t="shared" ca="1" si="6"/>
        <v>1983650</v>
      </c>
      <c r="N12" s="41">
        <f t="shared" ca="1" si="6"/>
        <v>2036005.3</v>
      </c>
      <c r="O12" s="41">
        <f t="shared" ca="1" si="1"/>
        <v>44.786623968436508</v>
      </c>
      <c r="P12" s="41">
        <f t="shared" ca="1" si="2"/>
        <v>102.6393416177249</v>
      </c>
    </row>
    <row r="13" spans="1:16" ht="21.75" customHeight="1">
      <c r="A13" s="33"/>
      <c r="B13" s="34"/>
      <c r="C13" s="34"/>
      <c r="D13" s="34"/>
      <c r="E13" s="42"/>
      <c r="F13" s="42"/>
      <c r="G13" s="37" t="s">
        <v>21</v>
      </c>
      <c r="H13" s="38" t="s">
        <v>12</v>
      </c>
      <c r="I13" s="39"/>
      <c r="J13" s="39"/>
      <c r="K13" s="40"/>
      <c r="L13" s="41">
        <f t="shared" ref="L13:N13" ca="1" si="7">L23+L33</f>
        <v>2124700</v>
      </c>
      <c r="M13" s="41">
        <f t="shared" si="7"/>
        <v>0</v>
      </c>
      <c r="N13" s="41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>
      <c r="A14" s="33"/>
      <c r="B14" s="34"/>
      <c r="C14" s="34"/>
      <c r="D14" s="34"/>
      <c r="E14" s="42"/>
      <c r="F14" s="42"/>
      <c r="G14" s="37" t="s">
        <v>22</v>
      </c>
      <c r="H14" s="38" t="s">
        <v>12</v>
      </c>
      <c r="I14" s="39"/>
      <c r="J14" s="39"/>
      <c r="K14" s="40"/>
      <c r="L14" s="41">
        <f t="shared" ref="L14:N14" ca="1" si="8">L24+L34</f>
        <v>2421312</v>
      </c>
      <c r="M14" s="41">
        <f t="shared" si="8"/>
        <v>0</v>
      </c>
      <c r="N14" s="41">
        <f t="shared" ca="1" si="8"/>
        <v>654723.94999999995</v>
      </c>
      <c r="O14" s="41">
        <f t="shared" ca="1" si="1"/>
        <v>27.040048948669149</v>
      </c>
      <c r="P14" s="41">
        <f t="shared" si="2"/>
        <v>0</v>
      </c>
    </row>
    <row r="15" spans="1:16" ht="21.75" customHeight="1">
      <c r="A15" s="33"/>
      <c r="B15" s="34"/>
      <c r="C15" s="35" t="s">
        <v>16</v>
      </c>
      <c r="D15" s="570" t="s">
        <v>23</v>
      </c>
      <c r="E15" s="565"/>
      <c r="F15" s="42"/>
      <c r="G15" s="37" t="s">
        <v>18</v>
      </c>
      <c r="H15" s="38" t="s">
        <v>12</v>
      </c>
      <c r="I15" s="39"/>
      <c r="J15" s="39"/>
      <c r="K15" s="40"/>
      <c r="L15" s="41">
        <f t="shared" ref="L15:N15" si="9">L25+L35</f>
        <v>0</v>
      </c>
      <c r="M15" s="41">
        <f t="shared" si="9"/>
        <v>0</v>
      </c>
      <c r="N15" s="41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1">
        <f t="shared" ref="L16:N16" ca="1" si="10">L26+L36</f>
        <v>75600</v>
      </c>
      <c r="M16" s="41">
        <f t="shared" ca="1" si="10"/>
        <v>75600</v>
      </c>
      <c r="N16" s="41">
        <f t="shared" ca="1" si="10"/>
        <v>75600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76" t="s">
        <v>24</v>
      </c>
      <c r="B17" s="572"/>
      <c r="C17" s="572"/>
      <c r="D17" s="572"/>
      <c r="E17" s="572"/>
      <c r="F17" s="572"/>
      <c r="G17" s="573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7" t="s">
        <v>17</v>
      </c>
      <c r="E18" s="567"/>
      <c r="F18" s="567"/>
      <c r="G18" s="567"/>
      <c r="H18" s="22" t="s">
        <v>12</v>
      </c>
      <c r="I18" s="23"/>
      <c r="J18" s="23"/>
      <c r="K18" s="24"/>
      <c r="L18" s="25">
        <f t="shared" ref="L18:N18" ca="1" si="11">L19+L20</f>
        <v>2603065</v>
      </c>
      <c r="M18" s="25">
        <f t="shared" ca="1" si="11"/>
        <v>2059250</v>
      </c>
      <c r="N18" s="25">
        <f t="shared" ca="1" si="11"/>
        <v>1456881.35</v>
      </c>
      <c r="O18" s="24">
        <f t="shared" ref="O18:O20" ca="1" si="12">IF(L18&gt;0,N18*100/L18,0)</f>
        <v>55.967920509092167</v>
      </c>
      <c r="P18" s="24">
        <f t="shared" ref="P18:P26" ca="1" si="13">IF(M18&gt;0,N18*100/M18,0)</f>
        <v>70.748153453927401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2603065</v>
      </c>
      <c r="M20" s="32">
        <f t="shared" ca="1" si="15"/>
        <v>2059250</v>
      </c>
      <c r="N20" s="32">
        <f t="shared" ca="1" si="15"/>
        <v>1456881.35</v>
      </c>
      <c r="O20" s="31">
        <f t="shared" ca="1" si="12"/>
        <v>55.967920509092167</v>
      </c>
      <c r="P20" s="31">
        <f t="shared" ca="1" si="13"/>
        <v>70.748153453927401</v>
      </c>
    </row>
    <row r="21" spans="1:16" ht="21.75" customHeight="1">
      <c r="A21" s="33"/>
      <c r="B21" s="34"/>
      <c r="C21" s="35" t="s">
        <v>16</v>
      </c>
      <c r="D21" s="570" t="s">
        <v>20</v>
      </c>
      <c r="E21" s="565"/>
      <c r="F21" s="565"/>
      <c r="G21" s="37" t="s">
        <v>18</v>
      </c>
      <c r="H21" s="38" t="s">
        <v>12</v>
      </c>
      <c r="I21" s="39"/>
      <c r="J21" s="39"/>
      <c r="K21" s="40"/>
      <c r="L21" s="41">
        <f t="shared" ref="L21:N21" si="16">L44+L56+L69+L97+L121+L143+L223+L253+L274+L293+L313+L332</f>
        <v>0</v>
      </c>
      <c r="M21" s="44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>
      <c r="A22" s="33"/>
      <c r="B22" s="34"/>
      <c r="C22" s="34"/>
      <c r="D22" s="34"/>
      <c r="E22" s="42"/>
      <c r="F22" s="43"/>
      <c r="G22" s="37" t="s">
        <v>19</v>
      </c>
      <c r="H22" s="38" t="s">
        <v>12</v>
      </c>
      <c r="I22" s="39"/>
      <c r="J22" s="39"/>
      <c r="K22" s="40"/>
      <c r="L22" s="41">
        <f t="shared" ref="L22:N22" ca="1" si="18">L45+L57+L70+L98+L122+L144+L224+L254+L275+L294+L314+L333</f>
        <v>2527465</v>
      </c>
      <c r="M22" s="44">
        <f t="shared" ca="1" si="18"/>
        <v>1983650</v>
      </c>
      <c r="N22" s="41">
        <f t="shared" ca="1" si="18"/>
        <v>1381281.35</v>
      </c>
      <c r="O22" s="41">
        <f t="shared" ca="1" si="17"/>
        <v>54.650859655821151</v>
      </c>
      <c r="P22" s="41">
        <f t="shared" ca="1" si="13"/>
        <v>69.633319890101575</v>
      </c>
    </row>
    <row r="23" spans="1:16" ht="21.75" customHeight="1">
      <c r="A23" s="33"/>
      <c r="B23" s="34"/>
      <c r="C23" s="34"/>
      <c r="D23" s="34"/>
      <c r="E23" s="42"/>
      <c r="F23" s="42"/>
      <c r="G23" s="37" t="s">
        <v>21</v>
      </c>
      <c r="H23" s="38" t="s">
        <v>12</v>
      </c>
      <c r="I23" s="39"/>
      <c r="J23" s="39"/>
      <c r="K23" s="40"/>
      <c r="L23" s="41">
        <f t="shared" ref="L23:N23" ca="1" si="19">L46+L58+L71+L99+L123+L145+L225+L255+L276+L295+L315+L334</f>
        <v>2124700</v>
      </c>
      <c r="M23" s="44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>
      <c r="A24" s="33"/>
      <c r="B24" s="34"/>
      <c r="C24" s="34"/>
      <c r="D24" s="34"/>
      <c r="E24" s="42"/>
      <c r="F24" s="42"/>
      <c r="G24" s="37" t="s">
        <v>22</v>
      </c>
      <c r="H24" s="38" t="s">
        <v>12</v>
      </c>
      <c r="I24" s="39"/>
      <c r="J24" s="39"/>
      <c r="K24" s="40"/>
      <c r="L24" s="41">
        <f t="shared" ref="L24:N24" ca="1" si="20">L47+L59+L72+L100+L124+L146+L226+L256+L277+L296+L316+L335</f>
        <v>402765</v>
      </c>
      <c r="M24" s="44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>
      <c r="A25" s="33"/>
      <c r="B25" s="34"/>
      <c r="C25" s="35" t="s">
        <v>16</v>
      </c>
      <c r="D25" s="570" t="s">
        <v>23</v>
      </c>
      <c r="E25" s="565"/>
      <c r="F25" s="42"/>
      <c r="G25" s="37" t="s">
        <v>18</v>
      </c>
      <c r="H25" s="38" t="s">
        <v>12</v>
      </c>
      <c r="I25" s="39"/>
      <c r="J25" s="39"/>
      <c r="K25" s="40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75600</v>
      </c>
      <c r="M26" s="52">
        <f t="shared" ca="1" si="22"/>
        <v>75600</v>
      </c>
      <c r="N26" s="52">
        <f t="shared" ca="1" si="22"/>
        <v>75600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76" t="s">
        <v>25</v>
      </c>
      <c r="B27" s="572"/>
      <c r="C27" s="572"/>
      <c r="D27" s="572"/>
      <c r="E27" s="572"/>
      <c r="F27" s="572"/>
      <c r="G27" s="573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7" t="s">
        <v>17</v>
      </c>
      <c r="E28" s="567"/>
      <c r="F28" s="567"/>
      <c r="G28" s="567"/>
      <c r="H28" s="22" t="s">
        <v>12</v>
      </c>
      <c r="I28" s="23"/>
      <c r="J28" s="23"/>
      <c r="K28" s="24"/>
      <c r="L28" s="25">
        <f t="shared" ref="L28:N28" ca="1" si="23">L29+L30</f>
        <v>2018547</v>
      </c>
      <c r="M28" s="25">
        <f t="shared" si="23"/>
        <v>0</v>
      </c>
      <c r="N28" s="25">
        <f t="shared" ca="1" si="23"/>
        <v>654723.94999999995</v>
      </c>
      <c r="O28" s="24">
        <f t="shared" ref="O28:O30" ca="1" si="24">IF(L28&gt;0,N28*100/L28,0)</f>
        <v>32.435407746265007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2018547</v>
      </c>
      <c r="M30" s="32">
        <f t="shared" si="27"/>
        <v>0</v>
      </c>
      <c r="N30" s="32">
        <f t="shared" ca="1" si="27"/>
        <v>654723.94999999995</v>
      </c>
      <c r="O30" s="31">
        <f t="shared" ca="1" si="24"/>
        <v>32.435407746265007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0" t="s">
        <v>20</v>
      </c>
      <c r="E31" s="565"/>
      <c r="F31" s="565"/>
      <c r="G31" s="37" t="s">
        <v>18</v>
      </c>
      <c r="H31" s="38" t="s">
        <v>12</v>
      </c>
      <c r="I31" s="39"/>
      <c r="J31" s="39"/>
      <c r="K31" s="40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>
      <c r="A32" s="33"/>
      <c r="B32" s="34"/>
      <c r="C32" s="34"/>
      <c r="D32" s="34"/>
      <c r="E32" s="42"/>
      <c r="F32" s="43"/>
      <c r="G32" s="37" t="s">
        <v>19</v>
      </c>
      <c r="H32" s="38" t="s">
        <v>12</v>
      </c>
      <c r="I32" s="39"/>
      <c r="J32" s="39"/>
      <c r="K32" s="40"/>
      <c r="L32" s="41">
        <f t="shared" ref="L32:N32" ca="1" si="30">L352+L383+L404+L437+L457+L535+L553+L566+L582+L599</f>
        <v>2018547</v>
      </c>
      <c r="M32" s="41">
        <f t="shared" si="30"/>
        <v>0</v>
      </c>
      <c r="N32" s="41">
        <f t="shared" ca="1" si="30"/>
        <v>654723.94999999995</v>
      </c>
      <c r="O32" s="41">
        <f t="shared" ca="1" si="29"/>
        <v>32.435407746265007</v>
      </c>
      <c r="P32" s="41">
        <f t="shared" si="25"/>
        <v>0</v>
      </c>
    </row>
    <row r="33" spans="1:16" ht="21.75" customHeight="1">
      <c r="A33" s="33"/>
      <c r="B33" s="34"/>
      <c r="C33" s="34"/>
      <c r="D33" s="34"/>
      <c r="E33" s="42"/>
      <c r="F33" s="42"/>
      <c r="G33" s="37" t="s">
        <v>21</v>
      </c>
      <c r="H33" s="38" t="s">
        <v>12</v>
      </c>
      <c r="I33" s="39"/>
      <c r="J33" s="39"/>
      <c r="K33" s="40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>
      <c r="A34" s="33"/>
      <c r="B34" s="34"/>
      <c r="C34" s="34"/>
      <c r="D34" s="34"/>
      <c r="E34" s="42"/>
      <c r="F34" s="42"/>
      <c r="G34" s="37" t="s">
        <v>22</v>
      </c>
      <c r="H34" s="38" t="s">
        <v>12</v>
      </c>
      <c r="I34" s="39"/>
      <c r="J34" s="39"/>
      <c r="K34" s="40"/>
      <c r="L34" s="41">
        <f t="shared" ref="L34:N34" ca="1" si="32">L354+L385+L406+L439+L459+L537+L555+L568+L584+L601</f>
        <v>2018547</v>
      </c>
      <c r="M34" s="41">
        <f t="shared" si="32"/>
        <v>0</v>
      </c>
      <c r="N34" s="41">
        <f t="shared" ca="1" si="32"/>
        <v>654723.94999999995</v>
      </c>
      <c r="O34" s="41">
        <f t="shared" ca="1" si="29"/>
        <v>32.435407746265007</v>
      </c>
      <c r="P34" s="41">
        <f t="shared" si="25"/>
        <v>0</v>
      </c>
    </row>
    <row r="35" spans="1:16" ht="21.75" customHeight="1">
      <c r="A35" s="33"/>
      <c r="B35" s="34"/>
      <c r="C35" s="35" t="s">
        <v>16</v>
      </c>
      <c r="D35" s="570" t="s">
        <v>23</v>
      </c>
      <c r="E35" s="565"/>
      <c r="F35" s="42"/>
      <c r="G35" s="37" t="s">
        <v>18</v>
      </c>
      <c r="H35" s="38" t="s">
        <v>12</v>
      </c>
      <c r="I35" s="39"/>
      <c r="J35" s="39"/>
      <c r="K35" s="40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2603065</v>
      </c>
      <c r="M37" s="57">
        <f t="shared" ca="1" si="33"/>
        <v>2059250</v>
      </c>
      <c r="N37" s="57">
        <f t="shared" ca="1" si="33"/>
        <v>1456881.35</v>
      </c>
      <c r="O37" s="58">
        <f t="shared" ca="1" si="29"/>
        <v>55.967920509092167</v>
      </c>
      <c r="P37" s="58">
        <f t="shared" ca="1" si="25"/>
        <v>70.748153453927401</v>
      </c>
    </row>
    <row r="38" spans="1:16" ht="21.75" customHeight="1">
      <c r="A38" s="571" t="s">
        <v>27</v>
      </c>
      <c r="B38" s="572"/>
      <c r="C38" s="572"/>
      <c r="D38" s="572"/>
      <c r="E38" s="572"/>
      <c r="F38" s="572"/>
      <c r="G38" s="573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74" t="s">
        <v>28</v>
      </c>
      <c r="C39" s="567"/>
      <c r="D39" s="567"/>
      <c r="E39" s="567"/>
      <c r="F39" s="567"/>
      <c r="G39" s="567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75" t="s">
        <v>17</v>
      </c>
      <c r="E41" s="565"/>
      <c r="F41" s="565"/>
      <c r="G41" s="565"/>
      <c r="H41" s="78" t="s">
        <v>12</v>
      </c>
      <c r="I41" s="79"/>
      <c r="J41" s="79"/>
      <c r="K41" s="80"/>
      <c r="L41" s="81">
        <f t="shared" ref="L41:N41" ca="1" si="34">L42+L43</f>
        <v>658100</v>
      </c>
      <c r="M41" s="81">
        <f t="shared" ca="1" si="34"/>
        <v>493600</v>
      </c>
      <c r="N41" s="81">
        <f t="shared" ca="1" si="34"/>
        <v>404897.26</v>
      </c>
      <c r="O41" s="80">
        <f t="shared" ref="O41:O43" ca="1" si="35">IF(L41&gt;0,N41*100/L41,0)</f>
        <v>61.525187661449628</v>
      </c>
      <c r="P41" s="80">
        <f t="shared" ref="P41:P43" ca="1" si="36">IF(M41&gt;0,N41*100/M41,0)</f>
        <v>82.029428687196116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658100</v>
      </c>
      <c r="M43" s="81">
        <f t="shared" ca="1" si="38"/>
        <v>493600</v>
      </c>
      <c r="N43" s="81">
        <f t="shared" ca="1" si="38"/>
        <v>404897.26</v>
      </c>
      <c r="O43" s="80">
        <f t="shared" ca="1" si="35"/>
        <v>61.525187661449628</v>
      </c>
      <c r="P43" s="80">
        <f t="shared" ca="1" si="36"/>
        <v>82.029428687196116</v>
      </c>
    </row>
    <row r="44" spans="1:16" ht="21.75" customHeight="1">
      <c r="A44" s="82"/>
      <c r="B44" s="83"/>
      <c r="C44" s="84" t="s">
        <v>16</v>
      </c>
      <c r="D44" s="564" t="s">
        <v>20</v>
      </c>
      <c r="E44" s="565"/>
      <c r="F44" s="565"/>
      <c r="G44" s="85" t="s">
        <v>18</v>
      </c>
      <c r="H44" s="86" t="s">
        <v>12</v>
      </c>
      <c r="I44" s="87"/>
      <c r="J44" s="87"/>
      <c r="K44" s="88"/>
      <c r="L44" s="89">
        <v>0</v>
      </c>
      <c r="M44" s="556"/>
      <c r="N44" s="557"/>
      <c r="O44" s="557"/>
      <c r="P44" s="557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1">
        <f ca="1">L46+L47</f>
        <v>658100</v>
      </c>
      <c r="M45" s="52">
        <f ca="1">IFERROR(__xludf.DUMMYFUNCTION("IMPORTRANGE(""https://docs.google.com/spreadsheets/d/1Yj_ptqi66GCucihVvJfMjLAmec39IyEx_6qawtMGysU/edit?usp=sharing"",""สบก!Q27"")"),493600)</f>
        <v>493600</v>
      </c>
      <c r="N45" s="52">
        <f ca="1">IFERROR(__xludf.DUMMYFUNCTION("IMPORTRANGE(""https://docs.google.com/spreadsheets/d/1Yj_ptqi66GCucihVvJfMjLAmec39IyEx_6qawtMGysU/edit?usp=sharing"",""สบก!R27"")"),404897.26)</f>
        <v>404897.26</v>
      </c>
      <c r="O45" s="41">
        <f ca="1">IF(L45&gt;0,N45*100/L45,0)</f>
        <v>61.525187661449628</v>
      </c>
      <c r="P45" s="41">
        <f ca="1">IF(M45&gt;0,N45*100/M45,0)</f>
        <v>82.029428687196116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52">
        <f ca="1">IFERROR(__xludf.DUMMYFUNCTION("IMPORTRANGE(""https://docs.google.com/spreadsheets/d/1Yj_ptqi66GCucihVvJfMjLAmec39IyEx_6qawtMGysU/edit?usp=sharing"",""สบก!M27"")"),658100)</f>
        <v>658100</v>
      </c>
      <c r="M46" s="44"/>
      <c r="N46" s="41"/>
      <c r="O46" s="41"/>
      <c r="P46" s="41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52">
        <f ca="1">IFERROR(__xludf.DUMMYFUNCTION("IMPORTRANGE(""https://docs.google.com/spreadsheets/d/1Yj_ptqi66GCucihVvJfMjLAmec39IyEx_6qawtMGysU/edit?usp=sharing"",""สบก!N27"")"),0)</f>
        <v>0</v>
      </c>
      <c r="M47" s="44"/>
      <c r="N47" s="41"/>
      <c r="O47" s="41"/>
      <c r="P47" s="41"/>
    </row>
    <row r="48" spans="1:16" ht="21.75" customHeight="1">
      <c r="A48" s="82"/>
      <c r="B48" s="83"/>
      <c r="C48" s="84" t="s">
        <v>16</v>
      </c>
      <c r="D48" s="564" t="s">
        <v>23</v>
      </c>
      <c r="E48" s="565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44"/>
      <c r="N48" s="44"/>
      <c r="O48" s="44"/>
      <c r="P48" s="44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2">
        <f ca="1">IFERROR(__xludf.DUMMYFUNCTION("IMPORTRANGE(""https://docs.google.com/spreadsheets/d/1Yj_ptqi66GCucihVvJfMjLAmec39IyEx_6qawtMGysU/edit?usp=sharing"",""สบก!O27"")"),0)</f>
        <v>0</v>
      </c>
      <c r="M49" s="52"/>
      <c r="N49" s="52">
        <f ca="1">IFERROR(__xludf.DUMMYFUNCTION("IMPORTRANGE(""https://docs.google.com/spreadsheets/d/1Yj_ptqi66GCucihVvJfMjLAmec39IyEx_6qawtMGysU/edit?usp=sharing"",""สบก!S27"")"),0)</f>
        <v>0</v>
      </c>
      <c r="O49" s="52">
        <f ca="1">IF(L49&gt;0,N49*100/L49,0)</f>
        <v>0</v>
      </c>
      <c r="P49" s="52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8" t="s">
        <v>32</v>
      </c>
      <c r="C52" s="565"/>
      <c r="D52" s="565"/>
      <c r="E52" s="565"/>
      <c r="F52" s="565"/>
      <c r="G52" s="565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9" t="s">
        <v>17</v>
      </c>
      <c r="E53" s="565"/>
      <c r="F53" s="565"/>
      <c r="G53" s="565"/>
      <c r="H53" s="120" t="s">
        <v>12</v>
      </c>
      <c r="I53" s="121"/>
      <c r="J53" s="121"/>
      <c r="K53" s="122"/>
      <c r="L53" s="123">
        <f t="shared" ref="L53:N53" ca="1" si="39">L54+L55</f>
        <v>612000</v>
      </c>
      <c r="M53" s="123">
        <f t="shared" ca="1" si="39"/>
        <v>476250</v>
      </c>
      <c r="N53" s="123">
        <f t="shared" ca="1" si="39"/>
        <v>329715</v>
      </c>
      <c r="O53" s="122">
        <f t="shared" ref="O53:O55" ca="1" si="40">IF(L53&gt;0,N53*100/L53,0)</f>
        <v>53.875</v>
      </c>
      <c r="P53" s="122">
        <f t="shared" ref="P53:P55" ca="1" si="41">IF(M53&gt;0,N53*100/M53,0)</f>
        <v>69.231496062992122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612000</v>
      </c>
      <c r="M55" s="123">
        <f t="shared" ca="1" si="43"/>
        <v>476250</v>
      </c>
      <c r="N55" s="123">
        <f t="shared" ca="1" si="43"/>
        <v>329715</v>
      </c>
      <c r="O55" s="122">
        <f t="shared" ca="1" si="40"/>
        <v>53.875</v>
      </c>
      <c r="P55" s="122">
        <f t="shared" ca="1" si="41"/>
        <v>69.231496062992122</v>
      </c>
    </row>
    <row r="56" spans="1:16" ht="21.75" customHeight="1">
      <c r="A56" s="82"/>
      <c r="B56" s="83"/>
      <c r="C56" s="84" t="s">
        <v>16</v>
      </c>
      <c r="D56" s="564" t="s">
        <v>20</v>
      </c>
      <c r="E56" s="565"/>
      <c r="F56" s="565"/>
      <c r="G56" s="85" t="s">
        <v>18</v>
      </c>
      <c r="H56" s="86" t="s">
        <v>12</v>
      </c>
      <c r="I56" s="87"/>
      <c r="J56" s="87"/>
      <c r="K56" s="88"/>
      <c r="L56" s="557">
        <v>0</v>
      </c>
      <c r="M56" s="556"/>
      <c r="N56" s="557"/>
      <c r="O56" s="557"/>
      <c r="P56" s="557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1">
        <f ca="1">L58+L59</f>
        <v>612000</v>
      </c>
      <c r="M57" s="52">
        <f ca="1">IFERROR(__xludf.DUMMYFUNCTION("IMPORTRANGE(""https://docs.google.com/spreadsheets/d/1Yj_ptqi66GCucihVvJfMjLAmec39IyEx_6qawtMGysU/edit?usp=sharing"",""สบก!Z27"")"),476250)</f>
        <v>476250</v>
      </c>
      <c r="N57" s="52">
        <f ca="1">IFERROR(__xludf.DUMMYFUNCTION("IMPORTRANGE(""https://docs.google.com/spreadsheets/d/1Yj_ptqi66GCucihVvJfMjLAmec39IyEx_6qawtMGysU/edit?usp=sharing"",""สบก!AA27"")"),329715)</f>
        <v>329715</v>
      </c>
      <c r="O57" s="41">
        <f ca="1">IF(L57&gt;0,N57*100/L57,0)</f>
        <v>53.875</v>
      </c>
      <c r="P57" s="41">
        <f ca="1">IF(M57&gt;0,N57*100/M57,0)</f>
        <v>69.231496062992122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52">
        <f ca="1">IFERROR(__xludf.DUMMYFUNCTION("IMPORTRANGE(""https://docs.google.com/spreadsheets/d/1Yj_ptqi66GCucihVvJfMjLAmec39IyEx_6qawtMGysU/edit?usp=sharing"",""สบก!V27"")"),612000)</f>
        <v>612000</v>
      </c>
      <c r="M58" s="44"/>
      <c r="N58" s="41"/>
      <c r="O58" s="41"/>
      <c r="P58" s="41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52">
        <f ca="1">IFERROR(__xludf.DUMMYFUNCTION("IMPORTRANGE(""https://docs.google.com/spreadsheets/d/1Yj_ptqi66GCucihVvJfMjLAmec39IyEx_6qawtMGysU/edit?usp=sharing"",""สบก!W27"")"),0)</f>
        <v>0</v>
      </c>
      <c r="M59" s="44"/>
      <c r="N59" s="41"/>
      <c r="O59" s="41"/>
      <c r="P59" s="41"/>
    </row>
    <row r="60" spans="1:16" ht="21.75" customHeight="1">
      <c r="A60" s="82"/>
      <c r="B60" s="83"/>
      <c r="C60" s="84" t="s">
        <v>16</v>
      </c>
      <c r="D60" s="564" t="s">
        <v>23</v>
      </c>
      <c r="E60" s="565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44"/>
      <c r="N60" s="44"/>
      <c r="O60" s="44"/>
      <c r="P60" s="44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2">
        <f ca="1">IFERROR(__xludf.DUMMYFUNCTION("IMPORTRANGE(""https://docs.google.com/spreadsheets/d/1Yj_ptqi66GCucihVvJfMjLAmec39IyEx_6qawtMGysU/edit?usp=sharing"",""สบก!X27"")"),0)</f>
        <v>0</v>
      </c>
      <c r="M61" s="52"/>
      <c r="N61" s="52">
        <f ca="1">IFERROR(__xludf.DUMMYFUNCTION("IMPORTRANGE(""https://docs.google.com/spreadsheets/d/1Yj_ptqi66GCucihVvJfMjLAmec39IyEx_6qawtMGysU/edit?usp=sharing"",""สบก!AB27"")"),0)</f>
        <v>0</v>
      </c>
      <c r="O61" s="52">
        <f ca="1">IF(L61&gt;0,N61*100/L61,0)</f>
        <v>0</v>
      </c>
      <c r="P61" s="52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IFERROR(__xludf.DUMMYFUNCTION("IMPORTRANGE(""https://docs.google.com/spreadsheets/d/11923uPwbBZFjjGgGUA6NLw09EwE0CqkOc4q9oUmW1yo/edit?usp=sharing"",""พิจิตร!I9"")"),0)</f>
        <v>0</v>
      </c>
      <c r="J64" s="144">
        <f ca="1">IFERROR(__xludf.DUMMYFUNCTION("IMPORTRANGE(""https://docs.google.com/spreadsheets/d/11923uPwbBZFjjGgGUA6NLw09EwE0CqkOc4q9oUmW1yo/edit?usp=sharing"",""พิจิตร!J9"")"),0)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IFERROR(__xludf.DUMMYFUNCTION("IMPORTRANGE(""https://docs.google.com/spreadsheets/d/11923uPwbBZFjjGgGUA6NLw09EwE0CqkOc4q9oUmW1yo/edit?usp=sharing"",""พิจิตร!I10"")"),0)</f>
        <v>0</v>
      </c>
      <c r="J65" s="144">
        <f ca="1">IFERROR(__xludf.DUMMYFUNCTION("IMPORTRANGE(""https://docs.google.com/spreadsheets/d/11923uPwbBZFjjGgGUA6NLw09EwE0CqkOc4q9oUmW1yo/edit?usp=sharing"",""พิจิตร!J10"")"),0)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6" t="s">
        <v>17</v>
      </c>
      <c r="E66" s="567"/>
      <c r="F66" s="567"/>
      <c r="G66" s="567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90">
        <f t="shared" ref="L67:N67" si="48">L69+L73</f>
        <v>0</v>
      </c>
      <c r="M67" s="90">
        <f t="shared" si="48"/>
        <v>0</v>
      </c>
      <c r="N67" s="90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90">
        <f t="shared" ref="L68:N68" ca="1" si="49">L70+L74</f>
        <v>0</v>
      </c>
      <c r="M68" s="90">
        <f t="shared" ca="1" si="49"/>
        <v>0</v>
      </c>
      <c r="N68" s="90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59"/>
      <c r="B69" s="160"/>
      <c r="C69" s="160" t="s">
        <v>16</v>
      </c>
      <c r="D69" s="570" t="s">
        <v>20</v>
      </c>
      <c r="E69" s="565"/>
      <c r="F69" s="565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59"/>
      <c r="B70" s="160"/>
      <c r="C70" s="160"/>
      <c r="D70" s="168"/>
      <c r="E70" s="161"/>
      <c r="F70" s="161" t="s">
        <v>39</v>
      </c>
      <c r="G70" s="162" t="s">
        <v>40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IFERROR(__xludf.DUMMYFUNCTION("IMPORTRANGE(""https://docs.google.com/spreadsheets/d/1Yj_ptqi66GCucihVvJfMjLAmec39IyEx_6qawtMGysU/edit?usp=sharing"",""สบก!AI27"")"),0)</f>
        <v>0</v>
      </c>
      <c r="N70" s="170">
        <f ca="1">IFERROR(__xludf.DUMMYFUNCTION("IMPORTRANGE(""https://docs.google.com/spreadsheets/d/1Yj_ptqi66GCucihVvJfMjLAmec39IyEx_6qawtMGysU/edit?usp=sharing"",""สบก!AJ27"")"),0)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>
      <c r="A71" s="159"/>
      <c r="B71" s="160"/>
      <c r="C71" s="160"/>
      <c r="D71" s="168"/>
      <c r="E71" s="161"/>
      <c r="F71" s="161"/>
      <c r="G71" s="171" t="s">
        <v>41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IFERROR(__xludf.DUMMYFUNCTION("IMPORTRANGE(""https://docs.google.com/spreadsheets/d/1Yj_ptqi66GCucihVvJfMjLAmec39IyEx_6qawtMGysU/edit?usp=sharing"",""สบก!AE27"")"),0)</f>
        <v>0</v>
      </c>
      <c r="M71" s="169"/>
      <c r="N71" s="169"/>
      <c r="O71" s="170"/>
      <c r="P71" s="170"/>
    </row>
    <row r="72" spans="1:16" ht="21.75" customHeight="1">
      <c r="A72" s="159"/>
      <c r="B72" s="160"/>
      <c r="C72" s="160"/>
      <c r="D72" s="168"/>
      <c r="E72" s="161"/>
      <c r="F72" s="161"/>
      <c r="G72" s="171" t="s">
        <v>42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IFERROR(__xludf.DUMMYFUNCTION("IMPORTRANGE(""https://docs.google.com/spreadsheets/d/1Yj_ptqi66GCucihVvJfMjLAmec39IyEx_6qawtMGysU/edit?usp=sharing"",""สบก!AF27"")"),0)</f>
        <v>0</v>
      </c>
      <c r="M72" s="169"/>
      <c r="N72" s="169"/>
      <c r="O72" s="170"/>
      <c r="P72" s="170"/>
    </row>
    <row r="73" spans="1:16" ht="21.75" customHeight="1">
      <c r="A73" s="172"/>
      <c r="B73" s="83"/>
      <c r="C73" s="84" t="s">
        <v>16</v>
      </c>
      <c r="D73" s="564" t="s">
        <v>23</v>
      </c>
      <c r="E73" s="565"/>
      <c r="F73" s="91"/>
      <c r="G73" s="85" t="s">
        <v>18</v>
      </c>
      <c r="H73" s="173" t="s">
        <v>12</v>
      </c>
      <c r="I73" s="87"/>
      <c r="J73" s="87"/>
      <c r="K73" s="88"/>
      <c r="L73" s="44">
        <v>0</v>
      </c>
      <c r="M73" s="44"/>
      <c r="N73" s="44"/>
      <c r="O73" s="44"/>
      <c r="P73" s="44"/>
    </row>
    <row r="74" spans="1:16" ht="21.75" customHeight="1">
      <c r="A74" s="174"/>
      <c r="B74" s="94"/>
      <c r="C74" s="94"/>
      <c r="D74" s="175"/>
      <c r="E74" s="95"/>
      <c r="F74" s="95"/>
      <c r="G74" s="96" t="s">
        <v>19</v>
      </c>
      <c r="H74" s="176" t="s">
        <v>12</v>
      </c>
      <c r="I74" s="98"/>
      <c r="J74" s="98"/>
      <c r="K74" s="99"/>
      <c r="L74" s="52">
        <f ca="1">IFERROR(__xludf.DUMMYFUNCTION("IMPORTRANGE(""https://docs.google.com/spreadsheets/d/1Yj_ptqi66GCucihVvJfMjLAmec39IyEx_6qawtMGysU/edit?usp=sharing"",""สบก!AG27"")"),0)</f>
        <v>0</v>
      </c>
      <c r="M74" s="52"/>
      <c r="N74" s="52">
        <f ca="1">IFERROR(__xludf.DUMMYFUNCTION("IMPORTRANGE(""https://docs.google.com/spreadsheets/d/1Yj_ptqi66GCucihVvJfMjLAmec39IyEx_6qawtMGysU/edit?usp=sharing"",""สบก!AK27"")"),0)</f>
        <v>0</v>
      </c>
      <c r="O74" s="52">
        <f ca="1">IF(L74&gt;0,N74*100/L74,0)</f>
        <v>0</v>
      </c>
      <c r="P74" s="52"/>
    </row>
    <row r="75" spans="1:16" ht="21.75" customHeight="1">
      <c r="A75" s="177"/>
      <c r="B75" s="178"/>
      <c r="C75" s="160" t="s">
        <v>16</v>
      </c>
      <c r="D75" s="179" t="s">
        <v>43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>
      <c r="A76" s="177"/>
      <c r="B76" s="178"/>
      <c r="C76" s="178"/>
      <c r="D76" s="184">
        <v>1</v>
      </c>
      <c r="E76" s="185" t="s">
        <v>44</v>
      </c>
      <c r="F76" s="186"/>
      <c r="G76" s="187"/>
      <c r="H76" s="188"/>
      <c r="I76" s="189"/>
      <c r="J76" s="190">
        <f ca="1">IFERROR(__xludf.DUMMYFUNCTION("IMPORTRANGE(""https://docs.google.com/spreadsheets/d/11923uPwbBZFjjGgGUA6NLw09EwE0CqkOc4q9oUmW1yo/edit?usp=sharing"",""พิจิตร!J16"")"),0)</f>
        <v>0</v>
      </c>
      <c r="K76" s="165"/>
      <c r="L76" s="183"/>
      <c r="M76" s="183"/>
      <c r="N76" s="183"/>
      <c r="O76" s="183"/>
      <c r="P76" s="183"/>
    </row>
    <row r="77" spans="1:16" ht="21.75" customHeight="1">
      <c r="A77" s="177"/>
      <c r="B77" s="178"/>
      <c r="C77" s="178"/>
      <c r="D77" s="191">
        <v>2</v>
      </c>
      <c r="E77" s="192" t="s">
        <v>45</v>
      </c>
      <c r="F77" s="193"/>
      <c r="G77" s="194"/>
      <c r="H77" s="188"/>
      <c r="I77" s="189"/>
      <c r="J77" s="190">
        <f ca="1">IFERROR(__xludf.DUMMYFUNCTION("IMPORTRANGE(""https://docs.google.com/spreadsheets/d/11923uPwbBZFjjGgGUA6NLw09EwE0CqkOc4q9oUmW1yo/edit?usp=sharing"",""พิจิตร!J17"")"),0)</f>
        <v>0</v>
      </c>
      <c r="K77" s="165"/>
      <c r="L77" s="183" t="s">
        <v>39</v>
      </c>
      <c r="M77" s="183"/>
      <c r="N77" s="183" t="s">
        <v>39</v>
      </c>
      <c r="O77" s="183"/>
      <c r="P77" s="183"/>
    </row>
    <row r="78" spans="1:16" ht="21.75" customHeight="1">
      <c r="A78" s="177"/>
      <c r="B78" s="178"/>
      <c r="C78" s="178"/>
      <c r="D78" s="195"/>
      <c r="E78" s="196" t="s">
        <v>46</v>
      </c>
      <c r="F78" s="197"/>
      <c r="G78" s="198"/>
      <c r="H78" s="188"/>
      <c r="I78" s="189"/>
      <c r="J78" s="190">
        <f ca="1">IFERROR(__xludf.DUMMYFUNCTION("IMPORTRANGE(""https://docs.google.com/spreadsheets/d/11923uPwbBZFjjGgGUA6NLw09EwE0CqkOc4q9oUmW1yo/edit?usp=sharing"",""พิจิตร!J18"")"),0)</f>
        <v>0</v>
      </c>
      <c r="K78" s="165"/>
      <c r="L78" s="183"/>
      <c r="M78" s="183"/>
      <c r="N78" s="183"/>
      <c r="O78" s="183"/>
      <c r="P78" s="183"/>
    </row>
    <row r="79" spans="1:16" ht="21.75" customHeight="1">
      <c r="A79" s="177"/>
      <c r="B79" s="178"/>
      <c r="C79" s="178"/>
      <c r="D79" s="195"/>
      <c r="E79" s="196" t="s">
        <v>47</v>
      </c>
      <c r="F79" s="197"/>
      <c r="G79" s="198"/>
      <c r="H79" s="188"/>
      <c r="I79" s="189"/>
      <c r="J79" s="199">
        <f ca="1">IFERROR(__xludf.DUMMYFUNCTION("IMPORTRANGE(""https://docs.google.com/spreadsheets/d/11923uPwbBZFjjGgGUA6NLw09EwE0CqkOc4q9oUmW1yo/edit?usp=sharing"",""พิจิตร!J19"")"),0)</f>
        <v>0</v>
      </c>
      <c r="K79" s="165"/>
      <c r="L79" s="183"/>
      <c r="M79" s="183"/>
      <c r="N79" s="183"/>
      <c r="O79" s="183"/>
      <c r="P79" s="183"/>
    </row>
    <row r="80" spans="1:16" ht="21.75" customHeight="1">
      <c r="A80" s="177"/>
      <c r="B80" s="178"/>
      <c r="C80" s="178"/>
      <c r="D80" s="195"/>
      <c r="E80" s="200"/>
      <c r="F80" s="196" t="s">
        <v>48</v>
      </c>
      <c r="G80" s="197"/>
      <c r="H80" s="201" t="s">
        <v>36</v>
      </c>
      <c r="I80" s="202">
        <f ca="1">IFERROR(__xludf.DUMMYFUNCTION("IMPORTRANGE(""https://docs.google.com/spreadsheets/d/11923uPwbBZFjjGgGUA6NLw09EwE0CqkOc4q9oUmW1yo/edit?usp=sharing"",""พิจิตร!I20"")"),0)</f>
        <v>0</v>
      </c>
      <c r="J80" s="202">
        <f ca="1">IFERROR(__xludf.DUMMYFUNCTION("IMPORTRANGE(""https://docs.google.com/spreadsheets/d/11923uPwbBZFjjGgGUA6NLw09EwE0CqkOc4q9oUmW1yo/edit?usp=sharing"",""พิจิตร!J20"")"),0)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IFERROR(__xludf.DUMMYFUNCTION("IMPORTRANGE(""https://docs.google.com/spreadsheets/d/11923uPwbBZFjjGgGUA6NLw09EwE0CqkOc4q9oUmW1yo/edit?usp=sharing"",""พิจิตร!I21"")"),0)</f>
        <v>0</v>
      </c>
      <c r="J81" s="202">
        <f ca="1">IFERROR(__xludf.DUMMYFUNCTION("IMPORTRANGE(""https://docs.google.com/spreadsheets/d/11923uPwbBZFjjGgGUA6NLw09EwE0CqkOc4q9oUmW1yo/edit?usp=sharing"",""พิจิตร!J21"")"),0)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>
      <c r="A82" s="177"/>
      <c r="B82" s="178"/>
      <c r="C82" s="178"/>
      <c r="D82" s="195"/>
      <c r="E82" s="200"/>
      <c r="F82" s="197"/>
      <c r="G82" s="197" t="s">
        <v>49</v>
      </c>
      <c r="H82" s="182" t="s">
        <v>36</v>
      </c>
      <c r="I82" s="204">
        <f ca="1">IFERROR(__xludf.DUMMYFUNCTION("IMPORTRANGE(""https://docs.google.com/spreadsheets/d/11923uPwbBZFjjGgGUA6NLw09EwE0CqkOc4q9oUmW1yo/edit?usp=sharing"",""พิจิตร!I22"")"),0)</f>
        <v>0</v>
      </c>
      <c r="J82" s="205">
        <f ca="1">IFERROR(__xludf.DUMMYFUNCTION("IMPORTRANGE(""https://docs.google.com/spreadsheets/d/11923uPwbBZFjjGgGUA6NLw09EwE0CqkOc4q9oUmW1yo/edit?usp=sharing"",""พิจิตร!J22"")"),0)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IFERROR(__xludf.DUMMYFUNCTION("IMPORTRANGE(""https://docs.google.com/spreadsheets/d/11923uPwbBZFjjGgGUA6NLw09EwE0CqkOc4q9oUmW1yo/edit?usp=sharing"",""พิจิตร!I23"")"),0)</f>
        <v>0</v>
      </c>
      <c r="J83" s="205">
        <f ca="1">IFERROR(__xludf.DUMMYFUNCTION("IMPORTRANGE(""https://docs.google.com/spreadsheets/d/11923uPwbBZFjjGgGUA6NLw09EwE0CqkOc4q9oUmW1yo/edit?usp=sharing"",""พิจิตร!J23"")"),0)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>
      <c r="A84" s="177"/>
      <c r="B84" s="178"/>
      <c r="C84" s="178"/>
      <c r="D84" s="195"/>
      <c r="E84" s="200"/>
      <c r="F84" s="197"/>
      <c r="G84" s="197" t="s">
        <v>50</v>
      </c>
      <c r="H84" s="182" t="s">
        <v>36</v>
      </c>
      <c r="I84" s="204">
        <f ca="1">IFERROR(__xludf.DUMMYFUNCTION("IMPORTRANGE(""https://docs.google.com/spreadsheets/d/11923uPwbBZFjjGgGUA6NLw09EwE0CqkOc4q9oUmW1yo/edit?usp=sharing"",""พิจิตร!I24"")"),0)</f>
        <v>0</v>
      </c>
      <c r="J84" s="190">
        <f ca="1">IFERROR(__xludf.DUMMYFUNCTION("IMPORTRANGE(""https://docs.google.com/spreadsheets/d/11923uPwbBZFjjGgGUA6NLw09EwE0CqkOc4q9oUmW1yo/edit?usp=sharing"",""พิจิตร!J24"")"),0)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IFERROR(__xludf.DUMMYFUNCTION("IMPORTRANGE(""https://docs.google.com/spreadsheets/d/11923uPwbBZFjjGgGUA6NLw09EwE0CqkOc4q9oUmW1yo/edit?usp=sharing"",""พิจิตร!I25"")"),0)</f>
        <v>0</v>
      </c>
      <c r="J85" s="190">
        <f ca="1">IFERROR(__xludf.DUMMYFUNCTION("IMPORTRANGE(""https://docs.google.com/spreadsheets/d/11923uPwbBZFjjGgGUA6NLw09EwE0CqkOc4q9oUmW1yo/edit?usp=sharing"",""พิจิตร!J25"")"),0)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>
      <c r="A86" s="177"/>
      <c r="B86" s="178"/>
      <c r="C86" s="178"/>
      <c r="D86" s="195"/>
      <c r="E86" s="200"/>
      <c r="F86" s="197"/>
      <c r="G86" s="197" t="s">
        <v>51</v>
      </c>
      <c r="H86" s="182" t="s">
        <v>36</v>
      </c>
      <c r="I86" s="204">
        <f ca="1">IFERROR(__xludf.DUMMYFUNCTION("IMPORTRANGE(""https://docs.google.com/spreadsheets/d/11923uPwbBZFjjGgGUA6NLw09EwE0CqkOc4q9oUmW1yo/edit?usp=sharing"",""พิจิตร!I26"")"),0)</f>
        <v>0</v>
      </c>
      <c r="J86" s="205">
        <f ca="1">IFERROR(__xludf.DUMMYFUNCTION("IMPORTRANGE(""https://docs.google.com/spreadsheets/d/11923uPwbBZFjjGgGUA6NLw09EwE0CqkOc4q9oUmW1yo/edit?usp=sharing"",""พิจิตร!J26"")"),0)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IFERROR(__xludf.DUMMYFUNCTION("IMPORTRANGE(""https://docs.google.com/spreadsheets/d/11923uPwbBZFjjGgGUA6NLw09EwE0CqkOc4q9oUmW1yo/edit?usp=sharing"",""พิจิตร!I27"")"),0)</f>
        <v>0</v>
      </c>
      <c r="J87" s="205">
        <f ca="1">IFERROR(__xludf.DUMMYFUNCTION("IMPORTRANGE(""https://docs.google.com/spreadsheets/d/11923uPwbBZFjjGgGUA6NLw09EwE0CqkOc4q9oUmW1yo/edit?usp=sharing"",""พิจิตร!J27"")"),0)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>
      <c r="A88" s="177"/>
      <c r="B88" s="178"/>
      <c r="C88" s="178"/>
      <c r="D88" s="195"/>
      <c r="E88" s="200"/>
      <c r="F88" s="206" t="s">
        <v>52</v>
      </c>
      <c r="G88" s="197"/>
      <c r="H88" s="182" t="s">
        <v>37</v>
      </c>
      <c r="I88" s="204">
        <f ca="1">IFERROR(__xludf.DUMMYFUNCTION("IMPORTRANGE(""https://docs.google.com/spreadsheets/d/11923uPwbBZFjjGgGUA6NLw09EwE0CqkOc4q9oUmW1yo/edit?usp=sharing"",""พิจิตร!I28"")"),0)</f>
        <v>0</v>
      </c>
      <c r="J88" s="205">
        <f ca="1">IFERROR(__xludf.DUMMYFUNCTION("IMPORTRANGE(""https://docs.google.com/spreadsheets/d/11923uPwbBZFjjGgGUA6NLw09EwE0CqkOc4q9oUmW1yo/edit?usp=sharing"",""พิจิตร!J28"")"),0)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>
      <c r="A89" s="177"/>
      <c r="B89" s="178"/>
      <c r="C89" s="178"/>
      <c r="D89" s="195"/>
      <c r="E89" s="196" t="s">
        <v>53</v>
      </c>
      <c r="F89" s="197"/>
      <c r="G89" s="198"/>
      <c r="H89" s="188"/>
      <c r="I89" s="189"/>
      <c r="J89" s="199">
        <f ca="1">IFERROR(__xludf.DUMMYFUNCTION("IMPORTRANGE(""https://docs.google.com/spreadsheets/d/11923uPwbBZFjjGgGUA6NLw09EwE0CqkOc4q9oUmW1yo/edit?usp=sharing"",""พิจิตร!J29"")"),0)</f>
        <v>0</v>
      </c>
      <c r="K89" s="165"/>
      <c r="L89" s="183"/>
      <c r="M89" s="183"/>
      <c r="N89" s="183"/>
      <c r="O89" s="183"/>
      <c r="P89" s="183"/>
    </row>
    <row r="90" spans="1:16" ht="21.75" customHeight="1">
      <c r="A90" s="177"/>
      <c r="B90" s="178"/>
      <c r="C90" s="178"/>
      <c r="D90" s="207">
        <v>3</v>
      </c>
      <c r="E90" s="208" t="s">
        <v>54</v>
      </c>
      <c r="F90" s="209"/>
      <c r="G90" s="210"/>
      <c r="H90" s="188"/>
      <c r="I90" s="189"/>
      <c r="J90" s="211">
        <f ca="1">IFERROR(__xludf.DUMMYFUNCTION("IMPORTRANGE(""https://docs.google.com/spreadsheets/d/11923uPwbBZFjjGgGUA6NLw09EwE0CqkOc4q9oUmW1yo/edit?usp=sharing"",""พิจิตร!J30"")"),0)</f>
        <v>0</v>
      </c>
      <c r="K90" s="165"/>
      <c r="L90" s="183"/>
      <c r="M90" s="183"/>
      <c r="N90" s="183"/>
      <c r="O90" s="183"/>
      <c r="P90" s="183"/>
    </row>
    <row r="91" spans="1:16" ht="21.75" customHeight="1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2"/>
      <c r="H92" s="143" t="s">
        <v>37</v>
      </c>
      <c r="I92" s="144">
        <f ca="1">IFERROR(__xludf.DUMMYFUNCTION("IMPORTRANGE(""https://docs.google.com/spreadsheets/d/11923uPwbBZFjjGgGUA6NLw09EwE0CqkOc4q9oUmW1yo/edit?usp=sharing"",""พิจิตร!I32"")"),0)</f>
        <v>0</v>
      </c>
      <c r="J92" s="144">
        <f ca="1">IFERROR(__xludf.DUMMYFUNCTION("IMPORTRANGE(""https://docs.google.com/spreadsheets/d/11923uPwbBZFjjGgGUA6NLw09EwE0CqkOc4q9oUmW1yo/edit?usp=sharing"",""พิจิตร!J32"")"),0)</f>
        <v>0</v>
      </c>
      <c r="K92" s="145">
        <f t="shared" ref="K92:K93" ca="1" si="51">IF(I92&gt;0,J92*100/I92,0)</f>
        <v>0</v>
      </c>
      <c r="L92" s="223"/>
      <c r="M92" s="223"/>
      <c r="N92" s="224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2"/>
      <c r="H93" s="143" t="s">
        <v>58</v>
      </c>
      <c r="I93" s="144">
        <f ca="1">IFERROR(__xludf.DUMMYFUNCTION("IMPORTRANGE(""https://docs.google.com/spreadsheets/d/11923uPwbBZFjjGgGUA6NLw09EwE0CqkOc4q9oUmW1yo/edit?usp=sharing"",""พิจิตร!I33"")"),0)</f>
        <v>0</v>
      </c>
      <c r="J93" s="144">
        <f ca="1">IFERROR(__xludf.DUMMYFUNCTION("IMPORTRANGE(""https://docs.google.com/spreadsheets/d/11923uPwbBZFjjGgGUA6NLw09EwE0CqkOc4q9oUmW1yo/edit?usp=sharing"",""พิจิตร!J33"")"),0)</f>
        <v>0</v>
      </c>
      <c r="K93" s="145">
        <f t="shared" ca="1" si="51"/>
        <v>0</v>
      </c>
      <c r="L93" s="224"/>
      <c r="M93" s="224"/>
      <c r="N93" s="224"/>
      <c r="O93" s="145"/>
      <c r="P93" s="145"/>
    </row>
    <row r="94" spans="1:16" ht="21.75" customHeight="1">
      <c r="A94" s="148"/>
      <c r="B94" s="149"/>
      <c r="C94" s="150" t="s">
        <v>16</v>
      </c>
      <c r="D94" s="566" t="s">
        <v>17</v>
      </c>
      <c r="E94" s="567"/>
      <c r="F94" s="567"/>
      <c r="G94" s="567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90">
        <f t="shared" ref="L95:N95" si="55">L97+L101</f>
        <v>0</v>
      </c>
      <c r="M95" s="90">
        <f t="shared" si="55"/>
        <v>0</v>
      </c>
      <c r="N95" s="90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90">
        <f t="shared" ref="L96:N96" ca="1" si="56">L98+L102</f>
        <v>0</v>
      </c>
      <c r="M96" s="90">
        <f t="shared" ca="1" si="56"/>
        <v>0</v>
      </c>
      <c r="N96" s="90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59"/>
      <c r="B97" s="160"/>
      <c r="C97" s="160" t="s">
        <v>16</v>
      </c>
      <c r="D97" s="570" t="s">
        <v>20</v>
      </c>
      <c r="E97" s="565"/>
      <c r="F97" s="565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59"/>
      <c r="B98" s="160"/>
      <c r="C98" s="160"/>
      <c r="D98" s="168"/>
      <c r="E98" s="161"/>
      <c r="F98" s="161" t="s">
        <v>39</v>
      </c>
      <c r="G98" s="162" t="s">
        <v>40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IFERROR(__xludf.DUMMYFUNCTION("IMPORTRANGE(""https://docs.google.com/spreadsheets/d/1Yj_ptqi66GCucihVvJfMjLAmec39IyEx_6qawtMGysU/edit?usp=sharing"",""สบก!AR27"")"),0)</f>
        <v>0</v>
      </c>
      <c r="N98" s="170">
        <f ca="1">IFERROR(__xludf.DUMMYFUNCTION("IMPORTRANGE(""https://docs.google.com/spreadsheets/d/1Yj_ptqi66GCucihVvJfMjLAmec39IyEx_6qawtMGysU/edit?usp=sharing"",""สบก!AS27"")"),0)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>
      <c r="A99" s="159"/>
      <c r="B99" s="160"/>
      <c r="C99" s="160"/>
      <c r="D99" s="168"/>
      <c r="E99" s="161"/>
      <c r="F99" s="161"/>
      <c r="G99" s="171" t="s">
        <v>41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IFERROR(__xludf.DUMMYFUNCTION("IMPORTRANGE(""https://docs.google.com/spreadsheets/d/1Yj_ptqi66GCucihVvJfMjLAmec39IyEx_6qawtMGysU/edit?usp=sharing"",""สบก!AN27"")"),0)</f>
        <v>0</v>
      </c>
      <c r="M99" s="169"/>
      <c r="N99" s="169"/>
      <c r="O99" s="170"/>
      <c r="P99" s="170"/>
    </row>
    <row r="100" spans="1:16" ht="21.75" customHeight="1">
      <c r="A100" s="159"/>
      <c r="B100" s="160"/>
      <c r="C100" s="160"/>
      <c r="D100" s="168"/>
      <c r="E100" s="161"/>
      <c r="F100" s="161"/>
      <c r="G100" s="171" t="s">
        <v>42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IFERROR(__xludf.DUMMYFUNCTION("IMPORTRANGE(""https://docs.google.com/spreadsheets/d/1Yj_ptqi66GCucihVvJfMjLAmec39IyEx_6qawtMGysU/edit?usp=sharing"",""สบก!AO27"")"),0)</f>
        <v>0</v>
      </c>
      <c r="M100" s="169"/>
      <c r="N100" s="169"/>
      <c r="O100" s="170"/>
      <c r="P100" s="170"/>
    </row>
    <row r="101" spans="1:16" ht="21.75" customHeight="1">
      <c r="A101" s="172"/>
      <c r="B101" s="83"/>
      <c r="C101" s="84" t="s">
        <v>16</v>
      </c>
      <c r="D101" s="564" t="s">
        <v>23</v>
      </c>
      <c r="E101" s="565"/>
      <c r="F101" s="91"/>
      <c r="G101" s="85" t="s">
        <v>18</v>
      </c>
      <c r="H101" s="173" t="s">
        <v>12</v>
      </c>
      <c r="I101" s="189"/>
      <c r="J101" s="189"/>
      <c r="K101" s="225"/>
      <c r="L101" s="44">
        <v>0</v>
      </c>
      <c r="M101" s="44"/>
      <c r="N101" s="44"/>
      <c r="O101" s="44"/>
      <c r="P101" s="44"/>
    </row>
    <row r="102" spans="1:16" ht="21.75" customHeight="1">
      <c r="A102" s="174"/>
      <c r="B102" s="94"/>
      <c r="C102" s="94"/>
      <c r="D102" s="175"/>
      <c r="E102" s="95"/>
      <c r="F102" s="95"/>
      <c r="G102" s="96" t="s">
        <v>19</v>
      </c>
      <c r="H102" s="176" t="s">
        <v>12</v>
      </c>
      <c r="I102" s="189"/>
      <c r="J102" s="189"/>
      <c r="K102" s="225"/>
      <c r="L102" s="52">
        <f ca="1">IFERROR(__xludf.DUMMYFUNCTION("IMPORTRANGE(""https://docs.google.com/spreadsheets/d/1Yj_ptqi66GCucihVvJfMjLAmec39IyEx_6qawtMGysU/edit?usp=sharing"",""สบก!AP27"")"),0)</f>
        <v>0</v>
      </c>
      <c r="M102" s="52"/>
      <c r="N102" s="52">
        <f ca="1">IFERROR(__xludf.DUMMYFUNCTION("IMPORTRANGE(""https://docs.google.com/spreadsheets/d/1Yj_ptqi66GCucihVvJfMjLAmec39IyEx_6qawtMGysU/edit?usp=sharing"",""สบก!AT27"")"),0)</f>
        <v>0</v>
      </c>
      <c r="O102" s="52">
        <f ca="1">IF(L102&gt;0,N102*100/L102,0)</f>
        <v>0</v>
      </c>
      <c r="P102" s="52"/>
    </row>
    <row r="103" spans="1:16" ht="21.75" customHeight="1">
      <c r="A103" s="177"/>
      <c r="B103" s="178"/>
      <c r="C103" s="160" t="s">
        <v>16</v>
      </c>
      <c r="D103" s="179" t="s">
        <v>43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>
      <c r="A104" s="177"/>
      <c r="B104" s="178"/>
      <c r="C104" s="178"/>
      <c r="D104" s="184">
        <v>1</v>
      </c>
      <c r="E104" s="185" t="s">
        <v>44</v>
      </c>
      <c r="F104" s="186"/>
      <c r="G104" s="187"/>
      <c r="H104" s="188"/>
      <c r="I104" s="189"/>
      <c r="J104" s="189">
        <f ca="1">IFERROR(__xludf.DUMMYFUNCTION("IMPORTRANGE(""https://docs.google.com/spreadsheets/d/11923uPwbBZFjjGgGUA6NLw09EwE0CqkOc4q9oUmW1yo/edit?usp=sharing"",""พิจิตร!J39"")"),0)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>
      <c r="A105" s="177"/>
      <c r="B105" s="178"/>
      <c r="C105" s="178"/>
      <c r="D105" s="191">
        <v>2</v>
      </c>
      <c r="E105" s="192" t="s">
        <v>45</v>
      </c>
      <c r="F105" s="193"/>
      <c r="G105" s="194"/>
      <c r="H105" s="188"/>
      <c r="I105" s="189"/>
      <c r="J105" s="189">
        <f ca="1">IFERROR(__xludf.DUMMYFUNCTION("IMPORTRANGE(""https://docs.google.com/spreadsheets/d/11923uPwbBZFjjGgGUA6NLw09EwE0CqkOc4q9oUmW1yo/edit?usp=sharing"",""พิจิตร!J40"")"),0)</f>
        <v>0</v>
      </c>
      <c r="K105" s="225"/>
      <c r="L105" s="170" t="s">
        <v>39</v>
      </c>
      <c r="M105" s="170"/>
      <c r="N105" s="170" t="s">
        <v>39</v>
      </c>
      <c r="O105" s="183"/>
      <c r="P105" s="183"/>
    </row>
    <row r="106" spans="1:16" ht="21.75" customHeight="1">
      <c r="A106" s="177"/>
      <c r="B106" s="178"/>
      <c r="C106" s="178"/>
      <c r="D106" s="195"/>
      <c r="E106" s="196" t="s">
        <v>46</v>
      </c>
      <c r="F106" s="197"/>
      <c r="G106" s="198"/>
      <c r="H106" s="188"/>
      <c r="I106" s="189"/>
      <c r="J106" s="189">
        <f ca="1">IFERROR(__xludf.DUMMYFUNCTION("IMPORTRANGE(""https://docs.google.com/spreadsheets/d/11923uPwbBZFjjGgGUA6NLw09EwE0CqkOc4q9oUmW1yo/edit?usp=sharing"",""พิจิตร!J41"")"),0)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>
      <c r="A107" s="177"/>
      <c r="B107" s="178"/>
      <c r="C107" s="178"/>
      <c r="D107" s="195"/>
      <c r="E107" s="196" t="s">
        <v>47</v>
      </c>
      <c r="F107" s="197"/>
      <c r="G107" s="198"/>
      <c r="H107" s="188"/>
      <c r="I107" s="189"/>
      <c r="J107" s="189">
        <f ca="1">IFERROR(__xludf.DUMMYFUNCTION("IMPORTRANGE(""https://docs.google.com/spreadsheets/d/11923uPwbBZFjjGgGUA6NLw09EwE0CqkOc4q9oUmW1yo/edit?usp=sharing"",""พิจิตร!J42"")"),0)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>
      <c r="A108" s="177"/>
      <c r="B108" s="178"/>
      <c r="C108" s="178"/>
      <c r="D108" s="195"/>
      <c r="E108" s="197"/>
      <c r="F108" s="197" t="s">
        <v>59</v>
      </c>
      <c r="G108" s="197"/>
      <c r="H108" s="182" t="s">
        <v>60</v>
      </c>
      <c r="I108" s="204">
        <f ca="1">IFERROR(__xludf.DUMMYFUNCTION("IMPORTRANGE(""https://docs.google.com/spreadsheets/d/11923uPwbBZFjjGgGUA6NLw09EwE0CqkOc4q9oUmW1yo/edit?usp=sharing"",""พิจิตร!I43"")"),0)</f>
        <v>0</v>
      </c>
      <c r="J108" s="205">
        <f ca="1">IFERROR(__xludf.DUMMYFUNCTION("IMPORTRANGE(""https://docs.google.com/spreadsheets/d/11923uPwbBZFjjGgGUA6NLw09EwE0CqkOc4q9oUmW1yo/edit?usp=sharing"",""พิจิตร!J43"")"),0)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>
      <c r="A109" s="177"/>
      <c r="B109" s="178"/>
      <c r="C109" s="178"/>
      <c r="D109" s="195"/>
      <c r="E109" s="200"/>
      <c r="F109" s="196" t="s">
        <v>61</v>
      </c>
      <c r="G109" s="197"/>
      <c r="H109" s="182" t="s">
        <v>37</v>
      </c>
      <c r="I109" s="204">
        <f ca="1">IFERROR(__xludf.DUMMYFUNCTION("IMPORTRANGE(""https://docs.google.com/spreadsheets/d/11923uPwbBZFjjGgGUA6NLw09EwE0CqkOc4q9oUmW1yo/edit?usp=sharing"",""พิจิตร!I44"")"),0)</f>
        <v>0</v>
      </c>
      <c r="J109" s="205">
        <f ca="1">IFERROR(__xludf.DUMMYFUNCTION("IMPORTRANGE(""https://docs.google.com/spreadsheets/d/11923uPwbBZFjjGgGUA6NLw09EwE0CqkOc4q9oUmW1yo/edit?usp=sharing"",""พิจิตร!J44"")"),0)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>
      <c r="A110" s="177"/>
      <c r="B110" s="178"/>
      <c r="C110" s="178"/>
      <c r="D110" s="195"/>
      <c r="E110" s="200"/>
      <c r="F110" s="197"/>
      <c r="G110" s="226" t="s">
        <v>62</v>
      </c>
      <c r="H110" s="182" t="s">
        <v>37</v>
      </c>
      <c r="I110" s="204">
        <f ca="1">IFERROR(__xludf.DUMMYFUNCTION("IMPORTRANGE(""https://docs.google.com/spreadsheets/d/11923uPwbBZFjjGgGUA6NLw09EwE0CqkOc4q9oUmW1yo/edit?usp=sharing"",""พิจิตร!I45"")"),0)</f>
        <v>0</v>
      </c>
      <c r="J110" s="205">
        <f ca="1">IFERROR(__xludf.DUMMYFUNCTION("IMPORTRANGE(""https://docs.google.com/spreadsheets/d/11923uPwbBZFjjGgGUA6NLw09EwE0CqkOc4q9oUmW1yo/edit?usp=sharing"",""พิจิตร!J45"")"),0)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>
      <c r="A111" s="177"/>
      <c r="B111" s="178"/>
      <c r="C111" s="178"/>
      <c r="D111" s="195"/>
      <c r="E111" s="200"/>
      <c r="F111" s="197"/>
      <c r="G111" s="226" t="s">
        <v>63</v>
      </c>
      <c r="H111" s="182" t="s">
        <v>37</v>
      </c>
      <c r="I111" s="204">
        <f ca="1">IFERROR(__xludf.DUMMYFUNCTION("IMPORTRANGE(""https://docs.google.com/spreadsheets/d/11923uPwbBZFjjGgGUA6NLw09EwE0CqkOc4q9oUmW1yo/edit?usp=sharing"",""พิจิตร!I46"")"),0)</f>
        <v>0</v>
      </c>
      <c r="J111" s="205">
        <f ca="1">IFERROR(__xludf.DUMMYFUNCTION("IMPORTRANGE(""https://docs.google.com/spreadsheets/d/11923uPwbBZFjjGgGUA6NLw09EwE0CqkOc4q9oUmW1yo/edit?usp=sharing"",""พิจิตร!J46"")"),0)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>
      <c r="A112" s="177"/>
      <c r="B112" s="178"/>
      <c r="C112" s="178"/>
      <c r="D112" s="195"/>
      <c r="E112" s="200"/>
      <c r="F112" s="197"/>
      <c r="G112" s="227" t="s">
        <v>64</v>
      </c>
      <c r="H112" s="182" t="s">
        <v>37</v>
      </c>
      <c r="I112" s="204">
        <f ca="1">IFERROR(__xludf.DUMMYFUNCTION("IMPORTRANGE(""https://docs.google.com/spreadsheets/d/11923uPwbBZFjjGgGUA6NLw09EwE0CqkOc4q9oUmW1yo/edit?usp=sharing"",""พิจิตร!I47"")"),0)</f>
        <v>0</v>
      </c>
      <c r="J112" s="205">
        <f ca="1">IFERROR(__xludf.DUMMYFUNCTION("IMPORTRANGE(""https://docs.google.com/spreadsheets/d/11923uPwbBZFjjGgGUA6NLw09EwE0CqkOc4q9oUmW1yo/edit?usp=sharing"",""พิจิตร!J47"")"),0)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>
      <c r="A113" s="177"/>
      <c r="B113" s="178"/>
      <c r="C113" s="178"/>
      <c r="D113" s="195"/>
      <c r="E113" s="200"/>
      <c r="F113" s="197" t="s">
        <v>65</v>
      </c>
      <c r="G113" s="197"/>
      <c r="H113" s="182" t="s">
        <v>58</v>
      </c>
      <c r="I113" s="204">
        <f ca="1">IFERROR(__xludf.DUMMYFUNCTION("IMPORTRANGE(""https://docs.google.com/spreadsheets/d/11923uPwbBZFjjGgGUA6NLw09EwE0CqkOc4q9oUmW1yo/edit?usp=sharing"",""พิจิตร!I48"")"),0)</f>
        <v>0</v>
      </c>
      <c r="J113" s="205">
        <f ca="1">IFERROR(__xludf.DUMMYFUNCTION("IMPORTRANGE(""https://docs.google.com/spreadsheets/d/11923uPwbBZFjjGgGUA6NLw09EwE0CqkOc4q9oUmW1yo/edit?usp=sharing"",""พิจิตร!J48"")"),0)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>
      <c r="A114" s="177"/>
      <c r="B114" s="178"/>
      <c r="C114" s="178"/>
      <c r="D114" s="195"/>
      <c r="E114" s="196" t="s">
        <v>53</v>
      </c>
      <c r="F114" s="197"/>
      <c r="G114" s="198"/>
      <c r="H114" s="188"/>
      <c r="I114" s="189"/>
      <c r="J114" s="189">
        <f ca="1">IFERROR(__xludf.DUMMYFUNCTION("IMPORTRANGE(""https://docs.google.com/spreadsheets/d/11923uPwbBZFjjGgGUA6NLw09EwE0CqkOc4q9oUmW1yo/edit?usp=sharing"",""พิจิตร!J49"")"),0)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>
      <c r="A115" s="177"/>
      <c r="B115" s="178"/>
      <c r="C115" s="178"/>
      <c r="D115" s="207">
        <v>3</v>
      </c>
      <c r="E115" s="208" t="s">
        <v>54</v>
      </c>
      <c r="F115" s="209"/>
      <c r="G115" s="210"/>
      <c r="H115" s="188"/>
      <c r="I115" s="189"/>
      <c r="J115" s="228">
        <f ca="1">IFERROR(__xludf.DUMMYFUNCTION("IMPORTRANGE(""https://docs.google.com/spreadsheets/d/11923uPwbBZFjjGgGUA6NLw09EwE0CqkOc4q9oUmW1yo/edit?usp=sharing"",""พิจิตร!J50"")"),0)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>
      <c r="A117" s="140"/>
      <c r="B117" s="141" t="s">
        <v>67</v>
      </c>
      <c r="C117" s="233"/>
      <c r="D117" s="142"/>
      <c r="E117" s="141"/>
      <c r="F117" s="141"/>
      <c r="G117" s="222"/>
      <c r="H117" s="143" t="s">
        <v>37</v>
      </c>
      <c r="I117" s="144">
        <f ca="1">IFERROR(__xludf.DUMMYFUNCTION("IMPORTRANGE(""https://docs.google.com/spreadsheets/d/11923uPwbBZFjjGgGUA6NLw09EwE0CqkOc4q9oUmW1yo/edit?usp=sharing"",""พิจิตร!I52"")"),0)</f>
        <v>0</v>
      </c>
      <c r="J117" s="144">
        <f ca="1">IFERROR(__xludf.DUMMYFUNCTION("IMPORTRANGE(""https://docs.google.com/spreadsheets/d/11923uPwbBZFjjGgGUA6NLw09EwE0CqkOc4q9oUmW1yo/edit?usp=sharing"",""พิจิตร!J52"")"),0)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6" t="s">
        <v>17</v>
      </c>
      <c r="E118" s="567"/>
      <c r="F118" s="567"/>
      <c r="G118" s="567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90">
        <f t="shared" ref="L119:N119" si="61">L121+L125</f>
        <v>0</v>
      </c>
      <c r="M119" s="90">
        <f t="shared" si="61"/>
        <v>0</v>
      </c>
      <c r="N119" s="90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90">
        <f t="shared" ref="L120:N120" ca="1" si="62">L122+L126</f>
        <v>0</v>
      </c>
      <c r="M120" s="90">
        <f t="shared" ca="1" si="62"/>
        <v>0</v>
      </c>
      <c r="N120" s="90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59"/>
      <c r="B121" s="160"/>
      <c r="C121" s="160" t="s">
        <v>16</v>
      </c>
      <c r="D121" s="570" t="s">
        <v>20</v>
      </c>
      <c r="E121" s="565"/>
      <c r="F121" s="565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59"/>
      <c r="B122" s="160"/>
      <c r="C122" s="160"/>
      <c r="D122" s="168"/>
      <c r="E122" s="161"/>
      <c r="F122" s="161" t="s">
        <v>39</v>
      </c>
      <c r="G122" s="162" t="s">
        <v>40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IFERROR(__xludf.DUMMYFUNCTION("IMPORTRANGE(""https://docs.google.com/spreadsheets/d/1Yj_ptqi66GCucihVvJfMjLAmec39IyEx_6qawtMGysU/edit?usp=sharing"",""สบก!BA27"")"),0)</f>
        <v>0</v>
      </c>
      <c r="N122" s="170">
        <f ca="1">IFERROR(__xludf.DUMMYFUNCTION("IMPORTRANGE(""https://docs.google.com/spreadsheets/d/1Yj_ptqi66GCucihVvJfMjLAmec39IyEx_6qawtMGysU/edit?usp=sharing"",""สบก!BB27"")"),0)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>
      <c r="A123" s="159"/>
      <c r="B123" s="160"/>
      <c r="C123" s="160"/>
      <c r="D123" s="168"/>
      <c r="E123" s="161"/>
      <c r="F123" s="161"/>
      <c r="G123" s="171" t="s">
        <v>41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IFERROR(__xludf.DUMMYFUNCTION("IMPORTRANGE(""https://docs.google.com/spreadsheets/d/1Yj_ptqi66GCucihVvJfMjLAmec39IyEx_6qawtMGysU/edit?usp=sharing"",""สบก!AW27"")"),0)</f>
        <v>0</v>
      </c>
      <c r="M123" s="169"/>
      <c r="N123" s="169"/>
      <c r="O123" s="170"/>
      <c r="P123" s="170"/>
    </row>
    <row r="124" spans="1:16" ht="21.75" customHeight="1">
      <c r="A124" s="159"/>
      <c r="B124" s="160"/>
      <c r="C124" s="160"/>
      <c r="D124" s="168"/>
      <c r="E124" s="161"/>
      <c r="F124" s="161"/>
      <c r="G124" s="171" t="s">
        <v>42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IFERROR(__xludf.DUMMYFUNCTION("IMPORTRANGE(""https://docs.google.com/spreadsheets/d/1Yj_ptqi66GCucihVvJfMjLAmec39IyEx_6qawtMGysU/edit?usp=sharing"",""สบก!AX27"")"),0)</f>
        <v>0</v>
      </c>
      <c r="M124" s="169"/>
      <c r="N124" s="169"/>
      <c r="O124" s="170"/>
      <c r="P124" s="170"/>
    </row>
    <row r="125" spans="1:16" ht="21.75" customHeight="1">
      <c r="A125" s="172"/>
      <c r="B125" s="83"/>
      <c r="C125" s="84" t="s">
        <v>16</v>
      </c>
      <c r="D125" s="564" t="s">
        <v>23</v>
      </c>
      <c r="E125" s="565"/>
      <c r="F125" s="91"/>
      <c r="G125" s="85" t="s">
        <v>18</v>
      </c>
      <c r="H125" s="173" t="s">
        <v>12</v>
      </c>
      <c r="I125" s="189"/>
      <c r="J125" s="189"/>
      <c r="K125" s="225"/>
      <c r="L125" s="44">
        <v>0</v>
      </c>
      <c r="M125" s="44"/>
      <c r="N125" s="44"/>
      <c r="O125" s="44"/>
      <c r="P125" s="44"/>
    </row>
    <row r="126" spans="1:16" ht="21.75" customHeight="1">
      <c r="A126" s="174"/>
      <c r="B126" s="94"/>
      <c r="C126" s="94"/>
      <c r="D126" s="175"/>
      <c r="E126" s="95"/>
      <c r="F126" s="95"/>
      <c r="G126" s="96" t="s">
        <v>19</v>
      </c>
      <c r="H126" s="176" t="s">
        <v>12</v>
      </c>
      <c r="I126" s="189"/>
      <c r="J126" s="189"/>
      <c r="K126" s="225"/>
      <c r="L126" s="52">
        <f ca="1">IFERROR(__xludf.DUMMYFUNCTION("IMPORTRANGE(""https://docs.google.com/spreadsheets/d/1Yj_ptqi66GCucihVvJfMjLAmec39IyEx_6qawtMGysU/edit?usp=sharing"",""สบก!AY27"")"),0)</f>
        <v>0</v>
      </c>
      <c r="M126" s="52"/>
      <c r="N126" s="52">
        <f ca="1">IFERROR(__xludf.DUMMYFUNCTION("IMPORTRANGE(""https://docs.google.com/spreadsheets/d/1Yj_ptqi66GCucihVvJfMjLAmec39IyEx_6qawtMGysU/edit?usp=sharing"",""สบก!BC27"")"),0)</f>
        <v>0</v>
      </c>
      <c r="O126" s="52">
        <f ca="1">IF(L126&gt;0,N126*100/L126,0)</f>
        <v>0</v>
      </c>
      <c r="P126" s="52"/>
    </row>
    <row r="127" spans="1:16" ht="21.75" customHeight="1">
      <c r="A127" s="177"/>
      <c r="B127" s="178"/>
      <c r="C127" s="160" t="s">
        <v>16</v>
      </c>
      <c r="D127" s="234" t="s">
        <v>275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>
      <c r="A128" s="177"/>
      <c r="B128" s="178"/>
      <c r="C128" s="178"/>
      <c r="D128" s="184">
        <v>1</v>
      </c>
      <c r="E128" s="185" t="s">
        <v>44</v>
      </c>
      <c r="F128" s="186"/>
      <c r="G128" s="187"/>
      <c r="H128" s="188"/>
      <c r="I128" s="189"/>
      <c r="J128" s="205">
        <f ca="1">IFERROR(__xludf.DUMMYFUNCTION("IMPORTRANGE(""https://docs.google.com/spreadsheets/d/11923uPwbBZFjjGgGUA6NLw09EwE0CqkOc4q9oUmW1yo/edit?usp=sharing"",""พิจิตร!J58"")"),0)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>
      <c r="A129" s="177"/>
      <c r="B129" s="178"/>
      <c r="C129" s="178"/>
      <c r="D129" s="191">
        <v>2</v>
      </c>
      <c r="E129" s="192" t="s">
        <v>45</v>
      </c>
      <c r="F129" s="193"/>
      <c r="G129" s="194"/>
      <c r="H129" s="188"/>
      <c r="I129" s="189"/>
      <c r="J129" s="189">
        <f ca="1">IFERROR(__xludf.DUMMYFUNCTION("IMPORTRANGE(""https://docs.google.com/spreadsheets/d/11923uPwbBZFjjGgGUA6NLw09EwE0CqkOc4q9oUmW1yo/edit?usp=sharing"",""พิจิตร!J59"")"),0)</f>
        <v>0</v>
      </c>
      <c r="K129" s="225"/>
      <c r="L129" s="170" t="s">
        <v>39</v>
      </c>
      <c r="M129" s="170"/>
      <c r="N129" s="170" t="s">
        <v>39</v>
      </c>
      <c r="O129" s="183"/>
      <c r="P129" s="183"/>
    </row>
    <row r="130" spans="1:16" ht="21.75" customHeight="1">
      <c r="A130" s="177"/>
      <c r="B130" s="178"/>
      <c r="C130" s="178"/>
      <c r="D130" s="195"/>
      <c r="E130" s="196" t="s">
        <v>46</v>
      </c>
      <c r="F130" s="197"/>
      <c r="G130" s="198"/>
      <c r="H130" s="188"/>
      <c r="I130" s="189"/>
      <c r="J130" s="189">
        <f ca="1">IFERROR(__xludf.DUMMYFUNCTION("IMPORTRANGE(""https://docs.google.com/spreadsheets/d/11923uPwbBZFjjGgGUA6NLw09EwE0CqkOc4q9oUmW1yo/edit?usp=sharing"",""พิจิตร!J60"")"),0)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>
      <c r="A131" s="177"/>
      <c r="B131" s="178"/>
      <c r="C131" s="178"/>
      <c r="D131" s="195"/>
      <c r="E131" s="196" t="s">
        <v>47</v>
      </c>
      <c r="F131" s="197"/>
      <c r="G131" s="198"/>
      <c r="H131" s="188"/>
      <c r="I131" s="189"/>
      <c r="J131" s="189">
        <f ca="1">IFERROR(__xludf.DUMMYFUNCTION("IMPORTRANGE(""https://docs.google.com/spreadsheets/d/11923uPwbBZFjjGgGUA6NLw09EwE0CqkOc4q9oUmW1yo/edit?usp=sharing"",""พิจิตร!J61"")"),0)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>
      <c r="A132" s="177"/>
      <c r="B132" s="178"/>
      <c r="C132" s="178"/>
      <c r="D132" s="195"/>
      <c r="E132" s="200"/>
      <c r="F132" s="196" t="s">
        <v>69</v>
      </c>
      <c r="G132" s="198"/>
      <c r="H132" s="182" t="s">
        <v>37</v>
      </c>
      <c r="I132" s="189">
        <f ca="1">IFERROR(__xludf.DUMMYFUNCTION("IMPORTRANGE(""https://docs.google.com/spreadsheets/d/11923uPwbBZFjjGgGUA6NLw09EwE0CqkOc4q9oUmW1yo/edit?usp=sharing"",""พิจิตร!I62"")"),0)</f>
        <v>0</v>
      </c>
      <c r="J132" s="205">
        <f ca="1">IFERROR(__xludf.DUMMYFUNCTION("IMPORTRANGE(""https://docs.google.com/spreadsheets/d/11923uPwbBZFjjGgGUA6NLw09EwE0CqkOc4q9oUmW1yo/edit?usp=sharing"",""พิจิตร!J62"")"),0)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>
      <c r="A133" s="177"/>
      <c r="B133" s="178"/>
      <c r="C133" s="178"/>
      <c r="D133" s="195"/>
      <c r="E133" s="200"/>
      <c r="F133" s="196" t="s">
        <v>70</v>
      </c>
      <c r="G133" s="198"/>
      <c r="H133" s="182" t="s">
        <v>37</v>
      </c>
      <c r="I133" s="189">
        <f ca="1">IFERROR(__xludf.DUMMYFUNCTION("IMPORTRANGE(""https://docs.google.com/spreadsheets/d/11923uPwbBZFjjGgGUA6NLw09EwE0CqkOc4q9oUmW1yo/edit?usp=sharing"",""พิจิตร!I63"")"),0)</f>
        <v>0</v>
      </c>
      <c r="J133" s="205">
        <f ca="1">IFERROR(__xludf.DUMMYFUNCTION("IMPORTRANGE(""https://docs.google.com/spreadsheets/d/11923uPwbBZFjjGgGUA6NLw09EwE0CqkOc4q9oUmW1yo/edit?usp=sharing"",""พิจิตร!J63"")"),0)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>
      <c r="A134" s="177"/>
      <c r="B134" s="178"/>
      <c r="C134" s="178"/>
      <c r="D134" s="195"/>
      <c r="E134" s="196" t="s">
        <v>53</v>
      </c>
      <c r="F134" s="197"/>
      <c r="G134" s="198"/>
      <c r="H134" s="188"/>
      <c r="I134" s="189"/>
      <c r="J134" s="189">
        <f ca="1">IFERROR(__xludf.DUMMYFUNCTION("IMPORTRANGE(""https://docs.google.com/spreadsheets/d/11923uPwbBZFjjGgGUA6NLw09EwE0CqkOc4q9oUmW1yo/edit?usp=sharing"",""พิจิตร!J64"")"),0)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IFERROR(__xludf.DUMMYFUNCTION("IMPORTRANGE(""https://docs.google.com/spreadsheets/d/11923uPwbBZFjjGgGUA6NLw09EwE0CqkOc4q9oUmW1yo/edit?usp=sharing"",""พิจิตร!J65"")"),0)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IFERROR(__xludf.DUMMYFUNCTION("IMPORTRANGE(""https://docs.google.com/spreadsheets/d/11923uPwbBZFjjGgGUA6NLw09EwE0CqkOc4q9oUmW1yo/edit?usp=sharing"",""พิจิตร!I68"")"),0)</f>
        <v>0</v>
      </c>
      <c r="J138" s="268">
        <f ca="1">IFERROR(__xludf.DUMMYFUNCTION("IMPORTRANGE(""https://docs.google.com/spreadsheets/d/11923uPwbBZFjjGgGUA6NLw09EwE0CqkOc4q9oUmW1yo/edit?usp=sharing"",""พิจิตร!J68"")"),0)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>
      <c r="A140" s="148"/>
      <c r="B140" s="149"/>
      <c r="C140" s="150" t="s">
        <v>16</v>
      </c>
      <c r="D140" s="566" t="s">
        <v>17</v>
      </c>
      <c r="E140" s="567"/>
      <c r="F140" s="567"/>
      <c r="G140" s="567"/>
      <c r="H140" s="151" t="s">
        <v>12</v>
      </c>
      <c r="I140" s="164"/>
      <c r="J140" s="164"/>
      <c r="K140" s="165"/>
      <c r="L140" s="154">
        <f t="shared" ref="L140:N140" ca="1" si="64">L141+L142</f>
        <v>58500</v>
      </c>
      <c r="M140" s="154">
        <f t="shared" ca="1" si="64"/>
        <v>47625</v>
      </c>
      <c r="N140" s="154">
        <f t="shared" ca="1" si="64"/>
        <v>35258</v>
      </c>
      <c r="O140" s="153">
        <f t="shared" ref="O140:O142" ca="1" si="65">IF(L140&gt;0,N140*100/L140,0)</f>
        <v>60.270085470085469</v>
      </c>
      <c r="P140" s="153">
        <f t="shared" ref="P140:P142" ca="1" si="66">IF(M140&gt;0,N140*100/M140,0)</f>
        <v>74.032545931758534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90">
        <f t="shared" ref="L141:N141" si="67">L143+L147</f>
        <v>0</v>
      </c>
      <c r="M141" s="90">
        <f t="shared" si="67"/>
        <v>0</v>
      </c>
      <c r="N141" s="90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90">
        <f t="shared" ref="L142:N142" ca="1" si="68">L144+L148</f>
        <v>58500</v>
      </c>
      <c r="M142" s="90">
        <f t="shared" ca="1" si="68"/>
        <v>47625</v>
      </c>
      <c r="N142" s="90">
        <f t="shared" ca="1" si="68"/>
        <v>35258</v>
      </c>
      <c r="O142" s="158">
        <f t="shared" ca="1" si="65"/>
        <v>60.270085470085469</v>
      </c>
      <c r="P142" s="158">
        <f t="shared" ca="1" si="66"/>
        <v>74.032545931758534</v>
      </c>
    </row>
    <row r="143" spans="1:16" ht="21.75" customHeight="1">
      <c r="A143" s="159"/>
      <c r="B143" s="160"/>
      <c r="C143" s="160" t="s">
        <v>16</v>
      </c>
      <c r="D143" s="570" t="s">
        <v>20</v>
      </c>
      <c r="E143" s="565"/>
      <c r="F143" s="565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59"/>
      <c r="B144" s="160"/>
      <c r="C144" s="160"/>
      <c r="D144" s="168"/>
      <c r="E144" s="161"/>
      <c r="F144" s="161" t="s">
        <v>39</v>
      </c>
      <c r="G144" s="162" t="s">
        <v>40</v>
      </c>
      <c r="H144" s="163" t="s">
        <v>12</v>
      </c>
      <c r="I144" s="164"/>
      <c r="J144" s="164"/>
      <c r="K144" s="165"/>
      <c r="L144" s="169">
        <f ca="1">L145+L146</f>
        <v>58500</v>
      </c>
      <c r="M144" s="169">
        <f ca="1">IFERROR(__xludf.DUMMYFUNCTION("IMPORTRANGE(""https://docs.google.com/spreadsheets/d/1Yj_ptqi66GCucihVvJfMjLAmec39IyEx_6qawtMGysU/edit?usp=sharing"",""สบก!BJ27"")"),47625)</f>
        <v>47625</v>
      </c>
      <c r="N144" s="170">
        <f ca="1">IFERROR(__xludf.DUMMYFUNCTION("IMPORTRANGE(""https://docs.google.com/spreadsheets/d/1Yj_ptqi66GCucihVvJfMjLAmec39IyEx_6qawtMGysU/edit?usp=sharing"",""สบก!BK27"")"),35258)</f>
        <v>35258</v>
      </c>
      <c r="O144" s="170">
        <f ca="1">IF(L144&gt;0,N144*100/L144,0)</f>
        <v>60.270085470085469</v>
      </c>
      <c r="P144" s="170">
        <f ca="1">IF(M144&gt;0,N144*100/M144,0)</f>
        <v>74.032545931758534</v>
      </c>
    </row>
    <row r="145" spans="1:16" ht="21.75" customHeight="1">
      <c r="A145" s="159"/>
      <c r="B145" s="160"/>
      <c r="C145" s="160"/>
      <c r="D145" s="168"/>
      <c r="E145" s="161"/>
      <c r="F145" s="161"/>
      <c r="G145" s="171" t="s">
        <v>41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IFERROR(__xludf.DUMMYFUNCTION("IMPORTRANGE(""https://docs.google.com/spreadsheets/d/1Yj_ptqi66GCucihVvJfMjLAmec39IyEx_6qawtMGysU/edit?usp=sharing"",""สบก!BF27"")"),0)</f>
        <v>0</v>
      </c>
      <c r="M145" s="169"/>
      <c r="N145" s="169"/>
      <c r="O145" s="170"/>
      <c r="P145" s="170"/>
    </row>
    <row r="146" spans="1:16" ht="21.75" customHeight="1">
      <c r="A146" s="159"/>
      <c r="B146" s="160"/>
      <c r="C146" s="160"/>
      <c r="D146" s="168"/>
      <c r="E146" s="161"/>
      <c r="F146" s="161"/>
      <c r="G146" s="171" t="s">
        <v>42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IFERROR(__xludf.DUMMYFUNCTION("IMPORTRANGE(""https://docs.google.com/spreadsheets/d/1Yj_ptqi66GCucihVvJfMjLAmec39IyEx_6qawtMGysU/edit?usp=sharing"",""สบก!BG27"")"),58500)</f>
        <v>58500</v>
      </c>
      <c r="M146" s="169"/>
      <c r="N146" s="169"/>
      <c r="O146" s="170"/>
      <c r="P146" s="170"/>
    </row>
    <row r="147" spans="1:16" ht="21.75" customHeight="1">
      <c r="A147" s="172"/>
      <c r="B147" s="83"/>
      <c r="C147" s="84" t="s">
        <v>16</v>
      </c>
      <c r="D147" s="564" t="s">
        <v>23</v>
      </c>
      <c r="E147" s="565"/>
      <c r="F147" s="91"/>
      <c r="G147" s="85" t="s">
        <v>18</v>
      </c>
      <c r="H147" s="173" t="s">
        <v>12</v>
      </c>
      <c r="I147" s="189"/>
      <c r="J147" s="189"/>
      <c r="K147" s="225"/>
      <c r="L147" s="44">
        <v>0</v>
      </c>
      <c r="M147" s="44"/>
      <c r="N147" s="44"/>
      <c r="O147" s="44"/>
      <c r="P147" s="44"/>
    </row>
    <row r="148" spans="1:16" ht="21.75" customHeight="1">
      <c r="A148" s="174"/>
      <c r="B148" s="94"/>
      <c r="C148" s="94"/>
      <c r="D148" s="175"/>
      <c r="E148" s="95"/>
      <c r="F148" s="95"/>
      <c r="G148" s="96" t="s">
        <v>19</v>
      </c>
      <c r="H148" s="176" t="s">
        <v>12</v>
      </c>
      <c r="I148" s="189"/>
      <c r="J148" s="189"/>
      <c r="K148" s="225"/>
      <c r="L148" s="52">
        <f ca="1">IFERROR(__xludf.DUMMYFUNCTION("IMPORTRANGE(""https://docs.google.com/spreadsheets/d/1Yj_ptqi66GCucihVvJfMjLAmec39IyEx_6qawtMGysU/edit?usp=sharing"",""สบก!BH27"")"),0)</f>
        <v>0</v>
      </c>
      <c r="M148" s="52"/>
      <c r="N148" s="52">
        <f ca="1">IFERROR(__xludf.DUMMYFUNCTION("IMPORTRANGE(""https://docs.google.com/spreadsheets/d/1Yj_ptqi66GCucihVvJfMjLAmec39IyEx_6qawtMGysU/edit?usp=sharing"",""สบก!BL27"")"),0)</f>
        <v>0</v>
      </c>
      <c r="O148" s="52">
        <f ca="1">IF(L148&gt;0,N148*100/L148,0)</f>
        <v>0</v>
      </c>
      <c r="P148" s="52"/>
    </row>
    <row r="149" spans="1:16" ht="21.75" customHeight="1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IFERROR(__xludf.DUMMYFUNCTION("IMPORTRANGE(""https://docs.google.com/spreadsheets/d/11923uPwbBZFjjGgGUA6NLw09EwE0CqkOc4q9oUmW1yo/edit?usp=sharing"",""พิจิตร!I74"")"),4)</f>
        <v>4</v>
      </c>
      <c r="J149" s="276">
        <f ca="1">IFERROR(__xludf.DUMMYFUNCTION("IMPORTRANGE(""https://docs.google.com/spreadsheets/d/11923uPwbBZFjjGgGUA6NLw09EwE0CqkOc4q9oUmW1yo/edit?usp=sharing"",""พิจิตร!J74"")"),2)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>
      <c r="A150" s="159"/>
      <c r="B150" s="160"/>
      <c r="C150" s="160" t="s">
        <v>16</v>
      </c>
      <c r="D150" s="279" t="s">
        <v>77</v>
      </c>
      <c r="E150" s="161"/>
      <c r="F150" s="161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59"/>
      <c r="B151" s="160"/>
      <c r="C151" s="160"/>
      <c r="D151" s="168"/>
      <c r="E151" s="161"/>
      <c r="F151" s="161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59"/>
      <c r="B152" s="160"/>
      <c r="C152" s="160"/>
      <c r="D152" s="168"/>
      <c r="E152" s="161"/>
      <c r="F152" s="161"/>
      <c r="G152" s="171" t="s">
        <v>42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>
      <c r="A153" s="177"/>
      <c r="B153" s="178"/>
      <c r="C153" s="160" t="s">
        <v>16</v>
      </c>
      <c r="D153" s="179" t="s">
        <v>43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>
      <c r="A154" s="177"/>
      <c r="B154" s="178"/>
      <c r="C154" s="178"/>
      <c r="D154" s="184">
        <v>1</v>
      </c>
      <c r="E154" s="185" t="s">
        <v>44</v>
      </c>
      <c r="F154" s="186"/>
      <c r="G154" s="187"/>
      <c r="H154" s="188"/>
      <c r="I154" s="189"/>
      <c r="J154" s="190">
        <f ca="1">IFERROR(__xludf.DUMMYFUNCTION("IMPORTRANGE(""https://docs.google.com/spreadsheets/d/11923uPwbBZFjjGgGUA6NLw09EwE0CqkOc4q9oUmW1yo/edit?usp=sharing"",""พิจิตร!J79"")"),0)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>
      <c r="A155" s="177"/>
      <c r="B155" s="178"/>
      <c r="C155" s="178"/>
      <c r="D155" s="191">
        <v>2</v>
      </c>
      <c r="E155" s="192" t="s">
        <v>45</v>
      </c>
      <c r="F155" s="193"/>
      <c r="G155" s="194"/>
      <c r="H155" s="188"/>
      <c r="I155" s="189"/>
      <c r="J155" s="199">
        <f ca="1">IFERROR(__xludf.DUMMYFUNCTION("IMPORTRANGE(""https://docs.google.com/spreadsheets/d/11923uPwbBZFjjGgGUA6NLw09EwE0CqkOc4q9oUmW1yo/edit?usp=sharing"",""พิจิตร!J80"")"),1)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>
      <c r="A156" s="177"/>
      <c r="B156" s="178"/>
      <c r="C156" s="178"/>
      <c r="D156" s="195"/>
      <c r="E156" s="196" t="s">
        <v>46</v>
      </c>
      <c r="F156" s="197"/>
      <c r="G156" s="198"/>
      <c r="H156" s="188"/>
      <c r="I156" s="189"/>
      <c r="J156" s="199">
        <f ca="1">IFERROR(__xludf.DUMMYFUNCTION("IMPORTRANGE(""https://docs.google.com/spreadsheets/d/11923uPwbBZFjjGgGUA6NLw09EwE0CqkOc4q9oUmW1yo/edit?usp=sharing"",""พิจิตร!J81"")"),0)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>
      <c r="A157" s="177"/>
      <c r="B157" s="178"/>
      <c r="C157" s="178"/>
      <c r="D157" s="195"/>
      <c r="E157" s="196" t="s">
        <v>47</v>
      </c>
      <c r="F157" s="197"/>
      <c r="G157" s="198"/>
      <c r="H157" s="188"/>
      <c r="I157" s="189"/>
      <c r="J157" s="199">
        <f ca="1">IFERROR(__xludf.DUMMYFUNCTION("IMPORTRANGE(""https://docs.google.com/spreadsheets/d/11923uPwbBZFjjGgGUA6NLw09EwE0CqkOc4q9oUmW1yo/edit?usp=sharing"",""พิจิตร!J82"")"),1)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>
      <c r="A158" s="177"/>
      <c r="B158" s="178"/>
      <c r="C158" s="178"/>
      <c r="D158" s="195"/>
      <c r="E158" s="200"/>
      <c r="F158" s="196" t="s">
        <v>78</v>
      </c>
      <c r="G158" s="198"/>
      <c r="H158" s="182" t="s">
        <v>76</v>
      </c>
      <c r="I158" s="189">
        <f ca="1">IFERROR(__xludf.DUMMYFUNCTION("IMPORTRANGE(""https://docs.google.com/spreadsheets/d/11923uPwbBZFjjGgGUA6NLw09EwE0CqkOc4q9oUmW1yo/edit?usp=sharing"",""พิจิตร!I83"")"),4)</f>
        <v>4</v>
      </c>
      <c r="J158" s="190">
        <f ca="1">IFERROR(__xludf.DUMMYFUNCTION("IMPORTRANGE(""https://docs.google.com/spreadsheets/d/11923uPwbBZFjjGgGUA6NLw09EwE0CqkOc4q9oUmW1yo/edit?usp=sharing"",""พิจิตร!J83"")"),2)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>
      <c r="A159" s="177"/>
      <c r="B159" s="178"/>
      <c r="C159" s="178"/>
      <c r="D159" s="195"/>
      <c r="E159" s="197"/>
      <c r="F159" s="280" t="s">
        <v>79</v>
      </c>
      <c r="G159" s="198"/>
      <c r="H159" s="281" t="s">
        <v>37</v>
      </c>
      <c r="I159" s="189"/>
      <c r="J159" s="205">
        <f ca="1">IFERROR(__xludf.DUMMYFUNCTION("IMPORTRANGE(""https://docs.google.com/spreadsheets/d/11923uPwbBZFjjGgGUA6NLw09EwE0CqkOc4q9oUmW1yo/edit?usp=sharing"",""พิจิตร!J84"")"),56)</f>
        <v>56</v>
      </c>
      <c r="K159" s="165"/>
      <c r="L159" s="183"/>
      <c r="M159" s="183"/>
      <c r="N159" s="183"/>
      <c r="O159" s="183"/>
      <c r="P159" s="183"/>
    </row>
    <row r="160" spans="1:16" ht="21.75" customHeight="1">
      <c r="A160" s="177"/>
      <c r="B160" s="178"/>
      <c r="C160" s="178"/>
      <c r="D160" s="195"/>
      <c r="E160" s="197"/>
      <c r="F160" s="197"/>
      <c r="G160" s="282" t="s">
        <v>80</v>
      </c>
      <c r="H160" s="281" t="s">
        <v>37</v>
      </c>
      <c r="I160" s="189"/>
      <c r="J160" s="283">
        <f ca="1">IFERROR(__xludf.DUMMYFUNCTION("IMPORTRANGE(""https://docs.google.com/spreadsheets/d/11923uPwbBZFjjGgGUA6NLw09EwE0CqkOc4q9oUmW1yo/edit?usp=sharing"",""พิจิตร!J85"")"),56)</f>
        <v>56</v>
      </c>
      <c r="K160" s="165"/>
      <c r="L160" s="183"/>
      <c r="M160" s="183"/>
      <c r="N160" s="183"/>
      <c r="O160" s="183"/>
      <c r="P160" s="183"/>
    </row>
    <row r="161" spans="1:16" ht="21.75" customHeight="1">
      <c r="A161" s="177"/>
      <c r="B161" s="178"/>
      <c r="C161" s="178"/>
      <c r="D161" s="195"/>
      <c r="E161" s="197"/>
      <c r="F161" s="197"/>
      <c r="G161" s="282" t="s">
        <v>81</v>
      </c>
      <c r="H161" s="281" t="s">
        <v>37</v>
      </c>
      <c r="I161" s="189"/>
      <c r="J161" s="283">
        <f ca="1">IFERROR(__xludf.DUMMYFUNCTION("IMPORTRANGE(""https://docs.google.com/spreadsheets/d/11923uPwbBZFjjGgGUA6NLw09EwE0CqkOc4q9oUmW1yo/edit?usp=sharing"",""พิจิตร!J86"")"),0)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>
      <c r="A162" s="177"/>
      <c r="B162" s="178"/>
      <c r="C162" s="178"/>
      <c r="D162" s="195"/>
      <c r="E162" s="196" t="s">
        <v>53</v>
      </c>
      <c r="F162" s="197"/>
      <c r="G162" s="198"/>
      <c r="H162" s="188"/>
      <c r="I162" s="189"/>
      <c r="J162" s="199">
        <f ca="1">IFERROR(__xludf.DUMMYFUNCTION("IMPORTRANGE(""https://docs.google.com/spreadsheets/d/11923uPwbBZFjjGgGUA6NLw09EwE0CqkOc4q9oUmW1yo/edit?usp=sharing"",""พิจิตร!J87"")"),0)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>
      <c r="A163" s="177"/>
      <c r="B163" s="178"/>
      <c r="C163" s="178"/>
      <c r="D163" s="207">
        <v>3</v>
      </c>
      <c r="E163" s="208" t="s">
        <v>54</v>
      </c>
      <c r="F163" s="209"/>
      <c r="G163" s="210"/>
      <c r="H163" s="188"/>
      <c r="I163" s="189"/>
      <c r="J163" s="211">
        <f ca="1">IFERROR(__xludf.DUMMYFUNCTION("IMPORTRANGE(""https://docs.google.com/spreadsheets/d/11923uPwbBZFjjGgGUA6NLw09EwE0CqkOc4q9oUmW1yo/edit?usp=sharing"",""พิจิตร!J88"")"),0)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IFERROR(__xludf.DUMMYFUNCTION("IMPORTRANGE(""https://docs.google.com/spreadsheets/d/11923uPwbBZFjjGgGUA6NLw09EwE0CqkOc4q9oUmW1yo/edit?usp=sharing"",""พิจิตร!I89"")"),3)</f>
        <v>3</v>
      </c>
      <c r="J164" s="285">
        <f ca="1">IFERROR(__xludf.DUMMYFUNCTION("IMPORTRANGE(""https://docs.google.com/spreadsheets/d/11923uPwbBZFjjGgGUA6NLw09EwE0CqkOc4q9oUmW1yo/edit?usp=sharing"",""พิจิตร!J89"")"),1)</f>
        <v>1</v>
      </c>
      <c r="K164" s="286">
        <f ca="1">IF(I164&gt;0,J164*100/I164,0)</f>
        <v>33.333333333333336</v>
      </c>
      <c r="L164" s="278"/>
      <c r="M164" s="278"/>
      <c r="N164" s="278"/>
      <c r="O164" s="278"/>
      <c r="P164" s="278"/>
    </row>
    <row r="165" spans="1:16" ht="21.75" customHeight="1">
      <c r="A165" s="159"/>
      <c r="B165" s="160"/>
      <c r="C165" s="160" t="s">
        <v>16</v>
      </c>
      <c r="D165" s="279" t="s">
        <v>77</v>
      </c>
      <c r="E165" s="161"/>
      <c r="F165" s="161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59"/>
      <c r="B166" s="160"/>
      <c r="C166" s="160"/>
      <c r="D166" s="168"/>
      <c r="E166" s="161"/>
      <c r="F166" s="161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59"/>
      <c r="B167" s="160"/>
      <c r="C167" s="160"/>
      <c r="D167" s="168"/>
      <c r="E167" s="161"/>
      <c r="F167" s="161"/>
      <c r="G167" s="171" t="s">
        <v>42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>
      <c r="A168" s="177"/>
      <c r="B168" s="178"/>
      <c r="C168" s="160" t="s">
        <v>16</v>
      </c>
      <c r="D168" s="179" t="s">
        <v>43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>
      <c r="A169" s="177"/>
      <c r="B169" s="178"/>
      <c r="C169" s="178"/>
      <c r="D169" s="184">
        <v>1</v>
      </c>
      <c r="E169" s="185" t="s">
        <v>44</v>
      </c>
      <c r="F169" s="186"/>
      <c r="G169" s="187"/>
      <c r="H169" s="188"/>
      <c r="I169" s="189"/>
      <c r="J169" s="190">
        <f ca="1">IFERROR(__xludf.DUMMYFUNCTION("IMPORTRANGE(""https://docs.google.com/spreadsheets/d/11923uPwbBZFjjGgGUA6NLw09EwE0CqkOc4q9oUmW1yo/edit?usp=sharing"",""พิจิตร!J94"")"),0)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>
      <c r="A170" s="177"/>
      <c r="B170" s="178"/>
      <c r="C170" s="178"/>
      <c r="D170" s="191">
        <v>2</v>
      </c>
      <c r="E170" s="192" t="s">
        <v>45</v>
      </c>
      <c r="F170" s="193"/>
      <c r="G170" s="194"/>
      <c r="H170" s="188"/>
      <c r="I170" s="189"/>
      <c r="J170" s="199">
        <f ca="1">IFERROR(__xludf.DUMMYFUNCTION("IMPORTRANGE(""https://docs.google.com/spreadsheets/d/11923uPwbBZFjjGgGUA6NLw09EwE0CqkOc4q9oUmW1yo/edit?usp=sharing"",""พิจิตร!J95"")"),1)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>
      <c r="A171" s="177"/>
      <c r="B171" s="178"/>
      <c r="C171" s="178"/>
      <c r="D171" s="195"/>
      <c r="E171" s="196" t="s">
        <v>46</v>
      </c>
      <c r="F171" s="197"/>
      <c r="G171" s="198"/>
      <c r="H171" s="188"/>
      <c r="I171" s="189"/>
      <c r="J171" s="199">
        <f ca="1">IFERROR(__xludf.DUMMYFUNCTION("IMPORTRANGE(""https://docs.google.com/spreadsheets/d/11923uPwbBZFjjGgGUA6NLw09EwE0CqkOc4q9oUmW1yo/edit?usp=sharing"",""พิจิตร!J96"")"),0)</f>
        <v>0</v>
      </c>
      <c r="K171" s="165"/>
      <c r="L171" s="183"/>
      <c r="M171" s="183"/>
      <c r="N171" s="183"/>
      <c r="O171" s="183"/>
      <c r="P171" s="183"/>
    </row>
    <row r="172" spans="1:16" ht="21.75" customHeight="1">
      <c r="A172" s="177"/>
      <c r="B172" s="178"/>
      <c r="C172" s="178"/>
      <c r="D172" s="195"/>
      <c r="E172" s="196" t="s">
        <v>47</v>
      </c>
      <c r="F172" s="197"/>
      <c r="G172" s="198"/>
      <c r="H172" s="188"/>
      <c r="I172" s="189"/>
      <c r="J172" s="199">
        <f ca="1">IFERROR(__xludf.DUMMYFUNCTION("IMPORTRANGE(""https://docs.google.com/spreadsheets/d/11923uPwbBZFjjGgGUA6NLw09EwE0CqkOc4q9oUmW1yo/edit?usp=sharing"",""พิจิตร!J97"")"),1)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IFERROR(__xludf.DUMMYFUNCTION("IMPORTRANGE(""https://docs.google.com/spreadsheets/d/11923uPwbBZFjjGgGUA6NLw09EwE0CqkOc4q9oUmW1yo/edit?usp=sharing"",""พิจิตร!I98"")"),3)</f>
        <v>3</v>
      </c>
      <c r="J173" s="190">
        <f ca="1">IFERROR(__xludf.DUMMYFUNCTION("IMPORTRANGE(""https://docs.google.com/spreadsheets/d/11923uPwbBZFjjGgGUA6NLw09EwE0CqkOc4q9oUmW1yo/edit?usp=sharing"",""พิจิตร!J98"")"),1)</f>
        <v>1</v>
      </c>
      <c r="K173" s="165">
        <f ca="1">IF(I173&gt;0,J173*100/I173,0)</f>
        <v>33.333333333333336</v>
      </c>
      <c r="L173" s="170"/>
      <c r="M173" s="170"/>
      <c r="N173" s="169"/>
      <c r="O173" s="170"/>
      <c r="P173" s="170"/>
    </row>
    <row r="174" spans="1:16" ht="21.75" customHeight="1">
      <c r="A174" s="177"/>
      <c r="B174" s="178"/>
      <c r="C174" s="178"/>
      <c r="D174" s="195"/>
      <c r="E174" s="196" t="s">
        <v>53</v>
      </c>
      <c r="F174" s="197"/>
      <c r="G174" s="198"/>
      <c r="H174" s="188"/>
      <c r="I174" s="189"/>
      <c r="J174" s="199">
        <f ca="1">IFERROR(__xludf.DUMMYFUNCTION("IMPORTRANGE(""https://docs.google.com/spreadsheets/d/11923uPwbBZFjjGgGUA6NLw09EwE0CqkOc4q9oUmW1yo/edit?usp=sharing"",""พิจิตร!J99"")"),0)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>
      <c r="A175" s="177"/>
      <c r="B175" s="178"/>
      <c r="C175" s="178"/>
      <c r="D175" s="207">
        <v>3</v>
      </c>
      <c r="E175" s="208" t="s">
        <v>54</v>
      </c>
      <c r="F175" s="209"/>
      <c r="G175" s="210"/>
      <c r="H175" s="188"/>
      <c r="I175" s="189"/>
      <c r="J175" s="211">
        <f ca="1">IFERROR(__xludf.DUMMYFUNCTION("IMPORTRANGE(""https://docs.google.com/spreadsheets/d/11923uPwbBZFjjGgGUA6NLw09EwE0CqkOc4q9oUmW1yo/edit?usp=sharing"",""พิจิตร!J100"")"),0)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IFERROR(__xludf.DUMMYFUNCTION("IMPORTRANGE(""https://docs.google.com/spreadsheets/d/11923uPwbBZFjjGgGUA6NLw09EwE0CqkOc4q9oUmW1yo/edit?usp=sharing"",""พิจิตร!I101"")"),0)</f>
        <v>0</v>
      </c>
      <c r="J176" s="285">
        <f ca="1">IFERROR(__xludf.DUMMYFUNCTION("IMPORTRANGE(""https://docs.google.com/spreadsheets/d/11923uPwbBZFjjGgGUA6NLw09EwE0CqkOc4q9oUmW1yo/edit?usp=sharing"",""พิจิตร!J101"")"),0)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>
      <c r="A177" s="159"/>
      <c r="B177" s="160"/>
      <c r="C177" s="160" t="s">
        <v>16</v>
      </c>
      <c r="D177" s="279" t="s">
        <v>77</v>
      </c>
      <c r="E177" s="161"/>
      <c r="F177" s="161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59"/>
      <c r="B178" s="160"/>
      <c r="C178" s="160"/>
      <c r="D178" s="168"/>
      <c r="E178" s="161"/>
      <c r="F178" s="161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59"/>
      <c r="B179" s="160"/>
      <c r="C179" s="160"/>
      <c r="D179" s="168"/>
      <c r="E179" s="161"/>
      <c r="F179" s="161"/>
      <c r="G179" s="171" t="s">
        <v>42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>
      <c r="A180" s="177"/>
      <c r="B180" s="178"/>
      <c r="C180" s="160" t="s">
        <v>16</v>
      </c>
      <c r="D180" s="179" t="s">
        <v>43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>
      <c r="A181" s="177"/>
      <c r="B181" s="178"/>
      <c r="C181" s="178"/>
      <c r="D181" s="184">
        <v>1</v>
      </c>
      <c r="E181" s="185" t="s">
        <v>44</v>
      </c>
      <c r="F181" s="186"/>
      <c r="G181" s="187"/>
      <c r="H181" s="188"/>
      <c r="I181" s="189"/>
      <c r="J181" s="189">
        <f ca="1">IFERROR(__xludf.DUMMYFUNCTION("IMPORTRANGE(""https://docs.google.com/spreadsheets/d/11923uPwbBZFjjGgGUA6NLw09EwE0CqkOc4q9oUmW1yo/edit?usp=sharing"",""พิจิตร!J106"")"),0)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>
      <c r="A182" s="177"/>
      <c r="B182" s="178"/>
      <c r="C182" s="178"/>
      <c r="D182" s="191">
        <v>2</v>
      </c>
      <c r="E182" s="192" t="s">
        <v>45</v>
      </c>
      <c r="F182" s="193"/>
      <c r="G182" s="194"/>
      <c r="H182" s="188"/>
      <c r="I182" s="189"/>
      <c r="J182" s="189">
        <f ca="1">IFERROR(__xludf.DUMMYFUNCTION("IMPORTRANGE(""https://docs.google.com/spreadsheets/d/11923uPwbBZFjjGgGUA6NLw09EwE0CqkOc4q9oUmW1yo/edit?usp=sharing"",""พิจิตร!J107"")"),0)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>
      <c r="A183" s="177"/>
      <c r="B183" s="178"/>
      <c r="C183" s="178"/>
      <c r="D183" s="195"/>
      <c r="E183" s="196" t="s">
        <v>46</v>
      </c>
      <c r="F183" s="197"/>
      <c r="G183" s="198"/>
      <c r="H183" s="188"/>
      <c r="I183" s="189"/>
      <c r="J183" s="189">
        <f ca="1">IFERROR(__xludf.DUMMYFUNCTION("IMPORTRANGE(""https://docs.google.com/spreadsheets/d/11923uPwbBZFjjGgGUA6NLw09EwE0CqkOc4q9oUmW1yo/edit?usp=sharing"",""พิจิตร!J108"")"),0)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>
      <c r="A184" s="177"/>
      <c r="B184" s="178"/>
      <c r="C184" s="178"/>
      <c r="D184" s="195"/>
      <c r="E184" s="196" t="s">
        <v>47</v>
      </c>
      <c r="F184" s="197"/>
      <c r="G184" s="198"/>
      <c r="H184" s="188"/>
      <c r="I184" s="189"/>
      <c r="J184" s="189">
        <f ca="1">IFERROR(__xludf.DUMMYFUNCTION("IMPORTRANGE(""https://docs.google.com/spreadsheets/d/11923uPwbBZFjjGgGUA6NLw09EwE0CqkOc4q9oUmW1yo/edit?usp=sharing"",""พิจิตร!J109"")"),0)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IFERROR(__xludf.DUMMYFUNCTION("IMPORTRANGE(""https://docs.google.com/spreadsheets/d/11923uPwbBZFjjGgGUA6NLw09EwE0CqkOc4q9oUmW1yo/edit?usp=sharing"",""พิจิตร!I110"")"),0)</f>
        <v>0</v>
      </c>
      <c r="J185" s="205">
        <f ca="1">IFERROR(__xludf.DUMMYFUNCTION("IMPORTRANGE(""https://docs.google.com/spreadsheets/d/11923uPwbBZFjjGgGUA6NLw09EwE0CqkOc4q9oUmW1yo/edit?usp=sharing"",""พิจิตร!J110"")"),0)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IFERROR(__xludf.DUMMYFUNCTION("IMPORTRANGE(""https://docs.google.com/spreadsheets/d/11923uPwbBZFjjGgGUA6NLw09EwE0CqkOc4q9oUmW1yo/edit?usp=sharing"",""พิจิตร!I111"")"),0)</f>
        <v>0</v>
      </c>
      <c r="J186" s="205">
        <f ca="1">IFERROR(__xludf.DUMMYFUNCTION("IMPORTRANGE(""https://docs.google.com/spreadsheets/d/11923uPwbBZFjjGgGUA6NLw09EwE0CqkOc4q9oUmW1yo/edit?usp=sharing"",""พิจิตร!J111"")"),0)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>
      <c r="A187" s="177"/>
      <c r="B187" s="178"/>
      <c r="C187" s="178"/>
      <c r="D187" s="195"/>
      <c r="E187" s="196" t="s">
        <v>53</v>
      </c>
      <c r="F187" s="197"/>
      <c r="G187" s="198"/>
      <c r="H187" s="188"/>
      <c r="I187" s="189"/>
      <c r="J187" s="189">
        <f ca="1">IFERROR(__xludf.DUMMYFUNCTION("IMPORTRANGE(""https://docs.google.com/spreadsheets/d/11923uPwbBZFjjGgGUA6NLw09EwE0CqkOc4q9oUmW1yo/edit?usp=sharing"",""พิจิตร!J112"")"),0)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>
      <c r="A188" s="177"/>
      <c r="B188" s="178"/>
      <c r="C188" s="178"/>
      <c r="D188" s="207">
        <v>3</v>
      </c>
      <c r="E188" s="208" t="s">
        <v>54</v>
      </c>
      <c r="F188" s="209"/>
      <c r="G188" s="210"/>
      <c r="H188" s="188"/>
      <c r="I188" s="189"/>
      <c r="J188" s="228">
        <f ca="1">IFERROR(__xludf.DUMMYFUNCTION("IMPORTRANGE(""https://docs.google.com/spreadsheets/d/11923uPwbBZFjjGgGUA6NLw09EwE0CqkOc4q9oUmW1yo/edit?usp=sharing"",""พิจิตร!J113"")"),0)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IFERROR(__xludf.DUMMYFUNCTION("IMPORTRANGE(""https://docs.google.com/spreadsheets/d/11923uPwbBZFjjGgGUA6NLw09EwE0CqkOc4q9oUmW1yo/edit?usp=sharing"",""พิจิตร!I114"")"),20000)</f>
        <v>20000</v>
      </c>
      <c r="J189" s="285">
        <f ca="1">IFERROR(__xludf.DUMMYFUNCTION("IMPORTRANGE(""https://docs.google.com/spreadsheets/d/11923uPwbBZFjjGgGUA6NLw09EwE0CqkOc4q9oUmW1yo/edit?usp=sharing"",""พิจิตร!J114"")"),0)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>
      <c r="A190" s="159"/>
      <c r="B190" s="160"/>
      <c r="C190" s="160" t="s">
        <v>16</v>
      </c>
      <c r="D190" s="279" t="s">
        <v>77</v>
      </c>
      <c r="E190" s="161"/>
      <c r="F190" s="161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59"/>
      <c r="B191" s="160"/>
      <c r="C191" s="160"/>
      <c r="D191" s="168"/>
      <c r="E191" s="161"/>
      <c r="F191" s="161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59"/>
      <c r="B192" s="160"/>
      <c r="C192" s="160"/>
      <c r="D192" s="168"/>
      <c r="E192" s="161"/>
      <c r="F192" s="161"/>
      <c r="G192" s="171" t="s">
        <v>42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>
      <c r="A193" s="177"/>
      <c r="B193" s="178"/>
      <c r="C193" s="160" t="s">
        <v>16</v>
      </c>
      <c r="D193" s="179" t="s">
        <v>43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>
      <c r="A194" s="177"/>
      <c r="B194" s="178"/>
      <c r="C194" s="178"/>
      <c r="D194" s="184">
        <v>1</v>
      </c>
      <c r="E194" s="185" t="s">
        <v>44</v>
      </c>
      <c r="F194" s="186"/>
      <c r="G194" s="187"/>
      <c r="H194" s="188"/>
      <c r="I194" s="189"/>
      <c r="J194" s="199">
        <f ca="1">IFERROR(__xludf.DUMMYFUNCTION("IMPORTRANGE(""https://docs.google.com/spreadsheets/d/11923uPwbBZFjjGgGUA6NLw09EwE0CqkOc4q9oUmW1yo/edit?usp=sharing"",""พิจิตร!J119"")"),0)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>
      <c r="A195" s="177"/>
      <c r="B195" s="178"/>
      <c r="C195" s="178"/>
      <c r="D195" s="191">
        <v>2</v>
      </c>
      <c r="E195" s="192" t="s">
        <v>45</v>
      </c>
      <c r="F195" s="193"/>
      <c r="G195" s="194"/>
      <c r="H195" s="188"/>
      <c r="I195" s="189"/>
      <c r="J195" s="190">
        <f ca="1">IFERROR(__xludf.DUMMYFUNCTION("IMPORTRANGE(""https://docs.google.com/spreadsheets/d/11923uPwbBZFjjGgGUA6NLw09EwE0CqkOc4q9oUmW1yo/edit?usp=sharing"",""พิจิตร!J120"")"),1)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>
      <c r="A196" s="177"/>
      <c r="B196" s="178"/>
      <c r="C196" s="178"/>
      <c r="D196" s="195"/>
      <c r="E196" s="196" t="s">
        <v>46</v>
      </c>
      <c r="F196" s="197"/>
      <c r="G196" s="198"/>
      <c r="H196" s="188"/>
      <c r="I196" s="189"/>
      <c r="J196" s="190">
        <f ca="1">IFERROR(__xludf.DUMMYFUNCTION("IMPORTRANGE(""https://docs.google.com/spreadsheets/d/11923uPwbBZFjjGgGUA6NLw09EwE0CqkOc4q9oUmW1yo/edit?usp=sharing"",""พิจิตร!J121"")"),0)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>
      <c r="A197" s="177"/>
      <c r="B197" s="178"/>
      <c r="C197" s="178"/>
      <c r="D197" s="195"/>
      <c r="E197" s="196" t="s">
        <v>47</v>
      </c>
      <c r="F197" s="197"/>
      <c r="G197" s="198"/>
      <c r="H197" s="188"/>
      <c r="I197" s="189"/>
      <c r="J197" s="199">
        <f ca="1">IFERROR(__xludf.DUMMYFUNCTION("IMPORTRANGE(""https://docs.google.com/spreadsheets/d/11923uPwbBZFjjGgGUA6NLw09EwE0CqkOc4q9oUmW1yo/edit?usp=sharing"",""พิจิตร!J122"")"),1)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IFERROR(__xludf.DUMMYFUNCTION("IMPORTRANGE(""https://docs.google.com/spreadsheets/d/11923uPwbBZFjjGgGUA6NLw09EwE0CqkOc4q9oUmW1yo/edit?usp=sharing"",""พิจิตร!I124"")"),20000)</f>
        <v>20000</v>
      </c>
      <c r="J199" s="190">
        <f ca="1">IFERROR(__xludf.DUMMYFUNCTION("IMPORTRANGE(""https://docs.google.com/spreadsheets/d/11923uPwbBZFjjGgGUA6NLw09EwE0CqkOc4q9oUmW1yo/edit?usp=sharing"",""พิจิตร!J124"")"),0)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IFERROR(__xludf.DUMMYFUNCTION("IMPORTRANGE(""https://docs.google.com/spreadsheets/d/11923uPwbBZFjjGgGUA6NLw09EwE0CqkOc4q9oUmW1yo/edit?usp=sharing"",""พิจิตร!I125"")"),20000)</f>
        <v>20000</v>
      </c>
      <c r="J200" s="190">
        <f ca="1">IFERROR(__xludf.DUMMYFUNCTION("IMPORTRANGE(""https://docs.google.com/spreadsheets/d/11923uPwbBZFjjGgGUA6NLw09EwE0CqkOc4q9oUmW1yo/edit?usp=sharing"",""พิจิตร!J125"")"),0)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IFERROR(__xludf.DUMMYFUNCTION("IMPORTRANGE(""https://docs.google.com/spreadsheets/d/11923uPwbBZFjjGgGUA6NLw09EwE0CqkOc4q9oUmW1yo/edit?usp=sharing"",""พิจิตร!I126"")"),0)</f>
        <v>0</v>
      </c>
      <c r="J201" s="190">
        <f ca="1">IFERROR(__xludf.DUMMYFUNCTION("IMPORTRANGE(""https://docs.google.com/spreadsheets/d/11923uPwbBZFjjGgGUA6NLw09EwE0CqkOc4q9oUmW1yo/edit?usp=sharing"",""พิจิตร!J126"")"),0)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>
      <c r="A202" s="177"/>
      <c r="B202" s="178"/>
      <c r="C202" s="178"/>
      <c r="D202" s="195"/>
      <c r="E202" s="196" t="s">
        <v>53</v>
      </c>
      <c r="F202" s="197"/>
      <c r="G202" s="198"/>
      <c r="H202" s="188"/>
      <c r="I202" s="189"/>
      <c r="J202" s="199">
        <f ca="1">IFERROR(__xludf.DUMMYFUNCTION("IMPORTRANGE(""https://docs.google.com/spreadsheets/d/11923uPwbBZFjjGgGUA6NLw09EwE0CqkOc4q9oUmW1yo/edit?usp=sharing"",""พิจิตร!J127"")"),0)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IFERROR(__xludf.DUMMYFUNCTION("IMPORTRANGE(""https://docs.google.com/spreadsheets/d/11923uPwbBZFjjGgGUA6NLw09EwE0CqkOc4q9oUmW1yo/edit?usp=sharing"",""พิจิตร!J128"")"),0)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IFERROR(__xludf.DUMMYFUNCTION("IMPORTRANGE(""https://docs.google.com/spreadsheets/d/11923uPwbBZFjjGgGUA6NLw09EwE0CqkOc4q9oUmW1yo/edit?usp=sharing"",""พิจิตร!I129"")"),0)</f>
        <v>0</v>
      </c>
      <c r="J204" s="285">
        <f ca="1">IFERROR(__xludf.DUMMYFUNCTION("IMPORTRANGE(""https://docs.google.com/spreadsheets/d/11923uPwbBZFjjGgGUA6NLw09EwE0CqkOc4q9oUmW1yo/edit?usp=sharing"",""พิจิตร!J129"")"),0)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>
      <c r="A205" s="159"/>
      <c r="B205" s="160"/>
      <c r="C205" s="160" t="s">
        <v>16</v>
      </c>
      <c r="D205" s="279" t="s">
        <v>77</v>
      </c>
      <c r="E205" s="161"/>
      <c r="F205" s="161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59"/>
      <c r="B206" s="160"/>
      <c r="C206" s="160"/>
      <c r="D206" s="168"/>
      <c r="E206" s="161"/>
      <c r="F206" s="161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59"/>
      <c r="B207" s="160"/>
      <c r="C207" s="160"/>
      <c r="D207" s="168"/>
      <c r="E207" s="161"/>
      <c r="F207" s="161"/>
      <c r="G207" s="171" t="s">
        <v>42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>
      <c r="A208" s="177"/>
      <c r="B208" s="178"/>
      <c r="C208" s="160" t="s">
        <v>16</v>
      </c>
      <c r="D208" s="179" t="s">
        <v>43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>
      <c r="A209" s="177"/>
      <c r="B209" s="178"/>
      <c r="C209" s="178"/>
      <c r="D209" s="184">
        <v>1</v>
      </c>
      <c r="E209" s="185" t="s">
        <v>44</v>
      </c>
      <c r="F209" s="186"/>
      <c r="G209" s="187"/>
      <c r="H209" s="188"/>
      <c r="I209" s="189"/>
      <c r="J209" s="189">
        <f ca="1">IFERROR(__xludf.DUMMYFUNCTION("IMPORTRANGE(""https://docs.google.com/spreadsheets/d/11923uPwbBZFjjGgGUA6NLw09EwE0CqkOc4q9oUmW1yo/edit?usp=sharing"",""พิจิตร!J134"")"),0)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>
      <c r="A210" s="177"/>
      <c r="B210" s="178"/>
      <c r="C210" s="178"/>
      <c r="D210" s="191">
        <v>2</v>
      </c>
      <c r="E210" s="192" t="s">
        <v>45</v>
      </c>
      <c r="F210" s="193"/>
      <c r="G210" s="194"/>
      <c r="H210" s="188"/>
      <c r="I210" s="189"/>
      <c r="J210" s="189">
        <f ca="1">IFERROR(__xludf.DUMMYFUNCTION("IMPORTRANGE(""https://docs.google.com/spreadsheets/d/11923uPwbBZFjjGgGUA6NLw09EwE0CqkOc4q9oUmW1yo/edit?usp=sharing"",""พิจิตร!J135"")"),0)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>
      <c r="A211" s="177"/>
      <c r="B211" s="178"/>
      <c r="C211" s="178"/>
      <c r="D211" s="195"/>
      <c r="E211" s="196" t="s">
        <v>46</v>
      </c>
      <c r="F211" s="197"/>
      <c r="G211" s="198"/>
      <c r="H211" s="188"/>
      <c r="I211" s="189"/>
      <c r="J211" s="189">
        <f ca="1">IFERROR(__xludf.DUMMYFUNCTION("IMPORTRANGE(""https://docs.google.com/spreadsheets/d/11923uPwbBZFjjGgGUA6NLw09EwE0CqkOc4q9oUmW1yo/edit?usp=sharing"",""พิจิตร!J136"")"),0)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>
      <c r="A212" s="177"/>
      <c r="B212" s="178"/>
      <c r="C212" s="178"/>
      <c r="D212" s="195"/>
      <c r="E212" s="196" t="s">
        <v>47</v>
      </c>
      <c r="F212" s="197"/>
      <c r="G212" s="198"/>
      <c r="H212" s="188"/>
      <c r="I212" s="189"/>
      <c r="J212" s="189">
        <f ca="1">IFERROR(__xludf.DUMMYFUNCTION("IMPORTRANGE(""https://docs.google.com/spreadsheets/d/11923uPwbBZFjjGgGUA6NLw09EwE0CqkOc4q9oUmW1yo/edit?usp=sharing"",""พิจิตร!J137"")"),0)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IFERROR(__xludf.DUMMYFUNCTION("IMPORTRANGE(""https://docs.google.com/spreadsheets/d/11923uPwbBZFjjGgGUA6NLw09EwE0CqkOc4q9oUmW1yo/edit?usp=sharing"",""พิจิตร!I138"")"),0)</f>
        <v>0</v>
      </c>
      <c r="J213" s="205">
        <f ca="1">IFERROR(__xludf.DUMMYFUNCTION("IMPORTRANGE(""https://docs.google.com/spreadsheets/d/11923uPwbBZFjjGgGUA6NLw09EwE0CqkOc4q9oUmW1yo/edit?usp=sharing"",""พิจิตร!J138"")"),0)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>
      <c r="A214" s="177"/>
      <c r="B214" s="178"/>
      <c r="C214" s="178"/>
      <c r="D214" s="195"/>
      <c r="E214" s="200"/>
      <c r="F214" s="196" t="s">
        <v>52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IFERROR(__xludf.DUMMYFUNCTION("IMPORTRANGE(""https://docs.google.com/spreadsheets/d/11923uPwbBZFjjGgGUA6NLw09EwE0CqkOc4q9oUmW1yo/edit?usp=sharing"",""พิจิตร!I140"")"),0)</f>
        <v>0</v>
      </c>
      <c r="J215" s="205">
        <f ca="1">IFERROR(__xludf.DUMMYFUNCTION("IMPORTRANGE(""https://docs.google.com/spreadsheets/d/11923uPwbBZFjjGgGUA6NLw09EwE0CqkOc4q9oUmW1yo/edit?usp=sharing"",""พิจิตร!J140"")"),0)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>
      <c r="A216" s="177"/>
      <c r="B216" s="178"/>
      <c r="C216" s="178"/>
      <c r="D216" s="195"/>
      <c r="E216" s="200"/>
      <c r="F216" s="197"/>
      <c r="G216" s="227" t="s">
        <v>97</v>
      </c>
      <c r="H216" s="182" t="s">
        <v>58</v>
      </c>
      <c r="I216" s="189">
        <f ca="1">IFERROR(__xludf.DUMMYFUNCTION("IMPORTRANGE(""https://docs.google.com/spreadsheets/d/11923uPwbBZFjjGgGUA6NLw09EwE0CqkOc4q9oUmW1yo/edit?usp=sharing"",""พิจิตร!I141"")"),0)</f>
        <v>0</v>
      </c>
      <c r="J216" s="205">
        <f ca="1">IFERROR(__xludf.DUMMYFUNCTION("IMPORTRANGE(""https://docs.google.com/spreadsheets/d/11923uPwbBZFjjGgGUA6NLw09EwE0CqkOc4q9oUmW1yo/edit?usp=sharing"",""พิจิตร!J141"")"),0)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>
      <c r="A217" s="177"/>
      <c r="B217" s="178"/>
      <c r="C217" s="178"/>
      <c r="D217" s="195"/>
      <c r="E217" s="196" t="s">
        <v>53</v>
      </c>
      <c r="F217" s="197"/>
      <c r="G217" s="198"/>
      <c r="H217" s="188"/>
      <c r="I217" s="189"/>
      <c r="J217" s="189">
        <f ca="1">IFERROR(__xludf.DUMMYFUNCTION("IMPORTRANGE(""https://docs.google.com/spreadsheets/d/11923uPwbBZFjjGgGUA6NLw09EwE0CqkOc4q9oUmW1yo/edit?usp=sharing"",""พิจิตร!J142"")"),0)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IFERROR(__xludf.DUMMYFUNCTION("IMPORTRANGE(""https://docs.google.com/spreadsheets/d/11923uPwbBZFjjGgGUA6NLw09EwE0CqkOc4q9oUmW1yo/edit?usp=sharing"",""พิจิตร!J143"")"),0)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IFERROR(__xludf.DUMMYFUNCTION("IMPORTRANGE(""https://docs.google.com/spreadsheets/d/11923uPwbBZFjjGgGUA6NLw09EwE0CqkOc4q9oUmW1yo/edit?usp=sharing"",""พิจิตร!I144"")"),15)</f>
        <v>15</v>
      </c>
      <c r="J219" s="268">
        <f ca="1">IFERROR(__xludf.DUMMYFUNCTION("IMPORTRANGE(""https://docs.google.com/spreadsheets/d/11923uPwbBZFjjGgGUA6NLw09EwE0CqkOc4q9oUmW1yo/edit?usp=sharing"",""พิจิตร!J144"")"),15)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>
      <c r="A220" s="148"/>
      <c r="B220" s="149"/>
      <c r="C220" s="150" t="s">
        <v>16</v>
      </c>
      <c r="D220" s="566" t="s">
        <v>17</v>
      </c>
      <c r="E220" s="567"/>
      <c r="F220" s="567"/>
      <c r="G220" s="567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0</v>
      </c>
      <c r="O220" s="153">
        <f t="shared" ref="O220:O222" ca="1" si="73">IF(L220&gt;0,N220*100/L220,0)</f>
        <v>0</v>
      </c>
      <c r="P220" s="153">
        <f t="shared" ref="P220:P222" ca="1" si="74">IF(M220&gt;0,N220*100/M220,0)</f>
        <v>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90">
        <f t="shared" ref="L221:N221" si="75">L223+L227</f>
        <v>0</v>
      </c>
      <c r="M221" s="90">
        <f t="shared" si="75"/>
        <v>0</v>
      </c>
      <c r="N221" s="90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90">
        <f t="shared" ref="L222:N222" ca="1" si="76">L224+L228</f>
        <v>21125</v>
      </c>
      <c r="M222" s="90">
        <f t="shared" ca="1" si="76"/>
        <v>21125</v>
      </c>
      <c r="N222" s="90">
        <f t="shared" ca="1" si="76"/>
        <v>0</v>
      </c>
      <c r="O222" s="158">
        <f t="shared" ca="1" si="73"/>
        <v>0</v>
      </c>
      <c r="P222" s="158">
        <f t="shared" ca="1" si="74"/>
        <v>0</v>
      </c>
    </row>
    <row r="223" spans="1:16" ht="21.75" customHeight="1">
      <c r="A223" s="159"/>
      <c r="B223" s="160"/>
      <c r="C223" s="160" t="s">
        <v>16</v>
      </c>
      <c r="D223" s="570" t="s">
        <v>20</v>
      </c>
      <c r="E223" s="565"/>
      <c r="F223" s="565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59"/>
      <c r="B224" s="160"/>
      <c r="C224" s="160"/>
      <c r="D224" s="168"/>
      <c r="E224" s="161"/>
      <c r="F224" s="161" t="s">
        <v>39</v>
      </c>
      <c r="G224" s="162" t="s">
        <v>40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IFERROR(__xludf.DUMMYFUNCTION("IMPORTRANGE(""https://docs.google.com/spreadsheets/d/1Yj_ptqi66GCucihVvJfMjLAmec39IyEx_6qawtMGysU/edit?usp=sharing"",""สบก!BS27"")"),21125)</f>
        <v>21125</v>
      </c>
      <c r="N224" s="170">
        <f ca="1">IFERROR(__xludf.DUMMYFUNCTION("IMPORTRANGE(""https://docs.google.com/spreadsheets/d/1Yj_ptqi66GCucihVvJfMjLAmec39IyEx_6qawtMGysU/edit?usp=sharing"",""สบก!BT27"")"),0)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>
      <c r="A225" s="159"/>
      <c r="B225" s="160"/>
      <c r="C225" s="160"/>
      <c r="D225" s="168"/>
      <c r="E225" s="161"/>
      <c r="F225" s="161"/>
      <c r="G225" s="171" t="s">
        <v>41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IFERROR(__xludf.DUMMYFUNCTION("IMPORTRANGE(""https://docs.google.com/spreadsheets/d/1Yj_ptqi66GCucihVvJfMjLAmec39IyEx_6qawtMGysU/edit?usp=sharing"",""สบก!BO27"")"),0)</f>
        <v>0</v>
      </c>
      <c r="M225" s="169"/>
      <c r="N225" s="169"/>
      <c r="O225" s="170"/>
      <c r="P225" s="170"/>
    </row>
    <row r="226" spans="1:16" ht="21.75" customHeight="1">
      <c r="A226" s="159"/>
      <c r="B226" s="160"/>
      <c r="C226" s="160"/>
      <c r="D226" s="168"/>
      <c r="E226" s="161"/>
      <c r="F226" s="161"/>
      <c r="G226" s="171" t="s">
        <v>42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IFERROR(__xludf.DUMMYFUNCTION("IMPORTRANGE(""https://docs.google.com/spreadsheets/d/1Yj_ptqi66GCucihVvJfMjLAmec39IyEx_6qawtMGysU/edit?usp=sharing"",""สบก!BP27"")"),21125)</f>
        <v>21125</v>
      </c>
      <c r="M226" s="169"/>
      <c r="N226" s="169"/>
      <c r="O226" s="170"/>
      <c r="P226" s="170"/>
    </row>
    <row r="227" spans="1:16" ht="21.75" customHeight="1">
      <c r="A227" s="172"/>
      <c r="B227" s="83"/>
      <c r="C227" s="84" t="s">
        <v>16</v>
      </c>
      <c r="D227" s="564" t="s">
        <v>23</v>
      </c>
      <c r="E227" s="565"/>
      <c r="F227" s="91"/>
      <c r="G227" s="85" t="s">
        <v>18</v>
      </c>
      <c r="H227" s="173" t="s">
        <v>12</v>
      </c>
      <c r="I227" s="202"/>
      <c r="J227" s="202"/>
      <c r="K227" s="291"/>
      <c r="L227" s="44">
        <v>0</v>
      </c>
      <c r="M227" s="44"/>
      <c r="N227" s="44"/>
      <c r="O227" s="44"/>
      <c r="P227" s="44"/>
    </row>
    <row r="228" spans="1:16" ht="21.75" customHeight="1">
      <c r="A228" s="174"/>
      <c r="B228" s="94"/>
      <c r="C228" s="94"/>
      <c r="D228" s="175"/>
      <c r="E228" s="95"/>
      <c r="F228" s="95"/>
      <c r="G228" s="96" t="s">
        <v>19</v>
      </c>
      <c r="H228" s="176" t="s">
        <v>12</v>
      </c>
      <c r="I228" s="202"/>
      <c r="J228" s="202"/>
      <c r="K228" s="291"/>
      <c r="L228" s="52">
        <f ca="1">IFERROR(__xludf.DUMMYFUNCTION("IMPORTRANGE(""https://docs.google.com/spreadsheets/d/1Yj_ptqi66GCucihVvJfMjLAmec39IyEx_6qawtMGysU/edit?usp=sharing"",""สบก!BQ27"")"),0)</f>
        <v>0</v>
      </c>
      <c r="M228" s="52"/>
      <c r="N228" s="52">
        <f ca="1">IFERROR(__xludf.DUMMYFUNCTION("IMPORTRANGE(""https://docs.google.com/spreadsheets/d/1Yj_ptqi66GCucihVvJfMjLAmec39IyEx_6qawtMGysU/edit?usp=sharing"",""สบก!BU27"")"),0)</f>
        <v>0</v>
      </c>
      <c r="O228" s="52">
        <f ca="1">IF(L228&gt;0,N228*100/L228,0)</f>
        <v>0</v>
      </c>
      <c r="P228" s="52"/>
    </row>
    <row r="229" spans="1:16" ht="21.75" customHeight="1">
      <c r="A229" s="177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IFERROR(__xludf.DUMMYFUNCTION("IMPORTRANGE(""https://docs.google.com/spreadsheets/d/11923uPwbBZFjjGgGUA6NLw09EwE0CqkOc4q9oUmW1yo/edit?usp=sharing"",""พิจิตร!I149"")"),15)</f>
        <v>15</v>
      </c>
      <c r="J229" s="268">
        <f ca="1">IFERROR(__xludf.DUMMYFUNCTION("IMPORTRANGE(""https://docs.google.com/spreadsheets/d/11923uPwbBZFjjGgGUA6NLw09EwE0CqkOc4q9oUmW1yo/edit?usp=sharing"",""พิจิตร!J149"")"),15)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>
      <c r="A230" s="177"/>
      <c r="B230" s="178"/>
      <c r="C230" s="160" t="s">
        <v>16</v>
      </c>
      <c r="D230" s="179" t="s">
        <v>43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>
      <c r="A231" s="177"/>
      <c r="B231" s="178"/>
      <c r="C231" s="178"/>
      <c r="D231" s="184">
        <v>1</v>
      </c>
      <c r="E231" s="185" t="s">
        <v>44</v>
      </c>
      <c r="F231" s="186"/>
      <c r="G231" s="187"/>
      <c r="H231" s="188"/>
      <c r="I231" s="189"/>
      <c r="J231" s="199">
        <f ca="1">IFERROR(__xludf.DUMMYFUNCTION("IMPORTRANGE(""https://docs.google.com/spreadsheets/d/11923uPwbBZFjjGgGUA6NLw09EwE0CqkOc4q9oUmW1yo/edit?usp=sharing"",""พิจิตร!J151"")"),0)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>
      <c r="A232" s="177"/>
      <c r="B232" s="178"/>
      <c r="C232" s="178"/>
      <c r="D232" s="191">
        <v>2</v>
      </c>
      <c r="E232" s="192" t="s">
        <v>45</v>
      </c>
      <c r="F232" s="193"/>
      <c r="G232" s="194"/>
      <c r="H232" s="188"/>
      <c r="I232" s="189"/>
      <c r="J232" s="190">
        <f ca="1">IFERROR(__xludf.DUMMYFUNCTION("IMPORTRANGE(""https://docs.google.com/spreadsheets/d/11923uPwbBZFjjGgGUA6NLw09EwE0CqkOc4q9oUmW1yo/edit?usp=sharing"",""พิจิตร!J152"")"),1)</f>
        <v>1</v>
      </c>
      <c r="K232" s="165"/>
      <c r="L232" s="183" t="s">
        <v>39</v>
      </c>
      <c r="M232" s="183"/>
      <c r="N232" s="183" t="s">
        <v>39</v>
      </c>
      <c r="O232" s="183"/>
      <c r="P232" s="183"/>
    </row>
    <row r="233" spans="1:16" ht="21.75" customHeight="1">
      <c r="A233" s="177"/>
      <c r="B233" s="178"/>
      <c r="C233" s="178"/>
      <c r="D233" s="195"/>
      <c r="E233" s="196" t="s">
        <v>46</v>
      </c>
      <c r="F233" s="197"/>
      <c r="G233" s="198"/>
      <c r="H233" s="188"/>
      <c r="I233" s="189"/>
      <c r="J233" s="190">
        <f ca="1">IFERROR(__xludf.DUMMYFUNCTION("IMPORTRANGE(""https://docs.google.com/spreadsheets/d/11923uPwbBZFjjGgGUA6NLw09EwE0CqkOc4q9oUmW1yo/edit?usp=sharing"",""พิจิตร!J153"")"),0)</f>
        <v>0</v>
      </c>
      <c r="K233" s="165"/>
      <c r="L233" s="183"/>
      <c r="M233" s="183"/>
      <c r="N233" s="183"/>
      <c r="O233" s="183"/>
      <c r="P233" s="183"/>
    </row>
    <row r="234" spans="1:16" ht="21.75" customHeight="1">
      <c r="A234" s="177"/>
      <c r="B234" s="178"/>
      <c r="C234" s="178"/>
      <c r="D234" s="195"/>
      <c r="E234" s="196" t="s">
        <v>47</v>
      </c>
      <c r="F234" s="197"/>
      <c r="G234" s="198"/>
      <c r="H234" s="188"/>
      <c r="I234" s="189"/>
      <c r="J234" s="199">
        <f ca="1">IFERROR(__xludf.DUMMYFUNCTION("IMPORTRANGE(""https://docs.google.com/spreadsheets/d/11923uPwbBZFjjGgGUA6NLw09EwE0CqkOc4q9oUmW1yo/edit?usp=sharing"",""พิจิตร!J154"")"),1)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>
      <c r="A235" s="177"/>
      <c r="B235" s="178"/>
      <c r="C235" s="178"/>
      <c r="D235" s="195"/>
      <c r="E235" s="200"/>
      <c r="F235" s="197"/>
      <c r="G235" s="294" t="s">
        <v>69</v>
      </c>
      <c r="H235" s="188" t="s">
        <v>37</v>
      </c>
      <c r="I235" s="189">
        <f ca="1">IFERROR(__xludf.DUMMYFUNCTION("IMPORTRANGE(""https://docs.google.com/spreadsheets/d/11923uPwbBZFjjGgGUA6NLw09EwE0CqkOc4q9oUmW1yo/edit?usp=sharing"",""พิจิตร!I155"")"),15)</f>
        <v>15</v>
      </c>
      <c r="J235" s="190">
        <f ca="1">IFERROR(__xludf.DUMMYFUNCTION("IMPORTRANGE(""https://docs.google.com/spreadsheets/d/11923uPwbBZFjjGgGUA6NLw09EwE0CqkOc4q9oUmW1yo/edit?usp=sharing"",""พิจิตร!J155"")"),15)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>
      <c r="A236" s="177"/>
      <c r="B236" s="178"/>
      <c r="C236" s="178"/>
      <c r="D236" s="195"/>
      <c r="E236" s="196" t="s">
        <v>53</v>
      </c>
      <c r="F236" s="197"/>
      <c r="G236" s="198"/>
      <c r="H236" s="188"/>
      <c r="I236" s="189"/>
      <c r="J236" s="199">
        <f ca="1">IFERROR(__xludf.DUMMYFUNCTION("IMPORTRANGE(""https://docs.google.com/spreadsheets/d/11923uPwbBZFjjGgGUA6NLw09EwE0CqkOc4q9oUmW1yo/edit?usp=sharing"",""พิจิตร!J156"")"),0)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>
      <c r="A237" s="177"/>
      <c r="B237" s="178"/>
      <c r="C237" s="178"/>
      <c r="D237" s="207">
        <v>3</v>
      </c>
      <c r="E237" s="208" t="s">
        <v>54</v>
      </c>
      <c r="F237" s="209"/>
      <c r="G237" s="210"/>
      <c r="H237" s="188"/>
      <c r="I237" s="189"/>
      <c r="J237" s="211">
        <f ca="1">IFERROR(__xludf.DUMMYFUNCTION("IMPORTRANGE(""https://docs.google.com/spreadsheets/d/11923uPwbBZFjjGgGUA6NLw09EwE0CqkOc4q9oUmW1yo/edit?usp=sharing"",""พิจิตร!J157"")"),0)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>
      <c r="A238" s="177"/>
      <c r="B238" s="178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IFERROR(__xludf.DUMMYFUNCTION("IMPORTRANGE(""https://docs.google.com/spreadsheets/d/11923uPwbBZFjjGgGUA6NLw09EwE0CqkOc4q9oUmW1yo/edit?usp=sharing"",""พิจิตร!I158"")"),0)</f>
        <v>0</v>
      </c>
      <c r="J238" s="268">
        <f ca="1">IFERROR(__xludf.DUMMYFUNCTION("IMPORTRANGE(""https://docs.google.com/spreadsheets/d/11923uPwbBZFjjGgGUA6NLw09EwE0CqkOc4q9oUmW1yo/edit?usp=sharing"",""พิจิตร!J158"")"),0)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>
      <c r="A239" s="177"/>
      <c r="B239" s="178"/>
      <c r="C239" s="160" t="s">
        <v>16</v>
      </c>
      <c r="D239" s="179" t="s">
        <v>43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>
      <c r="A240" s="177"/>
      <c r="B240" s="178"/>
      <c r="C240" s="178"/>
      <c r="D240" s="184">
        <v>1</v>
      </c>
      <c r="E240" s="185" t="s">
        <v>44</v>
      </c>
      <c r="F240" s="186"/>
      <c r="G240" s="187"/>
      <c r="H240" s="188"/>
      <c r="I240" s="189"/>
      <c r="J240" s="189" t="str">
        <f ca="1">IFERROR(__xludf.DUMMYFUNCTION("IMPORTRANGE(""https://docs.google.com/spreadsheets/d/11923uPwbBZFjjGgGUA6NLw09EwE0CqkOc4q9oUmW1yo/edit?usp=sharing"",""พิจิตร!J159"")"),"")</f>
        <v/>
      </c>
      <c r="K240" s="165"/>
      <c r="L240" s="183"/>
      <c r="M240" s="183"/>
      <c r="N240" s="183"/>
      <c r="O240" s="183"/>
      <c r="P240" s="183"/>
    </row>
    <row r="241" spans="1:16" ht="21.75" customHeight="1">
      <c r="A241" s="177"/>
      <c r="B241" s="178"/>
      <c r="C241" s="178"/>
      <c r="D241" s="191">
        <v>2</v>
      </c>
      <c r="E241" s="192" t="s">
        <v>45</v>
      </c>
      <c r="F241" s="193"/>
      <c r="G241" s="194"/>
      <c r="H241" s="188"/>
      <c r="I241" s="189"/>
      <c r="J241" s="189">
        <f ca="1">IFERROR(__xludf.DUMMYFUNCTION("IMPORTRANGE(""https://docs.google.com/spreadsheets/d/11923uPwbBZFjjGgGUA6NLw09EwE0CqkOc4q9oUmW1yo/edit?usp=sharing"",""พิจิตร!J161"")"),0)</f>
        <v>0</v>
      </c>
      <c r="K241" s="165"/>
      <c r="L241" s="183" t="s">
        <v>39</v>
      </c>
      <c r="M241" s="183"/>
      <c r="N241" s="183" t="s">
        <v>39</v>
      </c>
      <c r="O241" s="183"/>
      <c r="P241" s="183"/>
    </row>
    <row r="242" spans="1:16" ht="21.75" customHeight="1">
      <c r="A242" s="177"/>
      <c r="B242" s="178"/>
      <c r="C242" s="178"/>
      <c r="D242" s="195"/>
      <c r="E242" s="196" t="s">
        <v>46</v>
      </c>
      <c r="F242" s="197"/>
      <c r="G242" s="198"/>
      <c r="H242" s="188"/>
      <c r="I242" s="189"/>
      <c r="J242" s="189">
        <f ca="1">IFERROR(__xludf.DUMMYFUNCTION("IMPORTRANGE(""https://docs.google.com/spreadsheets/d/11923uPwbBZFjjGgGUA6NLw09EwE0CqkOc4q9oUmW1yo/edit?usp=sharing"",""พิจิตร!J162"")"),0)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>
      <c r="A243" s="177"/>
      <c r="B243" s="178"/>
      <c r="C243" s="178"/>
      <c r="D243" s="195"/>
      <c r="E243" s="196" t="s">
        <v>47</v>
      </c>
      <c r="F243" s="197"/>
      <c r="G243" s="198"/>
      <c r="H243" s="188"/>
      <c r="I243" s="189"/>
      <c r="J243" s="189">
        <f ca="1">IFERROR(__xludf.DUMMYFUNCTION("IMPORTRANGE(""https://docs.google.com/spreadsheets/d/11923uPwbBZFjjGgGUA6NLw09EwE0CqkOc4q9oUmW1yo/edit?usp=sharing"",""พิจิตร!J163"")"),0)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IFERROR(__xludf.DUMMYFUNCTION("IMPORTRANGE(""https://docs.google.com/spreadsheets/d/11923uPwbBZFjjGgGUA6NLw09EwE0CqkOc4q9oUmW1yo/edit?usp=sharing"",""พิจิตร!I164"")"),0)</f>
        <v>0</v>
      </c>
      <c r="J244" s="189">
        <f ca="1">IFERROR(__xludf.DUMMYFUNCTION("IMPORTRANGE(""https://docs.google.com/spreadsheets/d/11923uPwbBZFjjGgGUA6NLw09EwE0CqkOc4q9oUmW1yo/edit?usp=sharing"",""พิจิตร!J164"")"),0)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>
      <c r="A245" s="177"/>
      <c r="B245" s="178"/>
      <c r="C245" s="178"/>
      <c r="D245" s="195"/>
      <c r="E245" s="196" t="s">
        <v>53</v>
      </c>
      <c r="F245" s="197"/>
      <c r="G245" s="198"/>
      <c r="H245" s="188"/>
      <c r="I245" s="189"/>
      <c r="J245" s="189">
        <f ca="1">IFERROR(__xludf.DUMMYFUNCTION("IMPORTRANGE(""https://docs.google.com/spreadsheets/d/11923uPwbBZFjjGgGUA6NLw09EwE0CqkOc4q9oUmW1yo/edit?usp=sharing"",""พิจิตร!J165"")"),0)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IFERROR(__xludf.DUMMYFUNCTION("IMPORTRANGE(""https://docs.google.com/spreadsheets/d/11923uPwbBZFjjGgGUA6NLw09EwE0CqkOc4q9oUmW1yo/edit?usp=sharing"",""พิจิตร!J166"")"),0)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IFERROR(__xludf.DUMMYFUNCTION("IMPORTRANGE(""https://docs.google.com/spreadsheets/d/11923uPwbBZFjjGgGUA6NLw09EwE0CqkOc4q9oUmW1yo/edit?usp=sharing"",""พิจิตร!I169"")"),0)</f>
        <v>0</v>
      </c>
      <c r="J249" s="317">
        <f ca="1">IFERROR(__xludf.DUMMYFUNCTION("IMPORTRANGE(""https://docs.google.com/spreadsheets/d/11923uPwbBZFjjGgGUA6NLw09EwE0CqkOc4q9oUmW1yo/edit?usp=sharing"",""พิจิตร!J169"")"),0)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>
      <c r="A250" s="148"/>
      <c r="B250" s="149"/>
      <c r="C250" s="150" t="s">
        <v>16</v>
      </c>
      <c r="D250" s="566" t="s">
        <v>17</v>
      </c>
      <c r="E250" s="567"/>
      <c r="F250" s="567"/>
      <c r="G250" s="567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90">
        <f t="shared" ref="L251:N251" si="80">L253+L257</f>
        <v>0</v>
      </c>
      <c r="M251" s="90">
        <f t="shared" si="80"/>
        <v>0</v>
      </c>
      <c r="N251" s="90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90">
        <f t="shared" ref="L252:N252" ca="1" si="81">L254+L258</f>
        <v>0</v>
      </c>
      <c r="M252" s="90">
        <f t="shared" ca="1" si="81"/>
        <v>0</v>
      </c>
      <c r="N252" s="90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59"/>
      <c r="B253" s="160"/>
      <c r="C253" s="160" t="s">
        <v>16</v>
      </c>
      <c r="D253" s="570" t="s">
        <v>20</v>
      </c>
      <c r="E253" s="565"/>
      <c r="F253" s="565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59"/>
      <c r="B254" s="160"/>
      <c r="C254" s="160"/>
      <c r="D254" s="168"/>
      <c r="E254" s="161"/>
      <c r="F254" s="161" t="s">
        <v>39</v>
      </c>
      <c r="G254" s="162" t="s">
        <v>40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IFERROR(__xludf.DUMMYFUNCTION("IMPORTRANGE(""https://docs.google.com/spreadsheets/d/1Yj_ptqi66GCucihVvJfMjLAmec39IyEx_6qawtMGysU/edit?usp=sharing"",""สบก!CB27"")"),0)</f>
        <v>0</v>
      </c>
      <c r="N254" s="170">
        <f ca="1">IFERROR(__xludf.DUMMYFUNCTION("IMPORTRANGE(""https://docs.google.com/spreadsheets/d/1Yj_ptqi66GCucihVvJfMjLAmec39IyEx_6qawtMGysU/edit?usp=sharing"",""สบก!CC27"")"),0)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>
      <c r="A255" s="159"/>
      <c r="B255" s="160"/>
      <c r="C255" s="160"/>
      <c r="D255" s="168"/>
      <c r="E255" s="161"/>
      <c r="F255" s="161"/>
      <c r="G255" s="171" t="s">
        <v>41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IFERROR(__xludf.DUMMYFUNCTION("IMPORTRANGE(""https://docs.google.com/spreadsheets/d/1Yj_ptqi66GCucihVvJfMjLAmec39IyEx_6qawtMGysU/edit?usp=sharing"",""สบก!BX27"")"),0)</f>
        <v>0</v>
      </c>
      <c r="M255" s="169"/>
      <c r="N255" s="169"/>
      <c r="O255" s="170"/>
      <c r="P255" s="170"/>
    </row>
    <row r="256" spans="1:16" ht="21.75" customHeight="1">
      <c r="A256" s="159"/>
      <c r="B256" s="160"/>
      <c r="C256" s="160"/>
      <c r="D256" s="168"/>
      <c r="E256" s="161"/>
      <c r="F256" s="161"/>
      <c r="G256" s="171" t="s">
        <v>42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IFERROR(__xludf.DUMMYFUNCTION("IMPORTRANGE(""https://docs.google.com/spreadsheets/d/1Yj_ptqi66GCucihVvJfMjLAmec39IyEx_6qawtMGysU/edit?usp=sharing"",""สบก!BY27"")"),0)</f>
        <v>0</v>
      </c>
      <c r="M256" s="169"/>
      <c r="N256" s="169"/>
      <c r="O256" s="170"/>
      <c r="P256" s="170"/>
    </row>
    <row r="257" spans="1:16" ht="21.75" customHeight="1">
      <c r="A257" s="172"/>
      <c r="B257" s="83"/>
      <c r="C257" s="84" t="s">
        <v>16</v>
      </c>
      <c r="D257" s="564" t="s">
        <v>23</v>
      </c>
      <c r="E257" s="565"/>
      <c r="F257" s="91"/>
      <c r="G257" s="85" t="s">
        <v>18</v>
      </c>
      <c r="H257" s="173" t="s">
        <v>12</v>
      </c>
      <c r="I257" s="164"/>
      <c r="J257" s="164"/>
      <c r="K257" s="165"/>
      <c r="L257" s="44">
        <v>0</v>
      </c>
      <c r="M257" s="44"/>
      <c r="N257" s="44"/>
      <c r="O257" s="44"/>
      <c r="P257" s="44"/>
    </row>
    <row r="258" spans="1:16" ht="21.75" customHeight="1">
      <c r="A258" s="174"/>
      <c r="B258" s="94"/>
      <c r="C258" s="94"/>
      <c r="D258" s="175"/>
      <c r="E258" s="95"/>
      <c r="F258" s="95"/>
      <c r="G258" s="96" t="s">
        <v>19</v>
      </c>
      <c r="H258" s="176" t="s">
        <v>12</v>
      </c>
      <c r="I258" s="164"/>
      <c r="J258" s="164"/>
      <c r="K258" s="165"/>
      <c r="L258" s="52">
        <f ca="1">IFERROR(__xludf.DUMMYFUNCTION("IMPORTRANGE(""https://docs.google.com/spreadsheets/d/1Yj_ptqi66GCucihVvJfMjLAmec39IyEx_6qawtMGysU/edit?usp=sharing"",""สบก!BZ27"")"),0)</f>
        <v>0</v>
      </c>
      <c r="M258" s="52"/>
      <c r="N258" s="52">
        <f ca="1">IFERROR(__xludf.DUMMYFUNCTION("IMPORTRANGE(""https://docs.google.com/spreadsheets/d/1Yj_ptqi66GCucihVvJfMjLAmec39IyEx_6qawtMGysU/edit?usp=sharing"",""สบก!CD27"")"),0)</f>
        <v>0</v>
      </c>
      <c r="O258" s="52">
        <f ca="1">IF(L258&gt;0,N258*100/L258,0)</f>
        <v>0</v>
      </c>
      <c r="P258" s="52"/>
    </row>
    <row r="259" spans="1:16" ht="21.75" customHeight="1">
      <c r="A259" s="177"/>
      <c r="B259" s="178"/>
      <c r="C259" s="160" t="s">
        <v>16</v>
      </c>
      <c r="D259" s="179" t="s">
        <v>43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>
      <c r="A260" s="177"/>
      <c r="B260" s="178"/>
      <c r="C260" s="178"/>
      <c r="D260" s="184">
        <v>1</v>
      </c>
      <c r="E260" s="185" t="s">
        <v>44</v>
      </c>
      <c r="F260" s="186"/>
      <c r="G260" s="187"/>
      <c r="H260" s="188"/>
      <c r="I260" s="189"/>
      <c r="J260" s="190">
        <f ca="1">IFERROR(__xludf.DUMMYFUNCTION("IMPORTRANGE(""https://docs.google.com/spreadsheets/d/11923uPwbBZFjjGgGUA6NLw09EwE0CqkOc4q9oUmW1yo/edit?usp=sharing"",""พิจิตร!J175"")"),0)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>
      <c r="A261" s="177"/>
      <c r="B261" s="178"/>
      <c r="C261" s="178"/>
      <c r="D261" s="191">
        <v>2</v>
      </c>
      <c r="E261" s="192" t="s">
        <v>45</v>
      </c>
      <c r="F261" s="193"/>
      <c r="G261" s="194"/>
      <c r="H261" s="188"/>
      <c r="I261" s="189"/>
      <c r="J261" s="199">
        <f ca="1">IFERROR(__xludf.DUMMYFUNCTION("IMPORTRANGE(""https://docs.google.com/spreadsheets/d/11923uPwbBZFjjGgGUA6NLw09EwE0CqkOc4q9oUmW1yo/edit?usp=sharing"",""พิจิตร!J176"")"),0)</f>
        <v>0</v>
      </c>
      <c r="K261" s="165"/>
      <c r="L261" s="183" t="s">
        <v>39</v>
      </c>
      <c r="M261" s="183"/>
      <c r="N261" s="183" t="s">
        <v>39</v>
      </c>
      <c r="O261" s="183"/>
      <c r="P261" s="183"/>
    </row>
    <row r="262" spans="1:16" ht="21.75" customHeight="1">
      <c r="A262" s="177"/>
      <c r="B262" s="178"/>
      <c r="C262" s="178"/>
      <c r="D262" s="195"/>
      <c r="E262" s="196" t="s">
        <v>46</v>
      </c>
      <c r="F262" s="197"/>
      <c r="G262" s="198"/>
      <c r="H262" s="188"/>
      <c r="I262" s="189"/>
      <c r="J262" s="199">
        <f ca="1">IFERROR(__xludf.DUMMYFUNCTION("IMPORTRANGE(""https://docs.google.com/spreadsheets/d/11923uPwbBZFjjGgGUA6NLw09EwE0CqkOc4q9oUmW1yo/edit?usp=sharing"",""พิจิตร!J177"")"),0)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>
      <c r="A263" s="177"/>
      <c r="B263" s="178"/>
      <c r="C263" s="178"/>
      <c r="D263" s="195"/>
      <c r="E263" s="196" t="s">
        <v>47</v>
      </c>
      <c r="F263" s="197"/>
      <c r="G263" s="198"/>
      <c r="H263" s="188"/>
      <c r="I263" s="189"/>
      <c r="J263" s="199">
        <f ca="1">IFERROR(__xludf.DUMMYFUNCTION("IMPORTRANGE(""https://docs.google.com/spreadsheets/d/11923uPwbBZFjjGgGUA6NLw09EwE0CqkOc4q9oUmW1yo/edit?usp=sharing"",""พิจิตร!J178"")"),0)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>
      <c r="A264" s="177"/>
      <c r="B264" s="178"/>
      <c r="C264" s="178"/>
      <c r="D264" s="195"/>
      <c r="E264" s="200"/>
      <c r="F264" s="196" t="s">
        <v>105</v>
      </c>
      <c r="G264" s="198"/>
      <c r="H264" s="182" t="s">
        <v>58</v>
      </c>
      <c r="I264" s="189">
        <f ca="1">IFERROR(__xludf.DUMMYFUNCTION("IMPORTRANGE(""https://docs.google.com/spreadsheets/d/11923uPwbBZFjjGgGUA6NLw09EwE0CqkOc4q9oUmW1yo/edit?usp=sharing"",""พิจิตร!I179"")"),0)</f>
        <v>0</v>
      </c>
      <c r="J264" s="190">
        <f ca="1">IFERROR(__xludf.DUMMYFUNCTION("IMPORTRANGE(""https://docs.google.com/spreadsheets/d/11923uPwbBZFjjGgGUA6NLw09EwE0CqkOc4q9oUmW1yo/edit?usp=sharing"",""พิจิตร!J179"")"),0)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IFERROR(__xludf.DUMMYFUNCTION("IMPORTRANGE(""https://docs.google.com/spreadsheets/d/11923uPwbBZFjjGgGUA6NLw09EwE0CqkOc4q9oUmW1yo/edit?usp=sharing"",""พิจิตร!I180"")"),0)</f>
        <v>0</v>
      </c>
      <c r="J265" s="190">
        <f ca="1">IFERROR(__xludf.DUMMYFUNCTION("IMPORTRANGE(""https://docs.google.com/spreadsheets/d/11923uPwbBZFjjGgGUA6NLw09EwE0CqkOc4q9oUmW1yo/edit?usp=sharing"",""พิจิตร!J180"")"),0)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IFERROR(__xludf.DUMMYFUNCTION("IMPORTRANGE(""https://docs.google.com/spreadsheets/d/11923uPwbBZFjjGgGUA6NLw09EwE0CqkOc4q9oUmW1yo/edit?usp=sharing"",""พิจิตร!I181"")"),0)</f>
        <v>0</v>
      </c>
      <c r="J266" s="190">
        <f ca="1">IFERROR(__xludf.DUMMYFUNCTION("IMPORTRANGE(""https://docs.google.com/spreadsheets/d/11923uPwbBZFjjGgGUA6NLw09EwE0CqkOc4q9oUmW1yo/edit?usp=sharing"",""พิจิตร!J181"")"),0)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IFERROR(__xludf.DUMMYFUNCTION("IMPORTRANGE(""https://docs.google.com/spreadsheets/d/11923uPwbBZFjjGgGUA6NLw09EwE0CqkOc4q9oUmW1yo/edit?usp=sharing"",""พิจิตร!I182"")"),0)</f>
        <v>0</v>
      </c>
      <c r="J267" s="190">
        <f ca="1">IFERROR(__xludf.DUMMYFUNCTION("IMPORTRANGE(""https://docs.google.com/spreadsheets/d/11923uPwbBZFjjGgGUA6NLw09EwE0CqkOc4q9oUmW1yo/edit?usp=sharing"",""พิจิตร!J182"")"),0)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>
      <c r="A268" s="177"/>
      <c r="B268" s="178"/>
      <c r="C268" s="178"/>
      <c r="D268" s="195"/>
      <c r="E268" s="196" t="s">
        <v>53</v>
      </c>
      <c r="F268" s="197"/>
      <c r="G268" s="198"/>
      <c r="H268" s="188"/>
      <c r="I268" s="189"/>
      <c r="J268" s="199">
        <f ca="1">IFERROR(__xludf.DUMMYFUNCTION("IMPORTRANGE(""https://docs.google.com/spreadsheets/d/11923uPwbBZFjjGgGUA6NLw09EwE0CqkOc4q9oUmW1yo/edit?usp=sharing"",""พิจิตร!J183"")"),0)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IFERROR(__xludf.DUMMYFUNCTION("IMPORTRANGE(""https://docs.google.com/spreadsheets/d/11923uPwbBZFjjGgGUA6NLw09EwE0CqkOc4q9oUmW1yo/edit?usp=sharing"",""พิจิตร!J184"")"),0)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IFERROR(__xludf.DUMMYFUNCTION("IMPORTRANGE(""https://docs.google.com/spreadsheets/d/11923uPwbBZFjjGgGUA6NLw09EwE0CqkOc4q9oUmW1yo/edit?usp=sharing"",""พิจิตร!I185"")"),0)</f>
        <v>0</v>
      </c>
      <c r="J270" s="317">
        <f ca="1">IFERROR(__xludf.DUMMYFUNCTION("IMPORTRANGE(""https://docs.google.com/spreadsheets/d/11923uPwbBZFjjGgGUA6NLw09EwE0CqkOc4q9oUmW1yo/edit?usp=sharing"",""พิจิตร!J185"")"),0)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>
      <c r="A271" s="148"/>
      <c r="B271" s="149"/>
      <c r="C271" s="150" t="s">
        <v>16</v>
      </c>
      <c r="D271" s="566" t="s">
        <v>17</v>
      </c>
      <c r="E271" s="567"/>
      <c r="F271" s="567"/>
      <c r="G271" s="567"/>
      <c r="H271" s="151" t="s">
        <v>12</v>
      </c>
      <c r="I271" s="164"/>
      <c r="J271" s="164"/>
      <c r="K271" s="165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90">
        <f t="shared" ref="L272:N272" si="86">L274+L278</f>
        <v>0</v>
      </c>
      <c r="M272" s="90">
        <f t="shared" si="86"/>
        <v>0</v>
      </c>
      <c r="N272" s="90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90">
        <f t="shared" ref="L273:N273" ca="1" si="87">L275+L279</f>
        <v>0</v>
      </c>
      <c r="M273" s="90">
        <f t="shared" ca="1" si="87"/>
        <v>0</v>
      </c>
      <c r="N273" s="90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>
      <c r="A274" s="159"/>
      <c r="B274" s="160"/>
      <c r="C274" s="160" t="s">
        <v>16</v>
      </c>
      <c r="D274" s="570" t="s">
        <v>20</v>
      </c>
      <c r="E274" s="565"/>
      <c r="F274" s="565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59"/>
      <c r="B275" s="160"/>
      <c r="C275" s="160"/>
      <c r="D275" s="168"/>
      <c r="E275" s="161"/>
      <c r="F275" s="161" t="s">
        <v>39</v>
      </c>
      <c r="G275" s="162" t="s">
        <v>40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IFERROR(__xludf.DUMMYFUNCTION("IMPORTRANGE(""https://docs.google.com/spreadsheets/d/1Yj_ptqi66GCucihVvJfMjLAmec39IyEx_6qawtMGysU/edit?usp=sharing"",""สบก!CK27"")"),0)</f>
        <v>0</v>
      </c>
      <c r="N275" s="170">
        <f ca="1">IFERROR(__xludf.DUMMYFUNCTION("IMPORTRANGE(""https://docs.google.com/spreadsheets/d/1Yj_ptqi66GCucihVvJfMjLAmec39IyEx_6qawtMGysU/edit?usp=sharing"",""สบก!CL27"")"),0)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>
      <c r="A276" s="159"/>
      <c r="B276" s="160"/>
      <c r="C276" s="160"/>
      <c r="D276" s="168"/>
      <c r="E276" s="161"/>
      <c r="F276" s="161"/>
      <c r="G276" s="171" t="s">
        <v>41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IFERROR(__xludf.DUMMYFUNCTION("IMPORTRANGE(""https://docs.google.com/spreadsheets/d/1Yj_ptqi66GCucihVvJfMjLAmec39IyEx_6qawtMGysU/edit?usp=sharing"",""สบก!CG27"")"),0)</f>
        <v>0</v>
      </c>
      <c r="M276" s="169"/>
      <c r="N276" s="169"/>
      <c r="O276" s="170"/>
      <c r="P276" s="170"/>
    </row>
    <row r="277" spans="1:16" ht="21.75" customHeight="1">
      <c r="A277" s="159"/>
      <c r="B277" s="160"/>
      <c r="C277" s="160"/>
      <c r="D277" s="168"/>
      <c r="E277" s="161"/>
      <c r="F277" s="161"/>
      <c r="G277" s="171" t="s">
        <v>42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IFERROR(__xludf.DUMMYFUNCTION("IMPORTRANGE(""https://docs.google.com/spreadsheets/d/1Yj_ptqi66GCucihVvJfMjLAmec39IyEx_6qawtMGysU/edit?usp=sharing"",""สบก!CH27"")"),0)</f>
        <v>0</v>
      </c>
      <c r="M277" s="169"/>
      <c r="N277" s="169"/>
      <c r="O277" s="170"/>
      <c r="P277" s="170"/>
    </row>
    <row r="278" spans="1:16" ht="21.75" customHeight="1">
      <c r="A278" s="172"/>
      <c r="B278" s="83"/>
      <c r="C278" s="84" t="s">
        <v>16</v>
      </c>
      <c r="D278" s="564" t="s">
        <v>23</v>
      </c>
      <c r="E278" s="565"/>
      <c r="F278" s="91"/>
      <c r="G278" s="85" t="s">
        <v>18</v>
      </c>
      <c r="H278" s="173" t="s">
        <v>12</v>
      </c>
      <c r="I278" s="164"/>
      <c r="J278" s="164"/>
      <c r="K278" s="165"/>
      <c r="L278" s="44">
        <v>0</v>
      </c>
      <c r="M278" s="44"/>
      <c r="N278" s="44"/>
      <c r="O278" s="44"/>
      <c r="P278" s="44"/>
    </row>
    <row r="279" spans="1:16" ht="21.75" customHeight="1">
      <c r="A279" s="174"/>
      <c r="B279" s="94"/>
      <c r="C279" s="94"/>
      <c r="D279" s="175"/>
      <c r="E279" s="95"/>
      <c r="F279" s="95"/>
      <c r="G279" s="96" t="s">
        <v>19</v>
      </c>
      <c r="H279" s="176" t="s">
        <v>12</v>
      </c>
      <c r="I279" s="164"/>
      <c r="J279" s="164"/>
      <c r="K279" s="165"/>
      <c r="L279" s="52">
        <f ca="1">IFERROR(__xludf.DUMMYFUNCTION("IMPORTRANGE(""https://docs.google.com/spreadsheets/d/1Yj_ptqi66GCucihVvJfMjLAmec39IyEx_6qawtMGysU/edit?usp=sharing"",""สบก!CI27"")"),0)</f>
        <v>0</v>
      </c>
      <c r="M279" s="52"/>
      <c r="N279" s="52">
        <f ca="1">IFERROR(__xludf.DUMMYFUNCTION("IMPORTRANGE(""https://docs.google.com/spreadsheets/d/1Yj_ptqi66GCucihVvJfMjLAmec39IyEx_6qawtMGysU/edit?usp=sharing"",""สบก!CM27"")"),0)</f>
        <v>0</v>
      </c>
      <c r="O279" s="52">
        <f ca="1">IF(L279&gt;0,N279*100/L279,0)</f>
        <v>0</v>
      </c>
      <c r="P279" s="52"/>
    </row>
    <row r="280" spans="1:16" ht="21.75" customHeight="1">
      <c r="A280" s="177"/>
      <c r="B280" s="178"/>
      <c r="C280" s="160" t="s">
        <v>16</v>
      </c>
      <c r="D280" s="179" t="s">
        <v>43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>
      <c r="A281" s="177"/>
      <c r="B281" s="178"/>
      <c r="C281" s="178"/>
      <c r="D281" s="184">
        <v>1</v>
      </c>
      <c r="E281" s="185" t="s">
        <v>44</v>
      </c>
      <c r="F281" s="186"/>
      <c r="G281" s="187"/>
      <c r="H281" s="188"/>
      <c r="I281" s="189"/>
      <c r="J281" s="190">
        <f ca="1">IFERROR(__xludf.DUMMYFUNCTION("IMPORTRANGE(""https://docs.google.com/spreadsheets/d/11923uPwbBZFjjGgGUA6NLw09EwE0CqkOc4q9oUmW1yo/edit?usp=sharing"",""พิจิตร!J191"")"),0)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>
      <c r="A282" s="177"/>
      <c r="B282" s="178"/>
      <c r="C282" s="178"/>
      <c r="D282" s="191">
        <v>2</v>
      </c>
      <c r="E282" s="192" t="s">
        <v>45</v>
      </c>
      <c r="F282" s="193"/>
      <c r="G282" s="194"/>
      <c r="H282" s="188"/>
      <c r="I282" s="189"/>
      <c r="J282" s="199">
        <f ca="1">IFERROR(__xludf.DUMMYFUNCTION("IMPORTRANGE(""https://docs.google.com/spreadsheets/d/11923uPwbBZFjjGgGUA6NLw09EwE0CqkOc4q9oUmW1yo/edit?usp=sharing"",""พิจิตร!J192"")"),0)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>
      <c r="A283" s="177"/>
      <c r="B283" s="178"/>
      <c r="C283" s="178"/>
      <c r="D283" s="195"/>
      <c r="E283" s="196" t="s">
        <v>46</v>
      </c>
      <c r="F283" s="197"/>
      <c r="G283" s="198"/>
      <c r="H283" s="188"/>
      <c r="I283" s="189"/>
      <c r="J283" s="199">
        <f ca="1">IFERROR(__xludf.DUMMYFUNCTION("IMPORTRANGE(""https://docs.google.com/spreadsheets/d/11923uPwbBZFjjGgGUA6NLw09EwE0CqkOc4q9oUmW1yo/edit?usp=sharing"",""พิจิตร!J193"")"),0)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>
      <c r="A284" s="177"/>
      <c r="B284" s="178"/>
      <c r="C284" s="178"/>
      <c r="D284" s="195"/>
      <c r="E284" s="196" t="s">
        <v>47</v>
      </c>
      <c r="F284" s="197"/>
      <c r="G284" s="198"/>
      <c r="H284" s="188"/>
      <c r="I284" s="189"/>
      <c r="J284" s="199">
        <f ca="1">IFERROR(__xludf.DUMMYFUNCTION("IMPORTRANGE(""https://docs.google.com/spreadsheets/d/11923uPwbBZFjjGgGUA6NLw09EwE0CqkOc4q9oUmW1yo/edit?usp=sharing"",""พิจิตร!J194"")"),0)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IFERROR(__xludf.DUMMYFUNCTION("IMPORTRANGE(""https://docs.google.com/spreadsheets/d/11923uPwbBZFjjGgGUA6NLw09EwE0CqkOc4q9oUmW1yo/edit?usp=sharing"",""พิจิตร!I195"")"),0)</f>
        <v>0</v>
      </c>
      <c r="J285" s="190">
        <f ca="1">IFERROR(__xludf.DUMMYFUNCTION("IMPORTRANGE(""https://docs.google.com/spreadsheets/d/11923uPwbBZFjjGgGUA6NLw09EwE0CqkOc4q9oUmW1yo/edit?usp=sharing"",""พิจิตร!J195"")"),0)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>
      <c r="A286" s="177"/>
      <c r="B286" s="178"/>
      <c r="C286" s="178"/>
      <c r="D286" s="195"/>
      <c r="E286" s="196" t="s">
        <v>53</v>
      </c>
      <c r="F286" s="197"/>
      <c r="G286" s="198"/>
      <c r="H286" s="188"/>
      <c r="I286" s="189"/>
      <c r="J286" s="199">
        <f ca="1">IFERROR(__xludf.DUMMYFUNCTION("IMPORTRANGE(""https://docs.google.com/spreadsheets/d/11923uPwbBZFjjGgGUA6NLw09EwE0CqkOc4q9oUmW1yo/edit?usp=sharing"",""พิจิตร!J196"")"),0)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>
      <c r="A287" s="177"/>
      <c r="B287" s="178"/>
      <c r="C287" s="178"/>
      <c r="D287" s="207">
        <v>3</v>
      </c>
      <c r="E287" s="208" t="s">
        <v>54</v>
      </c>
      <c r="F287" s="209"/>
      <c r="G287" s="210"/>
      <c r="H287" s="188"/>
      <c r="I287" s="189"/>
      <c r="J287" s="211">
        <f ca="1">IFERROR(__xludf.DUMMYFUNCTION("IMPORTRANGE(""https://docs.google.com/spreadsheets/d/11923uPwbBZFjjGgGUA6NLw09EwE0CqkOc4q9oUmW1yo/edit?usp=sharing"",""พิจิตร!J197"")"),0)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IFERROR(__xludf.DUMMYFUNCTION("IMPORTRANGE(""https://docs.google.com/spreadsheets/d/11923uPwbBZFjjGgGUA6NLw09EwE0CqkOc4q9oUmW1yo/edit?usp=sharing"",""พิจิตร!I199"")"),0)</f>
        <v>0</v>
      </c>
      <c r="J289" s="317">
        <f ca="1">IFERROR(__xludf.DUMMYFUNCTION("IMPORTRANGE(""https://docs.google.com/spreadsheets/d/11923uPwbBZFjjGgGUA6NLw09EwE0CqkOc4q9oUmW1yo/edit?usp=sharing"",""พิจิตร!J199"")"),0)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>
      <c r="A290" s="148"/>
      <c r="B290" s="149"/>
      <c r="C290" s="150" t="s">
        <v>16</v>
      </c>
      <c r="D290" s="566" t="s">
        <v>17</v>
      </c>
      <c r="E290" s="567"/>
      <c r="F290" s="567"/>
      <c r="G290" s="567"/>
      <c r="H290" s="151" t="s">
        <v>12</v>
      </c>
      <c r="I290" s="189"/>
      <c r="J290" s="189"/>
      <c r="K290" s="225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89"/>
      <c r="J291" s="189"/>
      <c r="K291" s="225"/>
      <c r="L291" s="90">
        <f t="shared" ref="L291:N291" si="91">L293+L297</f>
        <v>0</v>
      </c>
      <c r="M291" s="90">
        <f t="shared" si="91"/>
        <v>0</v>
      </c>
      <c r="N291" s="90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89"/>
      <c r="J292" s="189"/>
      <c r="K292" s="225"/>
      <c r="L292" s="90">
        <f t="shared" ref="L292:N292" ca="1" si="92">L294+L298</f>
        <v>0</v>
      </c>
      <c r="M292" s="90">
        <f t="shared" ca="1" si="92"/>
        <v>0</v>
      </c>
      <c r="N292" s="90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59"/>
      <c r="B293" s="160"/>
      <c r="C293" s="160" t="s">
        <v>16</v>
      </c>
      <c r="D293" s="570" t="s">
        <v>20</v>
      </c>
      <c r="E293" s="565"/>
      <c r="F293" s="565"/>
      <c r="G293" s="162" t="s">
        <v>38</v>
      </c>
      <c r="H293" s="163" t="s">
        <v>12</v>
      </c>
      <c r="I293" s="189" t="s">
        <v>39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59"/>
      <c r="B294" s="160"/>
      <c r="C294" s="160"/>
      <c r="D294" s="168"/>
      <c r="E294" s="161"/>
      <c r="F294" s="161" t="s">
        <v>39</v>
      </c>
      <c r="G294" s="162" t="s">
        <v>40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IFERROR(__xludf.DUMMYFUNCTION("IMPORTRANGE(""https://docs.google.com/spreadsheets/d/1Yj_ptqi66GCucihVvJfMjLAmec39IyEx_6qawtMGysU/edit?usp=sharing"",""สบก!CT27"")"),0)</f>
        <v>0</v>
      </c>
      <c r="N294" s="170">
        <f ca="1">IFERROR(__xludf.DUMMYFUNCTION("IMPORTRANGE(""https://docs.google.com/spreadsheets/d/1Yj_ptqi66GCucihVvJfMjLAmec39IyEx_6qawtMGysU/edit?usp=sharing"",""สบก!CU27"")"),0)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>
      <c r="A295" s="159"/>
      <c r="B295" s="160"/>
      <c r="C295" s="160"/>
      <c r="D295" s="168"/>
      <c r="E295" s="161"/>
      <c r="F295" s="161"/>
      <c r="G295" s="171" t="s">
        <v>41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IFERROR(__xludf.DUMMYFUNCTION("IMPORTRANGE(""https://docs.google.com/spreadsheets/d/1Yj_ptqi66GCucihVvJfMjLAmec39IyEx_6qawtMGysU/edit?usp=sharing"",""สบก!CP27"")"),0)</f>
        <v>0</v>
      </c>
      <c r="M295" s="169"/>
      <c r="N295" s="169"/>
      <c r="O295" s="170"/>
      <c r="P295" s="170"/>
    </row>
    <row r="296" spans="1:16" ht="21.75" customHeight="1">
      <c r="A296" s="159"/>
      <c r="B296" s="160"/>
      <c r="C296" s="160"/>
      <c r="D296" s="168"/>
      <c r="E296" s="161"/>
      <c r="F296" s="161"/>
      <c r="G296" s="171" t="s">
        <v>42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IFERROR(__xludf.DUMMYFUNCTION("IMPORTRANGE(""https://docs.google.com/spreadsheets/d/1Yj_ptqi66GCucihVvJfMjLAmec39IyEx_6qawtMGysU/edit?usp=sharing"",""สบก!CQ27"")"),0)</f>
        <v>0</v>
      </c>
      <c r="M296" s="169"/>
      <c r="N296" s="169"/>
      <c r="O296" s="170"/>
      <c r="P296" s="170"/>
    </row>
    <row r="297" spans="1:16" ht="21.75" customHeight="1">
      <c r="A297" s="172"/>
      <c r="B297" s="83"/>
      <c r="C297" s="84" t="s">
        <v>16</v>
      </c>
      <c r="D297" s="564" t="s">
        <v>23</v>
      </c>
      <c r="E297" s="565"/>
      <c r="F297" s="91"/>
      <c r="G297" s="85" t="s">
        <v>18</v>
      </c>
      <c r="H297" s="173" t="s">
        <v>12</v>
      </c>
      <c r="I297" s="189"/>
      <c r="J297" s="189"/>
      <c r="K297" s="225"/>
      <c r="L297" s="44">
        <v>0</v>
      </c>
      <c r="M297" s="44"/>
      <c r="N297" s="44"/>
      <c r="O297" s="44"/>
      <c r="P297" s="44"/>
    </row>
    <row r="298" spans="1:16" ht="21.75" customHeight="1">
      <c r="A298" s="174"/>
      <c r="B298" s="94"/>
      <c r="C298" s="94"/>
      <c r="D298" s="175"/>
      <c r="E298" s="95"/>
      <c r="F298" s="95"/>
      <c r="G298" s="96" t="s">
        <v>19</v>
      </c>
      <c r="H298" s="176" t="s">
        <v>12</v>
      </c>
      <c r="I298" s="189"/>
      <c r="J298" s="189"/>
      <c r="K298" s="225"/>
      <c r="L298" s="52">
        <f ca="1">IFERROR(__xludf.DUMMYFUNCTION("IMPORTRANGE(""https://docs.google.com/spreadsheets/d/1Yj_ptqi66GCucihVvJfMjLAmec39IyEx_6qawtMGysU/edit?usp=sharing"",""สบก!CR27"")"),0)</f>
        <v>0</v>
      </c>
      <c r="M298" s="52"/>
      <c r="N298" s="52">
        <f ca="1">IFERROR(__xludf.DUMMYFUNCTION("IMPORTRANGE(""https://docs.google.com/spreadsheets/d/1Yj_ptqi66GCucihVvJfMjLAmec39IyEx_6qawtMGysU/edit?usp=sharing"",""สบก!CV27"")"),0)</f>
        <v>0</v>
      </c>
      <c r="O298" s="52">
        <f ca="1">IF(L298&gt;0,N298*100/L298,0)</f>
        <v>0</v>
      </c>
      <c r="P298" s="52"/>
    </row>
    <row r="299" spans="1:16" ht="21.75" customHeight="1">
      <c r="A299" s="177"/>
      <c r="B299" s="178"/>
      <c r="C299" s="160" t="s">
        <v>16</v>
      </c>
      <c r="D299" s="179" t="s">
        <v>43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>
      <c r="A300" s="177"/>
      <c r="B300" s="178"/>
      <c r="C300" s="178"/>
      <c r="D300" s="184">
        <v>1</v>
      </c>
      <c r="E300" s="185" t="s">
        <v>44</v>
      </c>
      <c r="F300" s="186"/>
      <c r="G300" s="187"/>
      <c r="H300" s="188"/>
      <c r="I300" s="189"/>
      <c r="J300" s="189">
        <f ca="1">IFERROR(__xludf.DUMMYFUNCTION("IMPORTRANGE(""https://docs.google.com/spreadsheets/d/11923uPwbBZFjjGgGUA6NLw09EwE0CqkOc4q9oUmW1yo/edit?usp=sharing"",""พิจิตร!J205"")"),0)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>
      <c r="A301" s="177"/>
      <c r="B301" s="178"/>
      <c r="C301" s="178"/>
      <c r="D301" s="191">
        <v>2</v>
      </c>
      <c r="E301" s="192" t="s">
        <v>45</v>
      </c>
      <c r="F301" s="193"/>
      <c r="G301" s="194"/>
      <c r="H301" s="188"/>
      <c r="I301" s="189"/>
      <c r="J301" s="189">
        <f ca="1">IFERROR(__xludf.DUMMYFUNCTION("IMPORTRANGE(""https://docs.google.com/spreadsheets/d/11923uPwbBZFjjGgGUA6NLw09EwE0CqkOc4q9oUmW1yo/edit?usp=sharing"",""พิจิตร!J206"")"),0)</f>
        <v>0</v>
      </c>
      <c r="K301" s="225"/>
      <c r="L301" s="170" t="s">
        <v>39</v>
      </c>
      <c r="M301" s="170"/>
      <c r="N301" s="170" t="s">
        <v>39</v>
      </c>
      <c r="O301" s="183"/>
      <c r="P301" s="183"/>
    </row>
    <row r="302" spans="1:16" ht="21.75" customHeight="1">
      <c r="A302" s="177"/>
      <c r="B302" s="178"/>
      <c r="C302" s="178"/>
      <c r="D302" s="195"/>
      <c r="E302" s="196" t="s">
        <v>46</v>
      </c>
      <c r="F302" s="197"/>
      <c r="G302" s="198"/>
      <c r="H302" s="188"/>
      <c r="I302" s="189"/>
      <c r="J302" s="189">
        <f ca="1">IFERROR(__xludf.DUMMYFUNCTION("IMPORTRANGE(""https://docs.google.com/spreadsheets/d/11923uPwbBZFjjGgGUA6NLw09EwE0CqkOc4q9oUmW1yo/edit?usp=sharing"",""พิจิตร!J207"")"),0)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>
      <c r="A303" s="177"/>
      <c r="B303" s="178"/>
      <c r="C303" s="178"/>
      <c r="D303" s="195"/>
      <c r="E303" s="196" t="s">
        <v>47</v>
      </c>
      <c r="F303" s="197"/>
      <c r="G303" s="198"/>
      <c r="H303" s="188"/>
      <c r="I303" s="189"/>
      <c r="J303" s="189">
        <f ca="1">IFERROR(__xludf.DUMMYFUNCTION("IMPORTRANGE(""https://docs.google.com/spreadsheets/d/11923uPwbBZFjjGgGUA6NLw09EwE0CqkOc4q9oUmW1yo/edit?usp=sharing"",""พิจิตร!J208"")"),0)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IFERROR(__xludf.DUMMYFUNCTION("IMPORTRANGE(""https://docs.google.com/spreadsheets/d/11923uPwbBZFjjGgGUA6NLw09EwE0CqkOc4q9oUmW1yo/edit?usp=sharing"",""พิจิตร!I209"")"),0)</f>
        <v>0</v>
      </c>
      <c r="J304" s="205">
        <f ca="1">IFERROR(__xludf.DUMMYFUNCTION("IMPORTRANGE(""https://docs.google.com/spreadsheets/d/11923uPwbBZFjjGgGUA6NLw09EwE0CqkOc4q9oUmW1yo/edit?usp=sharing"",""พิจิตร!J209"")"),0)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>
      <c r="A306" s="177"/>
      <c r="B306" s="178"/>
      <c r="C306" s="178"/>
      <c r="D306" s="195"/>
      <c r="E306" s="200"/>
      <c r="F306" s="197" t="s">
        <v>52</v>
      </c>
      <c r="G306" s="198"/>
      <c r="H306" s="182" t="s">
        <v>37</v>
      </c>
      <c r="I306" s="189">
        <f ca="1">IFERROR(__xludf.DUMMYFUNCTION("IMPORTRANGE(""https://docs.google.com/spreadsheets/d/11923uPwbBZFjjGgGUA6NLw09EwE0CqkOc4q9oUmW1yo/edit?usp=sharing"",""พิจิตร!I211"")"),0)</f>
        <v>0</v>
      </c>
      <c r="J306" s="205">
        <f ca="1">IFERROR(__xludf.DUMMYFUNCTION("IMPORTRANGE(""https://docs.google.com/spreadsheets/d/11923uPwbBZFjjGgGUA6NLw09EwE0CqkOc4q9oUmW1yo/edit?usp=sharing"",""พิจิตร!J211"")"),0)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>
      <c r="A307" s="177"/>
      <c r="B307" s="178"/>
      <c r="C307" s="178"/>
      <c r="D307" s="195"/>
      <c r="E307" s="196" t="s">
        <v>53</v>
      </c>
      <c r="F307" s="197"/>
      <c r="G307" s="198"/>
      <c r="H307" s="188"/>
      <c r="I307" s="189"/>
      <c r="J307" s="189">
        <f ca="1">IFERROR(__xludf.DUMMYFUNCTION("IMPORTRANGE(""https://docs.google.com/spreadsheets/d/11923uPwbBZFjjGgGUA6NLw09EwE0CqkOc4q9oUmW1yo/edit?usp=sharing"",""พิจิตร!J212"")"),0)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>
      <c r="A308" s="177"/>
      <c r="B308" s="178"/>
      <c r="C308" s="178"/>
      <c r="D308" s="207">
        <v>3</v>
      </c>
      <c r="E308" s="208" t="s">
        <v>54</v>
      </c>
      <c r="F308" s="209"/>
      <c r="G308" s="210"/>
      <c r="H308" s="188"/>
      <c r="I308" s="189"/>
      <c r="J308" s="327">
        <f ca="1">IFERROR(__xludf.DUMMYFUNCTION("IMPORTRANGE(""https://docs.google.com/spreadsheets/d/11923uPwbBZFjjGgGUA6NLw09EwE0CqkOc4q9oUmW1yo/edit?usp=sharing"",""พิจิตร!J213"")"),0)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IFERROR(__xludf.DUMMYFUNCTION("IMPORTRANGE(""https://docs.google.com/spreadsheets/d/11923uPwbBZFjjGgGUA6NLw09EwE0CqkOc4q9oUmW1yo/edit?usp=sharing"",""พิจิตร!I214"")"),0)</f>
        <v>0</v>
      </c>
      <c r="J309" s="334">
        <f ca="1">IFERROR(__xludf.DUMMYFUNCTION("IMPORTRANGE(""https://docs.google.com/spreadsheets/d/11923uPwbBZFjjGgGUA6NLw09EwE0CqkOc4q9oUmW1yo/edit?usp=sharing"",""พิจิตร!J214"")"),0)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>
      <c r="A310" s="148"/>
      <c r="B310" s="149"/>
      <c r="C310" s="150" t="s">
        <v>16</v>
      </c>
      <c r="D310" s="566" t="s">
        <v>17</v>
      </c>
      <c r="E310" s="567"/>
      <c r="F310" s="567"/>
      <c r="G310" s="567"/>
      <c r="H310" s="151" t="s">
        <v>12</v>
      </c>
      <c r="I310" s="337"/>
      <c r="J310" s="337"/>
      <c r="K310" s="33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7"/>
      <c r="J311" s="337"/>
      <c r="K311" s="338"/>
      <c r="L311" s="90">
        <f t="shared" ref="L311:N311" si="96">L313+L317</f>
        <v>0</v>
      </c>
      <c r="M311" s="90">
        <f t="shared" si="96"/>
        <v>0</v>
      </c>
      <c r="N311" s="90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7"/>
      <c r="J312" s="337"/>
      <c r="K312" s="338"/>
      <c r="L312" s="90">
        <f t="shared" ref="L312:N312" ca="1" si="97">L314+L318</f>
        <v>0</v>
      </c>
      <c r="M312" s="90">
        <f t="shared" ca="1" si="97"/>
        <v>0</v>
      </c>
      <c r="N312" s="90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59"/>
      <c r="B313" s="160"/>
      <c r="C313" s="160" t="s">
        <v>16</v>
      </c>
      <c r="D313" s="570" t="s">
        <v>20</v>
      </c>
      <c r="E313" s="565"/>
      <c r="F313" s="565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59"/>
      <c r="B314" s="160"/>
      <c r="C314" s="160"/>
      <c r="D314" s="168"/>
      <c r="E314" s="161"/>
      <c r="F314" s="161" t="s">
        <v>39</v>
      </c>
      <c r="G314" s="162" t="s">
        <v>40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IFERROR(__xludf.DUMMYFUNCTION("IMPORTRANGE(""https://docs.google.com/spreadsheets/d/1Yj_ptqi66GCucihVvJfMjLAmec39IyEx_6qawtMGysU/edit?usp=sharing"",""สบก!DC27"")"),0)</f>
        <v>0</v>
      </c>
      <c r="N314" s="170">
        <f ca="1">IFERROR(__xludf.DUMMYFUNCTION("IMPORTRANGE(""https://docs.google.com/spreadsheets/d/1Yj_ptqi66GCucihVvJfMjLAmec39IyEx_6qawtMGysU/edit?usp=sharing"",""สบก!DD27"")"),0)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>
      <c r="A315" s="159"/>
      <c r="B315" s="160"/>
      <c r="C315" s="160"/>
      <c r="D315" s="168"/>
      <c r="E315" s="161"/>
      <c r="F315" s="161"/>
      <c r="G315" s="171" t="s">
        <v>41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IFERROR(__xludf.DUMMYFUNCTION("IMPORTRANGE(""https://docs.google.com/spreadsheets/d/1Yj_ptqi66GCucihVvJfMjLAmec39IyEx_6qawtMGysU/edit?usp=sharing"",""สบก!CY27"")"),0)</f>
        <v>0</v>
      </c>
      <c r="M315" s="169"/>
      <c r="N315" s="169"/>
      <c r="O315" s="170"/>
      <c r="P315" s="170"/>
    </row>
    <row r="316" spans="1:16" ht="21.75" customHeight="1">
      <c r="A316" s="159"/>
      <c r="B316" s="160"/>
      <c r="C316" s="160"/>
      <c r="D316" s="168"/>
      <c r="E316" s="161"/>
      <c r="F316" s="161"/>
      <c r="G316" s="171" t="s">
        <v>42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IFERROR(__xludf.DUMMYFUNCTION("IMPORTRANGE(""https://docs.google.com/spreadsheets/d/1Yj_ptqi66GCucihVvJfMjLAmec39IyEx_6qawtMGysU/edit?usp=sharing"",""สบก!CZ27"")"),0)</f>
        <v>0</v>
      </c>
      <c r="M316" s="169"/>
      <c r="N316" s="169"/>
      <c r="O316" s="170"/>
      <c r="P316" s="170"/>
    </row>
    <row r="317" spans="1:16" ht="21.75" customHeight="1">
      <c r="A317" s="172"/>
      <c r="B317" s="83"/>
      <c r="C317" s="84" t="s">
        <v>16</v>
      </c>
      <c r="D317" s="564" t="s">
        <v>23</v>
      </c>
      <c r="E317" s="565"/>
      <c r="F317" s="91"/>
      <c r="G317" s="85" t="s">
        <v>18</v>
      </c>
      <c r="H317" s="173" t="s">
        <v>12</v>
      </c>
      <c r="I317" s="164"/>
      <c r="J317" s="189"/>
      <c r="K317" s="225"/>
      <c r="L317" s="44">
        <v>0</v>
      </c>
      <c r="M317" s="44"/>
      <c r="N317" s="44"/>
      <c r="O317" s="44"/>
      <c r="P317" s="44"/>
    </row>
    <row r="318" spans="1:16" ht="21.75" customHeight="1">
      <c r="A318" s="174"/>
      <c r="B318" s="94"/>
      <c r="C318" s="94"/>
      <c r="D318" s="175"/>
      <c r="E318" s="95"/>
      <c r="F318" s="95"/>
      <c r="G318" s="96" t="s">
        <v>19</v>
      </c>
      <c r="H318" s="176" t="s">
        <v>12</v>
      </c>
      <c r="I318" s="164"/>
      <c r="J318" s="189"/>
      <c r="K318" s="225"/>
      <c r="L318" s="52">
        <f ca="1">IFERROR(__xludf.DUMMYFUNCTION("IMPORTRANGE(""https://docs.google.com/spreadsheets/d/1Yj_ptqi66GCucihVvJfMjLAmec39IyEx_6qawtMGysU/edit?usp=sharing"",""สบก!DA27"")"),0)</f>
        <v>0</v>
      </c>
      <c r="M318" s="52"/>
      <c r="N318" s="52">
        <f ca="1">IFERROR(__xludf.DUMMYFUNCTION("IMPORTRANGE(""https://docs.google.com/spreadsheets/d/1Yj_ptqi66GCucihVvJfMjLAmec39IyEx_6qawtMGysU/edit?usp=sharing"",""สบก!DE27"")"),0)</f>
        <v>0</v>
      </c>
      <c r="O318" s="52">
        <f ca="1">IF(L318&gt;0,N318*100/L318,0)</f>
        <v>0</v>
      </c>
      <c r="P318" s="52"/>
    </row>
    <row r="319" spans="1:16" ht="21.75" customHeight="1">
      <c r="A319" s="177"/>
      <c r="B319" s="178"/>
      <c r="C319" s="160" t="s">
        <v>16</v>
      </c>
      <c r="D319" s="179" t="s">
        <v>43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>
      <c r="A320" s="177"/>
      <c r="B320" s="178"/>
      <c r="C320" s="178"/>
      <c r="D320" s="184">
        <v>1</v>
      </c>
      <c r="E320" s="185" t="s">
        <v>44</v>
      </c>
      <c r="F320" s="186"/>
      <c r="G320" s="187"/>
      <c r="H320" s="188"/>
      <c r="I320" s="189"/>
      <c r="J320" s="189">
        <f ca="1">IFERROR(__xludf.DUMMYFUNCTION("IMPORTRANGE(""https://docs.google.com/spreadsheets/d/11923uPwbBZFjjGgGUA6NLw09EwE0CqkOc4q9oUmW1yo/edit?usp=sharing"",""พิจิตร!J220"")"),0)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>
      <c r="A321" s="177"/>
      <c r="B321" s="178"/>
      <c r="C321" s="178"/>
      <c r="D321" s="191">
        <v>2</v>
      </c>
      <c r="E321" s="192" t="s">
        <v>45</v>
      </c>
      <c r="F321" s="193"/>
      <c r="G321" s="194"/>
      <c r="H321" s="188"/>
      <c r="I321" s="189"/>
      <c r="J321" s="189">
        <f ca="1">IFERROR(__xludf.DUMMYFUNCTION("IMPORTRANGE(""https://docs.google.com/spreadsheets/d/11923uPwbBZFjjGgGUA6NLw09EwE0CqkOc4q9oUmW1yo/edit?usp=sharing"",""พิจิตร!J221"")"),0)</f>
        <v>0</v>
      </c>
      <c r="K321" s="225"/>
      <c r="L321" s="170" t="s">
        <v>39</v>
      </c>
      <c r="M321" s="170"/>
      <c r="N321" s="170" t="s">
        <v>39</v>
      </c>
      <c r="O321" s="183"/>
      <c r="P321" s="183"/>
    </row>
    <row r="322" spans="1:16" ht="21.75" customHeight="1">
      <c r="A322" s="177"/>
      <c r="B322" s="178"/>
      <c r="C322" s="178"/>
      <c r="D322" s="195"/>
      <c r="E322" s="196" t="s">
        <v>46</v>
      </c>
      <c r="F322" s="197"/>
      <c r="G322" s="198"/>
      <c r="H322" s="188"/>
      <c r="I322" s="189"/>
      <c r="J322" s="189">
        <f ca="1">IFERROR(__xludf.DUMMYFUNCTION("IMPORTRANGE(""https://docs.google.com/spreadsheets/d/11923uPwbBZFjjGgGUA6NLw09EwE0CqkOc4q9oUmW1yo/edit?usp=sharing"",""พิจิตร!J222"")"),0)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>
      <c r="A323" s="177"/>
      <c r="B323" s="178"/>
      <c r="C323" s="178"/>
      <c r="D323" s="195"/>
      <c r="E323" s="196" t="s">
        <v>47</v>
      </c>
      <c r="F323" s="197"/>
      <c r="G323" s="198"/>
      <c r="H323" s="188"/>
      <c r="I323" s="189"/>
      <c r="J323" s="189">
        <f ca="1">IFERROR(__xludf.DUMMYFUNCTION("IMPORTRANGE(""https://docs.google.com/spreadsheets/d/11923uPwbBZFjjGgGUA6NLw09EwE0CqkOc4q9oUmW1yo/edit?usp=sharing"",""พิจิตร!J223"")"),0)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IFERROR(__xludf.DUMMYFUNCTION("IMPORTRANGE(""https://docs.google.com/spreadsheets/d/11923uPwbBZFjjGgGUA6NLw09EwE0CqkOc4q9oUmW1yo/edit?usp=sharing"",""พิจิตร!I224"")"),0)</f>
        <v>0</v>
      </c>
      <c r="J324" s="205">
        <f ca="1">IFERROR(__xludf.DUMMYFUNCTION("IMPORTRANGE(""https://docs.google.com/spreadsheets/d/11923uPwbBZFjjGgGUA6NLw09EwE0CqkOc4q9oUmW1yo/edit?usp=sharing"",""พิจิตร!J224"")"),0)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>
      <c r="A325" s="177"/>
      <c r="B325" s="178"/>
      <c r="C325" s="178"/>
      <c r="D325" s="195"/>
      <c r="E325" s="196" t="s">
        <v>53</v>
      </c>
      <c r="F325" s="197"/>
      <c r="G325" s="198"/>
      <c r="H325" s="188"/>
      <c r="I325" s="189"/>
      <c r="J325" s="189">
        <f ca="1">IFERROR(__xludf.DUMMYFUNCTION("IMPORTRANGE(""https://docs.google.com/spreadsheets/d/11923uPwbBZFjjGgGUA6NLw09EwE0CqkOc4q9oUmW1yo/edit?usp=sharing"",""พิจิตร!J225"")"),0)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>
      <c r="A326" s="177"/>
      <c r="B326" s="178"/>
      <c r="C326" s="178"/>
      <c r="D326" s="207">
        <v>3</v>
      </c>
      <c r="E326" s="208" t="s">
        <v>54</v>
      </c>
      <c r="F326" s="209"/>
      <c r="G326" s="210"/>
      <c r="H326" s="188"/>
      <c r="I326" s="189"/>
      <c r="J326" s="228">
        <f ca="1">IFERROR(__xludf.DUMMYFUNCTION("IMPORTRANGE(""https://docs.google.com/spreadsheets/d/11923uPwbBZFjjGgGUA6NLw09EwE0CqkOc4q9oUmW1yo/edit?usp=sharing"",""พิจิตร!J226"")"),0)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IFERROR(__xludf.DUMMYFUNCTION("IMPORTRANGE(""https://docs.google.com/spreadsheets/d/11923uPwbBZFjjGgGUA6NLw09EwE0CqkOc4q9oUmW1yo/edit?usp=sharing"",""พิจิตร!I228"")"),530)</f>
        <v>530</v>
      </c>
      <c r="J328" s="340">
        <f ca="1">IFERROR(__xludf.DUMMYFUNCTION("IMPORTRANGE(""https://docs.google.com/spreadsheets/d/11923uPwbBZFjjGgGUA6NLw09EwE0CqkOc4q9oUmW1yo/edit?usp=sharing"",""พิจิตร!J228"")"),69)</f>
        <v>69</v>
      </c>
      <c r="K328" s="318">
        <f ca="1">IF(I328&gt;0,J328*100/I328,0)</f>
        <v>13.018867924528301</v>
      </c>
      <c r="L328" s="319"/>
      <c r="M328" s="319"/>
      <c r="N328" s="319"/>
      <c r="O328" s="318"/>
      <c r="P328" s="318"/>
    </row>
    <row r="329" spans="1:16" ht="21.75" customHeight="1">
      <c r="A329" s="148"/>
      <c r="B329" s="149"/>
      <c r="C329" s="150" t="s">
        <v>16</v>
      </c>
      <c r="D329" s="566" t="s">
        <v>17</v>
      </c>
      <c r="E329" s="567"/>
      <c r="F329" s="567"/>
      <c r="G329" s="567"/>
      <c r="H329" s="151" t="s">
        <v>12</v>
      </c>
      <c r="I329" s="164"/>
      <c r="J329" s="164"/>
      <c r="K329" s="165"/>
      <c r="L329" s="154">
        <f t="shared" ref="L329:N329" ca="1" si="98">L330+L331</f>
        <v>1253340</v>
      </c>
      <c r="M329" s="154">
        <f t="shared" ca="1" si="98"/>
        <v>1020650</v>
      </c>
      <c r="N329" s="154">
        <f t="shared" ca="1" si="98"/>
        <v>687011.09</v>
      </c>
      <c r="O329" s="153">
        <f t="shared" ref="O329:O331" ca="1" si="99">IF(L329&gt;0,N329*100/L329,0)</f>
        <v>54.814423061579461</v>
      </c>
      <c r="P329" s="153">
        <f t="shared" ref="P329:P331" ca="1" si="100">IF(M329&gt;0,N329*100/M329,0)</f>
        <v>67.311134081222747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90">
        <f t="shared" ref="L330:N330" si="101">L332+L336</f>
        <v>0</v>
      </c>
      <c r="M330" s="90">
        <f t="shared" si="101"/>
        <v>0</v>
      </c>
      <c r="N330" s="90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90">
        <f t="shared" ref="L331:N331" ca="1" si="102">L333+L337</f>
        <v>1253340</v>
      </c>
      <c r="M331" s="90">
        <f t="shared" ca="1" si="102"/>
        <v>1020650</v>
      </c>
      <c r="N331" s="90">
        <f t="shared" ca="1" si="102"/>
        <v>687011.09</v>
      </c>
      <c r="O331" s="158">
        <f t="shared" ca="1" si="99"/>
        <v>54.814423061579461</v>
      </c>
      <c r="P331" s="158">
        <f t="shared" ca="1" si="100"/>
        <v>67.311134081222747</v>
      </c>
    </row>
    <row r="332" spans="1:16" ht="21.75" customHeight="1">
      <c r="A332" s="159"/>
      <c r="B332" s="160"/>
      <c r="C332" s="160" t="s">
        <v>16</v>
      </c>
      <c r="D332" s="570" t="s">
        <v>20</v>
      </c>
      <c r="E332" s="565"/>
      <c r="F332" s="565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59"/>
      <c r="B333" s="160"/>
      <c r="C333" s="160"/>
      <c r="D333" s="168"/>
      <c r="E333" s="161"/>
      <c r="F333" s="161" t="s">
        <v>39</v>
      </c>
      <c r="G333" s="162" t="s">
        <v>40</v>
      </c>
      <c r="H333" s="163" t="s">
        <v>12</v>
      </c>
      <c r="I333" s="164"/>
      <c r="J333" s="164"/>
      <c r="K333" s="165"/>
      <c r="L333" s="169">
        <f ca="1">L334+L335</f>
        <v>1177740</v>
      </c>
      <c r="M333" s="169">
        <f ca="1">IFERROR(__xludf.DUMMYFUNCTION("IMPORTRANGE(""https://docs.google.com/spreadsheets/d/1Yj_ptqi66GCucihVvJfMjLAmec39IyEx_6qawtMGysU/edit?usp=sharing"",""สบก!DL27"")"),945050)</f>
        <v>945050</v>
      </c>
      <c r="N333" s="170">
        <f ca="1">IFERROR(__xludf.DUMMYFUNCTION("IMPORTRANGE(""https://docs.google.com/spreadsheets/d/1Yj_ptqi66GCucihVvJfMjLAmec39IyEx_6qawtMGysU/edit?usp=sharing"",""สบก!DM27"")"),611411.09)</f>
        <v>611411.09</v>
      </c>
      <c r="O333" s="170">
        <f ca="1">IF(L333&gt;0,N333*100/L333,0)</f>
        <v>51.913927522203544</v>
      </c>
      <c r="P333" s="170">
        <f ca="1">IF(M333&gt;0,N333*100/M333,0)</f>
        <v>64.696163165970049</v>
      </c>
    </row>
    <row r="334" spans="1:16" ht="21.75" customHeight="1">
      <c r="A334" s="159"/>
      <c r="B334" s="160"/>
      <c r="C334" s="160"/>
      <c r="D334" s="168"/>
      <c r="E334" s="161"/>
      <c r="F334" s="161"/>
      <c r="G334" s="171" t="s">
        <v>41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IFERROR(__xludf.DUMMYFUNCTION("IMPORTRANGE(""https://docs.google.com/spreadsheets/d/1Yj_ptqi66GCucihVvJfMjLAmec39IyEx_6qawtMGysU/edit?usp=sharing"",""สบก!DH27"")"),854600)</f>
        <v>854600</v>
      </c>
      <c r="M334" s="169"/>
      <c r="N334" s="169"/>
      <c r="O334" s="170"/>
      <c r="P334" s="170"/>
    </row>
    <row r="335" spans="1:16" ht="21.75" customHeight="1">
      <c r="A335" s="159"/>
      <c r="B335" s="160"/>
      <c r="C335" s="160"/>
      <c r="D335" s="168"/>
      <c r="E335" s="161"/>
      <c r="F335" s="161"/>
      <c r="G335" s="171" t="s">
        <v>42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IFERROR(__xludf.DUMMYFUNCTION("IMPORTRANGE(""https://docs.google.com/spreadsheets/d/1Yj_ptqi66GCucihVvJfMjLAmec39IyEx_6qawtMGysU/edit?usp=sharing"",""สบก!DI27"")"),323140)</f>
        <v>323140</v>
      </c>
      <c r="M335" s="169"/>
      <c r="N335" s="169"/>
      <c r="O335" s="170"/>
      <c r="P335" s="170"/>
    </row>
    <row r="336" spans="1:16" ht="21.75" customHeight="1">
      <c r="A336" s="172"/>
      <c r="B336" s="83"/>
      <c r="C336" s="84" t="s">
        <v>16</v>
      </c>
      <c r="D336" s="564" t="s">
        <v>23</v>
      </c>
      <c r="E336" s="565"/>
      <c r="F336" s="91"/>
      <c r="G336" s="85" t="s">
        <v>18</v>
      </c>
      <c r="H336" s="173" t="s">
        <v>12</v>
      </c>
      <c r="I336" s="164"/>
      <c r="J336" s="164"/>
      <c r="K336" s="165"/>
      <c r="L336" s="44">
        <v>0</v>
      </c>
      <c r="M336" s="44"/>
      <c r="N336" s="44"/>
      <c r="O336" s="44"/>
      <c r="P336" s="44"/>
    </row>
    <row r="337" spans="1:16" ht="21.75" customHeight="1">
      <c r="A337" s="174"/>
      <c r="B337" s="94"/>
      <c r="C337" s="94"/>
      <c r="D337" s="175"/>
      <c r="E337" s="95"/>
      <c r="F337" s="95"/>
      <c r="G337" s="96" t="s">
        <v>19</v>
      </c>
      <c r="H337" s="176" t="s">
        <v>12</v>
      </c>
      <c r="I337" s="164"/>
      <c r="J337" s="164"/>
      <c r="K337" s="165"/>
      <c r="L337" s="52">
        <f ca="1">IFERROR(__xludf.DUMMYFUNCTION("IMPORTRANGE(""https://docs.google.com/spreadsheets/d/1Yj_ptqi66GCucihVvJfMjLAmec39IyEx_6qawtMGysU/edit?usp=sharing"",""สบก!DJ27"")"),75600)</f>
        <v>75600</v>
      </c>
      <c r="M337" s="52">
        <f ca="1">L337</f>
        <v>75600</v>
      </c>
      <c r="N337" s="52">
        <f ca="1">IFERROR(__xludf.DUMMYFUNCTION("IMPORTRANGE(""https://docs.google.com/spreadsheets/d/1Yj_ptqi66GCucihVvJfMjLAmec39IyEx_6qawtMGysU/edit?usp=sharing"",""สบก!DN27"")"),75600)</f>
        <v>75600</v>
      </c>
      <c r="O337" s="52">
        <f ca="1">IF(L337&gt;0,N337*100/L337,0)</f>
        <v>100</v>
      </c>
      <c r="P337" s="52">
        <f ca="1">IF(M337&gt;0,N337*100/M337,0)</f>
        <v>100</v>
      </c>
    </row>
    <row r="338" spans="1:16" ht="21.75" customHeight="1">
      <c r="A338" s="177"/>
      <c r="B338" s="292"/>
      <c r="C338" s="341" t="s">
        <v>120</v>
      </c>
      <c r="D338" s="197"/>
      <c r="E338" s="197"/>
      <c r="F338" s="197"/>
      <c r="G338" s="198"/>
      <c r="H338" s="182"/>
      <c r="I338" s="342"/>
      <c r="J338" s="342"/>
      <c r="K338" s="343"/>
      <c r="L338" s="183"/>
      <c r="M338" s="183"/>
      <c r="N338" s="183"/>
      <c r="O338" s="344"/>
      <c r="P338" s="344"/>
    </row>
    <row r="339" spans="1:16" ht="21.75" customHeight="1">
      <c r="A339" s="177"/>
      <c r="B339" s="292"/>
      <c r="C339" s="178"/>
      <c r="D339" s="197"/>
      <c r="E339" s="196" t="s">
        <v>121</v>
      </c>
      <c r="F339" s="197"/>
      <c r="G339" s="198"/>
      <c r="H339" s="345" t="s">
        <v>37</v>
      </c>
      <c r="I339" s="205">
        <f ca="1">IFERROR(__xludf.DUMMYFUNCTION("IMPORTRANGE(""https://docs.google.com/spreadsheets/d/11923uPwbBZFjjGgGUA6NLw09EwE0CqkOc4q9oUmW1yo/edit?usp=sharing"",""พิจิตร!I234"")"),0)</f>
        <v>0</v>
      </c>
      <c r="J339" s="189">
        <f ca="1">IFERROR(__xludf.DUMMYFUNCTION("IMPORTRANGE(""https://docs.google.com/spreadsheets/d/11923uPwbBZFjjGgGUA6NLw09EwE0CqkOc4q9oUmW1yo/edit?usp=sharing"",""พิจิตร!J234"")"),43)</f>
        <v>43</v>
      </c>
      <c r="K339" s="343">
        <f t="shared" ref="K339:K346" ca="1" si="103">IF(I339&gt;0,J339*100/I339,0)</f>
        <v>0</v>
      </c>
      <c r="L339" s="183"/>
      <c r="M339" s="183"/>
      <c r="N339" s="183"/>
      <c r="O339" s="344"/>
      <c r="P339" s="344"/>
    </row>
    <row r="340" spans="1:16" ht="21.75" customHeight="1">
      <c r="A340" s="177"/>
      <c r="B340" s="292"/>
      <c r="C340" s="178"/>
      <c r="D340" s="197"/>
      <c r="E340" s="197"/>
      <c r="F340" s="197"/>
      <c r="G340" s="198"/>
      <c r="H340" s="345" t="s">
        <v>122</v>
      </c>
      <c r="I340" s="189">
        <f ca="1">IFERROR(__xludf.DUMMYFUNCTION("IMPORTRANGE(""https://docs.google.com/spreadsheets/d/11923uPwbBZFjjGgGUA6NLw09EwE0CqkOc4q9oUmW1yo/edit?usp=sharing"",""พิจิตร!I235"")"),1700)</f>
        <v>1700</v>
      </c>
      <c r="J340" s="189">
        <f ca="1">IFERROR(__xludf.DUMMYFUNCTION("IMPORTRANGE(""https://docs.google.com/spreadsheets/d/11923uPwbBZFjjGgGUA6NLw09EwE0CqkOc4q9oUmW1yo/edit?usp=sharing"",""พิจิตร!J235"")"),394.49)</f>
        <v>394.49</v>
      </c>
      <c r="K340" s="343">
        <f t="shared" ca="1" si="103"/>
        <v>23.20529411764706</v>
      </c>
      <c r="L340" s="183"/>
      <c r="M340" s="183"/>
      <c r="N340" s="183"/>
      <c r="O340" s="344"/>
      <c r="P340" s="344"/>
    </row>
    <row r="341" spans="1:16" ht="21.75" customHeight="1">
      <c r="A341" s="177"/>
      <c r="B341" s="292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IFERROR(__xludf.DUMMYFUNCTION("IMPORTRANGE(""https://docs.google.com/spreadsheets/d/11923uPwbBZFjjGgGUA6NLw09EwE0CqkOc4q9oUmW1yo/edit?usp=sharing"",""พิจิตร!I236"")"),530)</f>
        <v>530</v>
      </c>
      <c r="J341" s="189">
        <f ca="1">IFERROR(__xludf.DUMMYFUNCTION("IMPORTRANGE(""https://docs.google.com/spreadsheets/d/11923uPwbBZFjjGgGUA6NLw09EwE0CqkOc4q9oUmW1yo/edit?usp=sharing"",""พิจิตร!J236"")"),106)</f>
        <v>106</v>
      </c>
      <c r="K341" s="343">
        <f t="shared" ca="1" si="103"/>
        <v>20</v>
      </c>
      <c r="L341" s="183"/>
      <c r="M341" s="183"/>
      <c r="N341" s="183"/>
      <c r="O341" s="344"/>
      <c r="P341" s="344"/>
    </row>
    <row r="342" spans="1:16" ht="21.75" customHeight="1">
      <c r="A342" s="177"/>
      <c r="B342" s="292"/>
      <c r="C342" s="178"/>
      <c r="D342" s="197"/>
      <c r="E342" s="197"/>
      <c r="F342" s="197"/>
      <c r="G342" s="198"/>
      <c r="H342" s="182" t="s">
        <v>122</v>
      </c>
      <c r="I342" s="346">
        <f ca="1">IFERROR(__xludf.DUMMYFUNCTION("IMPORTRANGE(""https://docs.google.com/spreadsheets/d/11923uPwbBZFjjGgGUA6NLw09EwE0CqkOc4q9oUmW1yo/edit?usp=sharing"",""พิจิตร!I237"")"),0)</f>
        <v>0</v>
      </c>
      <c r="J342" s="189">
        <f ca="1">IFERROR(__xludf.DUMMYFUNCTION("IMPORTRANGE(""https://docs.google.com/spreadsheets/d/11923uPwbBZFjjGgGUA6NLw09EwE0CqkOc4q9oUmW1yo/edit?usp=sharing"",""พิจิตร!J237"")"),1401.1)</f>
        <v>1401.1</v>
      </c>
      <c r="K342" s="343">
        <f t="shared" ca="1" si="103"/>
        <v>0</v>
      </c>
      <c r="L342" s="183"/>
      <c r="M342" s="183"/>
      <c r="N342" s="183"/>
      <c r="O342" s="344"/>
      <c r="P342" s="344"/>
    </row>
    <row r="343" spans="1:16" ht="21.75" customHeight="1">
      <c r="A343" s="177"/>
      <c r="B343" s="292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IFERROR(__xludf.DUMMYFUNCTION("IMPORTRANGE(""https://docs.google.com/spreadsheets/d/11923uPwbBZFjjGgGUA6NLw09EwE0CqkOc4q9oUmW1yo/edit?usp=sharing"",""พิจิตร!I238"")"),530)</f>
        <v>530</v>
      </c>
      <c r="J343" s="189">
        <f ca="1">IFERROR(__xludf.DUMMYFUNCTION("IMPORTRANGE(""https://docs.google.com/spreadsheets/d/11923uPwbBZFjjGgGUA6NLw09EwE0CqkOc4q9oUmW1yo/edit?usp=sharing"",""พิจิตร!J238"")"),0)</f>
        <v>0</v>
      </c>
      <c r="K343" s="343">
        <f t="shared" ca="1" si="103"/>
        <v>0</v>
      </c>
      <c r="L343" s="183"/>
      <c r="M343" s="183"/>
      <c r="N343" s="183"/>
      <c r="O343" s="344"/>
      <c r="P343" s="344"/>
    </row>
    <row r="344" spans="1:16" ht="21.75" customHeight="1">
      <c r="A344" s="177"/>
      <c r="B344" s="292"/>
      <c r="C344" s="178"/>
      <c r="D344" s="197"/>
      <c r="E344" s="197"/>
      <c r="F344" s="197"/>
      <c r="G344" s="198"/>
      <c r="H344" s="182" t="s">
        <v>122</v>
      </c>
      <c r="I344" s="346">
        <f ca="1">IFERROR(__xludf.DUMMYFUNCTION("IMPORTRANGE(""https://docs.google.com/spreadsheets/d/11923uPwbBZFjjGgGUA6NLw09EwE0CqkOc4q9oUmW1yo/edit?usp=sharing"",""พิจิตร!I239"")"),0)</f>
        <v>0</v>
      </c>
      <c r="J344" s="189">
        <f ca="1">IFERROR(__xludf.DUMMYFUNCTION("IMPORTRANGE(""https://docs.google.com/spreadsheets/d/11923uPwbBZFjjGgGUA6NLw09EwE0CqkOc4q9oUmW1yo/edit?usp=sharing"",""พิจิตร!J239"")"),0)</f>
        <v>0</v>
      </c>
      <c r="K344" s="343">
        <f t="shared" ca="1" si="103"/>
        <v>0</v>
      </c>
      <c r="L344" s="183"/>
      <c r="M344" s="183"/>
      <c r="N344" s="183"/>
      <c r="O344" s="344"/>
      <c r="P344" s="344"/>
    </row>
    <row r="345" spans="1:16" ht="21.75" customHeight="1">
      <c r="A345" s="177"/>
      <c r="B345" s="292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IFERROR(__xludf.DUMMYFUNCTION("IMPORTRANGE(""https://docs.google.com/spreadsheets/d/11923uPwbBZFjjGgGUA6NLw09EwE0CqkOc4q9oUmW1yo/edit?usp=sharing"",""พิจิตร!I240"")"),530)</f>
        <v>530</v>
      </c>
      <c r="J345" s="189">
        <f ca="1">IFERROR(__xludf.DUMMYFUNCTION("IMPORTRANGE(""https://docs.google.com/spreadsheets/d/11923uPwbBZFjjGgGUA6NLw09EwE0CqkOc4q9oUmW1yo/edit?usp=sharing"",""พิจิตร!J240"")"),69)</f>
        <v>69</v>
      </c>
      <c r="K345" s="343">
        <f t="shared" ca="1" si="103"/>
        <v>13.018867924528301</v>
      </c>
      <c r="L345" s="183"/>
      <c r="M345" s="183"/>
      <c r="N345" s="183"/>
      <c r="O345" s="344"/>
      <c r="P345" s="344"/>
    </row>
    <row r="346" spans="1:16" ht="21.75" customHeight="1">
      <c r="A346" s="235"/>
      <c r="B346" s="347"/>
      <c r="C346" s="236"/>
      <c r="D346" s="347"/>
      <c r="E346" s="348"/>
      <c r="F346" s="348"/>
      <c r="G346" s="349"/>
      <c r="H346" s="350" t="s">
        <v>122</v>
      </c>
      <c r="I346" s="351">
        <f ca="1">IFERROR(__xludf.DUMMYFUNCTION("IMPORTRANGE(""https://docs.google.com/spreadsheets/d/11923uPwbBZFjjGgGUA6NLw09EwE0CqkOc4q9oUmW1yo/edit?usp=sharing"",""พิจิตร!I241"")"),0)</f>
        <v>0</v>
      </c>
      <c r="J346" s="189">
        <f ca="1">IFERROR(__xludf.DUMMYFUNCTION("IMPORTRANGE(""https://docs.google.com/spreadsheets/d/11923uPwbBZFjjGgGUA6NLw09EwE0CqkOc4q9oUmW1yo/edit?usp=sharing"",""พิจิตร!J241"")"),1003.44999999999)</f>
        <v>1003.44999999999</v>
      </c>
      <c r="K346" s="352">
        <f t="shared" ca="1" si="103"/>
        <v>0</v>
      </c>
      <c r="L346" s="246"/>
      <c r="M346" s="246"/>
      <c r="N346" s="246"/>
      <c r="O346" s="353"/>
      <c r="P346" s="353"/>
    </row>
    <row r="347" spans="1:16" ht="21.75" customHeight="1">
      <c r="A347" s="354" t="s">
        <v>126</v>
      </c>
      <c r="B347" s="355"/>
      <c r="C347" s="355"/>
      <c r="D347" s="355"/>
      <c r="E347" s="355"/>
      <c r="F347" s="355"/>
      <c r="G347" s="356"/>
      <c r="H347" s="357"/>
      <c r="I347" s="358"/>
      <c r="J347" s="358"/>
      <c r="K347" s="359"/>
      <c r="L347" s="359">
        <f ca="1">IFERROR(__xludf.DUMMYFUNCTION("IMPORTRANGE(""https://docs.google.com/spreadsheets/d/11923uPwbBZFjjGgGUA6NLw09EwE0CqkOc4q9oUmW1yo/edit?usp=sharing"",""พิจิตร!L242"")"),2018547)</f>
        <v>2018547</v>
      </c>
      <c r="M347" s="359"/>
      <c r="N347" s="359">
        <f ca="1">IFERROR(__xludf.DUMMYFUNCTION("IMPORTRANGE(""https://docs.google.com/spreadsheets/d/11923uPwbBZFjjGgGUA6NLw09EwE0CqkOc4q9oUmW1yo/edit?usp=sharing"",""พิจิตร!M242"")"),654723.95)</f>
        <v>654723.94999999995</v>
      </c>
      <c r="O347" s="359">
        <f ca="1">+IF(L347&gt;0,N347*100/L347,0)</f>
        <v>32.435407746265007</v>
      </c>
      <c r="P347" s="359"/>
    </row>
    <row r="348" spans="1:16" ht="21.75" customHeight="1">
      <c r="A348" s="360" t="s">
        <v>127</v>
      </c>
      <c r="B348" s="361"/>
      <c r="C348" s="361"/>
      <c r="D348" s="361"/>
      <c r="E348" s="361"/>
      <c r="F348" s="361"/>
      <c r="G348" s="362"/>
      <c r="H348" s="363"/>
      <c r="I348" s="364"/>
      <c r="J348" s="364"/>
      <c r="K348" s="365"/>
      <c r="L348" s="365"/>
      <c r="M348" s="365"/>
      <c r="N348" s="365"/>
      <c r="O348" s="366"/>
      <c r="P348" s="366"/>
    </row>
    <row r="349" spans="1:16" ht="21.75" customHeight="1">
      <c r="A349" s="367"/>
      <c r="B349" s="368">
        <v>1</v>
      </c>
      <c r="C349" s="369" t="s">
        <v>128</v>
      </c>
      <c r="D349" s="369"/>
      <c r="E349" s="369"/>
      <c r="F349" s="369"/>
      <c r="G349" s="370"/>
      <c r="H349" s="371" t="s">
        <v>122</v>
      </c>
      <c r="I349" s="372">
        <f ca="1">IFERROR(__xludf.DUMMYFUNCTION("IMPORTRANGE(""https://docs.google.com/spreadsheets/d/11923uPwbBZFjjGgGUA6NLw09EwE0CqkOc4q9oUmW1yo/edit?usp=sharing"",""พิจิตร!I244"")"),160)</f>
        <v>160</v>
      </c>
      <c r="J349" s="372">
        <f ca="1">IFERROR(__xludf.DUMMYFUNCTION("IMPORTRANGE(""https://docs.google.com/spreadsheets/d/11923uPwbBZFjjGgGUA6NLw09EwE0CqkOc4q9oUmW1yo/edit?usp=sharing"",""พิจิตร!J244"")"),0)</f>
        <v>0</v>
      </c>
      <c r="K349" s="373">
        <f t="shared" ref="K349:K350" ca="1" si="104">IF(I349&gt;0,J349*100/I349,0)</f>
        <v>0</v>
      </c>
      <c r="L349" s="374">
        <f ca="1">IFERROR(__xludf.DUMMYFUNCTION("IMPORTRANGE(""https://docs.google.com/spreadsheets/d/11923uPwbBZFjjGgGUA6NLw09EwE0CqkOc4q9oUmW1yo/edit?usp=sharing"",""พิจิตร!L244"")"),406480)</f>
        <v>406480</v>
      </c>
      <c r="M349" s="374"/>
      <c r="N349" s="374">
        <f ca="1">IFERROR(__xludf.DUMMYFUNCTION("IMPORTRANGE(""https://docs.google.com/spreadsheets/d/11923uPwbBZFjjGgGUA6NLw09EwE0CqkOc4q9oUmW1yo/edit?usp=sharing"",""พิจิตร!M244"")"),118627.7)</f>
        <v>118627.7</v>
      </c>
      <c r="O349" s="374">
        <f ca="1">+IF(L349&gt;0,N349*100/L349,0)</f>
        <v>29.184141901200551</v>
      </c>
      <c r="P349" s="374"/>
    </row>
    <row r="350" spans="1:16" ht="21.75" customHeight="1">
      <c r="A350" s="367"/>
      <c r="B350" s="368"/>
      <c r="C350" s="369"/>
      <c r="D350" s="369"/>
      <c r="E350" s="369"/>
      <c r="F350" s="369"/>
      <c r="G350" s="370"/>
      <c r="H350" s="371" t="s">
        <v>37</v>
      </c>
      <c r="I350" s="372">
        <f ca="1">IFERROR(__xludf.DUMMYFUNCTION("IMPORTRANGE(""https://docs.google.com/spreadsheets/d/11923uPwbBZFjjGgGUA6NLw09EwE0CqkOc4q9oUmW1yo/edit?usp=sharing"",""พิจิตร!I245"")"),60)</f>
        <v>60</v>
      </c>
      <c r="J350" s="372">
        <f ca="1">IFERROR(__xludf.DUMMYFUNCTION("IMPORTRANGE(""https://docs.google.com/spreadsheets/d/11923uPwbBZFjjGgGUA6NLw09EwE0CqkOc4q9oUmW1yo/edit?usp=sharing"",""พิจิตร!J245"")"),60)</f>
        <v>60</v>
      </c>
      <c r="K350" s="373">
        <f t="shared" ca="1" si="104"/>
        <v>100</v>
      </c>
      <c r="L350" s="374"/>
      <c r="M350" s="374"/>
      <c r="N350" s="374"/>
      <c r="O350" s="374"/>
      <c r="P350" s="374"/>
    </row>
    <row r="351" spans="1:16" ht="21.75" customHeight="1">
      <c r="A351" s="159"/>
      <c r="B351" s="160"/>
      <c r="C351" s="160" t="s">
        <v>16</v>
      </c>
      <c r="D351" s="279" t="s">
        <v>77</v>
      </c>
      <c r="E351" s="161"/>
      <c r="F351" s="161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IFERROR(__xludf.DUMMYFUNCTION("IMPORTRANGE(""https://docs.google.com/spreadsheets/d/11923uPwbBZFjjGgGUA6NLw09EwE0CqkOc4q9oUmW1yo/edit?usp=sharing"",""พิจิตร!L246"")"),0)</f>
        <v>0</v>
      </c>
      <c r="M351" s="166"/>
      <c r="N351" s="166">
        <f ca="1">IFERROR(__xludf.DUMMYFUNCTION("IMPORTRANGE(""https://docs.google.com/spreadsheets/d/11923uPwbBZFjjGgGUA6NLw09EwE0CqkOc4q9oUmW1yo/edit?usp=sharing"",""พิจิตร!M246"")"),0)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59"/>
      <c r="B352" s="160"/>
      <c r="C352" s="160"/>
      <c r="D352" s="168"/>
      <c r="E352" s="161"/>
      <c r="F352" s="161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IFERROR(__xludf.DUMMYFUNCTION("IMPORTRANGE(""https://docs.google.com/spreadsheets/d/11923uPwbBZFjjGgGUA6NLw09EwE0CqkOc4q9oUmW1yo/edit?usp=sharing"",""พิจิตร!L247"")"),406480)</f>
        <v>406480</v>
      </c>
      <c r="M352" s="167"/>
      <c r="N352" s="166">
        <f ca="1">IFERROR(__xludf.DUMMYFUNCTION("IMPORTRANGE(""https://docs.google.com/spreadsheets/d/11923uPwbBZFjjGgGUA6NLw09EwE0CqkOc4q9oUmW1yo/edit?usp=sharing"",""พิจิตร!M247"")"),118627.7)</f>
        <v>118627.7</v>
      </c>
      <c r="O352" s="167">
        <f t="shared" ca="1" si="105"/>
        <v>29.184141901200551</v>
      </c>
      <c r="P352" s="167"/>
    </row>
    <row r="353" spans="1:16" ht="21.75" customHeight="1">
      <c r="A353" s="159"/>
      <c r="B353" s="160"/>
      <c r="C353" s="160"/>
      <c r="D353" s="168"/>
      <c r="E353" s="161"/>
      <c r="F353" s="161"/>
      <c r="G353" s="375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IFERROR(__xludf.DUMMYFUNCTION("IMPORTRANGE(""https://docs.google.com/spreadsheets/d/11923uPwbBZFjjGgGUA6NLw09EwE0CqkOc4q9oUmW1yo/edit?usp=sharing"",""พิจิตร!L248"")"),0)</f>
        <v>0</v>
      </c>
      <c r="M353" s="170"/>
      <c r="N353" s="170">
        <f ca="1">IFERROR(__xludf.DUMMYFUNCTION("IMPORTRANGE(""https://docs.google.com/spreadsheets/d/11923uPwbBZFjjGgGUA6NLw09EwE0CqkOc4q9oUmW1yo/edit?usp=sharing"",""พิจิตร!M248"")"),0)</f>
        <v>0</v>
      </c>
      <c r="O353" s="170">
        <f t="shared" ca="1" si="105"/>
        <v>0</v>
      </c>
      <c r="P353" s="170"/>
    </row>
    <row r="354" spans="1:16" ht="21.75" customHeight="1">
      <c r="A354" s="159"/>
      <c r="B354" s="160"/>
      <c r="C354" s="160"/>
      <c r="D354" s="168"/>
      <c r="E354" s="161"/>
      <c r="F354" s="161"/>
      <c r="G354" s="375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IFERROR(__xludf.DUMMYFUNCTION("IMPORTRANGE(""https://docs.google.com/spreadsheets/d/11923uPwbBZFjjGgGUA6NLw09EwE0CqkOc4q9oUmW1yo/edit?usp=sharing"",""พิจิตร!L249"")"),406480)</f>
        <v>406480</v>
      </c>
      <c r="M354" s="170"/>
      <c r="N354" s="169">
        <f ca="1">IFERROR(__xludf.DUMMYFUNCTION("IMPORTRANGE(""https://docs.google.com/spreadsheets/d/11923uPwbBZFjjGgGUA6NLw09EwE0CqkOc4q9oUmW1yo/edit?usp=sharing"",""พิจิตร!M249"")"),118627.7)</f>
        <v>118627.7</v>
      </c>
      <c r="O354" s="170">
        <f t="shared" ca="1" si="105"/>
        <v>29.184141901200551</v>
      </c>
      <c r="P354" s="170"/>
    </row>
    <row r="355" spans="1:16" ht="21.75" customHeight="1">
      <c r="A355" s="376"/>
      <c r="B355" s="377"/>
      <c r="C355" s="160"/>
      <c r="D355" s="378"/>
      <c r="E355" s="161"/>
      <c r="F355" s="161"/>
      <c r="G355" s="379" t="s">
        <v>131</v>
      </c>
      <c r="H355" s="163" t="s">
        <v>12</v>
      </c>
      <c r="I355" s="189"/>
      <c r="J355" s="189"/>
      <c r="K355" s="225"/>
      <c r="L355" s="170"/>
      <c r="M355" s="170"/>
      <c r="N355" s="380">
        <f ca="1">IFERROR(__xludf.DUMMYFUNCTION("IMPORTRANGE(""https://docs.google.com/spreadsheets/d/11923uPwbBZFjjGgGUA6NLw09EwE0CqkOc4q9oUmW1yo/edit?usp=sharing"",""พิจิตร!M250"")"),41076)</f>
        <v>41076</v>
      </c>
      <c r="O355" s="170"/>
      <c r="P355" s="170"/>
    </row>
    <row r="356" spans="1:16" ht="21.75" customHeight="1">
      <c r="A356" s="376"/>
      <c r="B356" s="377"/>
      <c r="C356" s="160"/>
      <c r="D356" s="378"/>
      <c r="E356" s="161"/>
      <c r="F356" s="161"/>
      <c r="G356" s="379" t="s">
        <v>132</v>
      </c>
      <c r="H356" s="163" t="s">
        <v>12</v>
      </c>
      <c r="I356" s="189"/>
      <c r="J356" s="189"/>
      <c r="K356" s="225"/>
      <c r="L356" s="170"/>
      <c r="M356" s="170"/>
      <c r="N356" s="380">
        <f ca="1">IFERROR(__xludf.DUMMYFUNCTION("IMPORTRANGE(""https://docs.google.com/spreadsheets/d/11923uPwbBZFjjGgGUA6NLw09EwE0CqkOc4q9oUmW1yo/edit?usp=sharing"",""พิจิตร!M251"")"),0)</f>
        <v>0</v>
      </c>
      <c r="O356" s="170"/>
      <c r="P356" s="170"/>
    </row>
    <row r="357" spans="1:16" ht="21.75" customHeight="1">
      <c r="A357" s="376"/>
      <c r="B357" s="377"/>
      <c r="C357" s="160"/>
      <c r="D357" s="378"/>
      <c r="E357" s="161"/>
      <c r="F357" s="161"/>
      <c r="G357" s="379" t="s">
        <v>133</v>
      </c>
      <c r="H357" s="163" t="s">
        <v>12</v>
      </c>
      <c r="I357" s="189"/>
      <c r="J357" s="189"/>
      <c r="K357" s="225"/>
      <c r="L357" s="170"/>
      <c r="M357" s="170"/>
      <c r="N357" s="380">
        <f ca="1">IFERROR(__xludf.DUMMYFUNCTION("IMPORTRANGE(""https://docs.google.com/spreadsheets/d/11923uPwbBZFjjGgGUA6NLw09EwE0CqkOc4q9oUmW1yo/edit?usp=sharing"",""พิจิตร!M252"")"),70051.7)</f>
        <v>70051.7</v>
      </c>
      <c r="O357" s="170"/>
      <c r="P357" s="170"/>
    </row>
    <row r="358" spans="1:16" ht="21.75" customHeight="1">
      <c r="A358" s="376"/>
      <c r="B358" s="377"/>
      <c r="C358" s="160"/>
      <c r="D358" s="378"/>
      <c r="E358" s="161"/>
      <c r="F358" s="161"/>
      <c r="G358" s="379" t="s">
        <v>134</v>
      </c>
      <c r="H358" s="163" t="s">
        <v>12</v>
      </c>
      <c r="I358" s="189"/>
      <c r="J358" s="189"/>
      <c r="K358" s="225"/>
      <c r="L358" s="170"/>
      <c r="M358" s="170"/>
      <c r="N358" s="380">
        <f ca="1">IFERROR(__xludf.DUMMYFUNCTION("IMPORTRANGE(""https://docs.google.com/spreadsheets/d/11923uPwbBZFjjGgGUA6NLw09EwE0CqkOc4q9oUmW1yo/edit?usp=sharing"",""พิจิตร!M253"")"),7500)</f>
        <v>7500</v>
      </c>
      <c r="O358" s="170"/>
      <c r="P358" s="170"/>
    </row>
    <row r="359" spans="1:16" ht="21.75" customHeight="1">
      <c r="A359" s="177"/>
      <c r="B359" s="178"/>
      <c r="C359" s="160" t="s">
        <v>16</v>
      </c>
      <c r="D359" s="179" t="s">
        <v>43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>
      <c r="A360" s="177"/>
      <c r="B360" s="178"/>
      <c r="C360" s="178"/>
      <c r="D360" s="184">
        <v>1</v>
      </c>
      <c r="E360" s="185" t="s">
        <v>44</v>
      </c>
      <c r="F360" s="186"/>
      <c r="G360" s="187"/>
      <c r="H360" s="188"/>
      <c r="I360" s="189"/>
      <c r="J360" s="199">
        <f ca="1">IFERROR(__xludf.DUMMYFUNCTION("IMPORTRANGE(""https://docs.google.com/spreadsheets/d/11923uPwbBZFjjGgGUA6NLw09EwE0CqkOc4q9oUmW1yo/edit?usp=sharing"",""พิจิตร!J255"")"),0)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>
      <c r="A361" s="177"/>
      <c r="B361" s="178"/>
      <c r="C361" s="178"/>
      <c r="D361" s="191">
        <v>2</v>
      </c>
      <c r="E361" s="192" t="s">
        <v>45</v>
      </c>
      <c r="F361" s="193"/>
      <c r="G361" s="194"/>
      <c r="H361" s="188"/>
      <c r="I361" s="189"/>
      <c r="J361" s="190">
        <f ca="1">IFERROR(__xludf.DUMMYFUNCTION("IMPORTRANGE(""https://docs.google.com/spreadsheets/d/11923uPwbBZFjjGgGUA6NLw09EwE0CqkOc4q9oUmW1yo/edit?usp=sharing"",""พิจิตร!J256"")"),1)</f>
        <v>1</v>
      </c>
      <c r="K361" s="165"/>
      <c r="L361" s="183" t="s">
        <v>39</v>
      </c>
      <c r="M361" s="183"/>
      <c r="N361" s="183" t="s">
        <v>39</v>
      </c>
      <c r="O361" s="183"/>
      <c r="P361" s="183"/>
    </row>
    <row r="362" spans="1:16" ht="21.75" customHeight="1">
      <c r="A362" s="177"/>
      <c r="B362" s="178"/>
      <c r="C362" s="178"/>
      <c r="D362" s="195"/>
      <c r="E362" s="196" t="s">
        <v>46</v>
      </c>
      <c r="F362" s="197"/>
      <c r="G362" s="198"/>
      <c r="H362" s="188"/>
      <c r="I362" s="189"/>
      <c r="J362" s="190">
        <f ca="1">IFERROR(__xludf.DUMMYFUNCTION("IMPORTRANGE(""https://docs.google.com/spreadsheets/d/11923uPwbBZFjjGgGUA6NLw09EwE0CqkOc4q9oUmW1yo/edit?usp=sharing"",""พิจิตร!J257"")"),0)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>
      <c r="A363" s="177"/>
      <c r="B363" s="178"/>
      <c r="C363" s="178"/>
      <c r="D363" s="195"/>
      <c r="E363" s="196" t="s">
        <v>47</v>
      </c>
      <c r="F363" s="197"/>
      <c r="G363" s="198"/>
      <c r="H363" s="188"/>
      <c r="I363" s="189"/>
      <c r="J363" s="199">
        <f ca="1">IFERROR(__xludf.DUMMYFUNCTION("IMPORTRANGE(""https://docs.google.com/spreadsheets/d/11923uPwbBZFjjGgGUA6NLw09EwE0CqkOc4q9oUmW1yo/edit?usp=sharing"",""พิจิตร!J258"")"),1)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>
      <c r="A364" s="177"/>
      <c r="B364" s="178"/>
      <c r="C364" s="178"/>
      <c r="D364" s="195"/>
      <c r="E364" s="200"/>
      <c r="F364" s="196" t="s">
        <v>69</v>
      </c>
      <c r="G364" s="198"/>
      <c r="H364" s="182"/>
      <c r="I364" s="189"/>
      <c r="J364" s="189">
        <f ca="1">IFERROR(__xludf.DUMMYFUNCTION("IMPORTRANGE(""https://docs.google.com/spreadsheets/d/11923uPwbBZFjjGgGUA6NLw09EwE0CqkOc4q9oUmW1yo/edit?usp=sharing"",""พิจิตร!J166"")"),0)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IFERROR(__xludf.DUMMYFUNCTION("IMPORTRANGE(""https://docs.google.com/spreadsheets/d/11923uPwbBZFjjGgGUA6NLw09EwE0CqkOc4q9oUmW1yo/edit?usp=sharing"",""พิจิตร!J166"")"),0)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IFERROR(__xludf.DUMMYFUNCTION("IMPORTRANGE(""https://docs.google.com/spreadsheets/d/11923uPwbBZFjjGgGUA6NLw09EwE0CqkOc4q9oUmW1yo/edit?usp=sharing"",""พิจิตร!J166"")"),0)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IFERROR(__xludf.DUMMYFUNCTION("IMPORTRANGE(""https://docs.google.com/spreadsheets/d/11923uPwbBZFjjGgGUA6NLw09EwE0CqkOc4q9oUmW1yo/edit?usp=sharing"",""พิจิตร!J166"")"),0)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>
      <c r="A368" s="177"/>
      <c r="B368" s="178"/>
      <c r="C368" s="178"/>
      <c r="D368" s="195"/>
      <c r="E368" s="200"/>
      <c r="F368" s="381" t="s">
        <v>138</v>
      </c>
      <c r="G368" s="382"/>
      <c r="H368" s="188" t="s">
        <v>37</v>
      </c>
      <c r="I368" s="164">
        <f ca="1">IFERROR(__xludf.DUMMYFUNCTION("IMPORTRANGE(""https://docs.google.com/spreadsheets/d/11923uPwbBZFjjGgGUA6NLw09EwE0CqkOc4q9oUmW1yo/edit?usp=sharing"",""พิจิตร!I263"")"),60)</f>
        <v>60</v>
      </c>
      <c r="J368" s="189">
        <f ca="1">IFERROR(__xludf.DUMMYFUNCTION("IMPORTRANGE(""https://docs.google.com/spreadsheets/d/11923uPwbBZFjjGgGUA6NLw09EwE0CqkOc4q9oUmW1yo/edit?usp=sharing"",""พิจิตร!J263"")"),60)</f>
        <v>60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>
      <c r="A369" s="177"/>
      <c r="B369" s="178"/>
      <c r="C369" s="178"/>
      <c r="D369" s="195"/>
      <c r="E369" s="200"/>
      <c r="F369" s="197"/>
      <c r="G369" s="382"/>
      <c r="H369" s="182" t="s">
        <v>122</v>
      </c>
      <c r="I369" s="164">
        <f ca="1">IFERROR(__xludf.DUMMYFUNCTION("IMPORTRANGE(""https://docs.google.com/spreadsheets/d/11923uPwbBZFjjGgGUA6NLw09EwE0CqkOc4q9oUmW1yo/edit?usp=sharing"",""พิจิตร!I164"")"),0)</f>
        <v>0</v>
      </c>
      <c r="J369" s="205">
        <f ca="1">IFERROR(__xludf.DUMMYFUNCTION("IMPORTRANGE(""https://docs.google.com/spreadsheets/d/11923uPwbBZFjjGgGUA6NLw09EwE0CqkOc4q9oUmW1yo/edit?usp=sharing"",""พิจิตร!J164"")"),0)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>
      <c r="A370" s="177"/>
      <c r="B370" s="178"/>
      <c r="C370" s="178"/>
      <c r="D370" s="195"/>
      <c r="E370" s="200"/>
      <c r="F370" s="197"/>
      <c r="G370" s="294" t="s">
        <v>139</v>
      </c>
      <c r="H370" s="182" t="s">
        <v>37</v>
      </c>
      <c r="I370" s="164">
        <f ca="1">IFERROR(__xludf.DUMMYFUNCTION("IMPORTRANGE(""https://docs.google.com/spreadsheets/d/11923uPwbBZFjjGgGUA6NLw09EwE0CqkOc4q9oUmW1yo/edit?usp=sharing"",""พิจิตร!I265"")"),60)</f>
        <v>60</v>
      </c>
      <c r="J370" s="205">
        <f ca="1">IFERROR(__xludf.DUMMYFUNCTION("IMPORTRANGE(""https://docs.google.com/spreadsheets/d/11923uPwbBZFjjGgGUA6NLw09EwE0CqkOc4q9oUmW1yo/edit?usp=sharing"",""พิจิตร!J265"")"),40)</f>
        <v>40</v>
      </c>
      <c r="K370" s="165">
        <f t="shared" ca="1" si="106"/>
        <v>66.666666666666671</v>
      </c>
      <c r="L370" s="183"/>
      <c r="M370" s="183"/>
      <c r="N370" s="183"/>
      <c r="O370" s="183"/>
      <c r="P370" s="183"/>
    </row>
    <row r="371" spans="1:16" ht="21.75" hidden="1" customHeight="1">
      <c r="A371" s="177"/>
      <c r="B371" s="178"/>
      <c r="C371" s="178"/>
      <c r="D371" s="195"/>
      <c r="E371" s="200"/>
      <c r="F371" s="197"/>
      <c r="G371" s="382"/>
      <c r="H371" s="182" t="s">
        <v>122</v>
      </c>
      <c r="I371" s="164">
        <f ca="1">IFERROR(__xludf.DUMMYFUNCTION("IMPORTRANGE(""https://docs.google.com/spreadsheets/d/11923uPwbBZFjjGgGUA6NLw09EwE0CqkOc4q9oUmW1yo/edit?usp=sharing"",""พิจิตร!I164"")"),0)</f>
        <v>0</v>
      </c>
      <c r="J371" s="190">
        <f ca="1">IFERROR(__xludf.DUMMYFUNCTION("IMPORTRANGE(""https://docs.google.com/spreadsheets/d/11923uPwbBZFjjGgGUA6NLw09EwE0CqkOc4q9oUmW1yo/edit?usp=sharing"",""พิจิตร!J164"")"),0)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>
      <c r="A372" s="177"/>
      <c r="B372" s="178"/>
      <c r="C372" s="178"/>
      <c r="D372" s="195"/>
      <c r="E372" s="200"/>
      <c r="F372" s="197"/>
      <c r="G372" s="294" t="s">
        <v>140</v>
      </c>
      <c r="H372" s="182" t="s">
        <v>37</v>
      </c>
      <c r="I372" s="164">
        <f ca="1">IFERROR(__xludf.DUMMYFUNCTION("IMPORTRANGE(""https://docs.google.com/spreadsheets/d/11923uPwbBZFjjGgGUA6NLw09EwE0CqkOc4q9oUmW1yo/edit?usp=sharing"",""พิจิตร!I267"")"),60)</f>
        <v>60</v>
      </c>
      <c r="J372" s="190">
        <f ca="1">IFERROR(__xludf.DUMMYFUNCTION("IMPORTRANGE(""https://docs.google.com/spreadsheets/d/11923uPwbBZFjjGgGUA6NLw09EwE0CqkOc4q9oUmW1yo/edit?usp=sharing"",""พิจิตร!J267"")"),20)</f>
        <v>20</v>
      </c>
      <c r="K372" s="165">
        <f t="shared" ca="1" si="106"/>
        <v>33.333333333333336</v>
      </c>
      <c r="L372" s="183"/>
      <c r="M372" s="183"/>
      <c r="N372" s="183"/>
      <c r="O372" s="183"/>
      <c r="P372" s="183"/>
    </row>
    <row r="373" spans="1:16" ht="21.75" hidden="1" customHeight="1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IFERROR(__xludf.DUMMYFUNCTION("IMPORTRANGE(""https://docs.google.com/spreadsheets/d/11923uPwbBZFjjGgGUA6NLw09EwE0CqkOc4q9oUmW1yo/edit?usp=sharing"",""พิจิตร!I164"")"),0)</f>
        <v>0</v>
      </c>
      <c r="J373" s="205">
        <f ca="1">IFERROR(__xludf.DUMMYFUNCTION("IMPORTRANGE(""https://docs.google.com/spreadsheets/d/11923uPwbBZFjjGgGUA6NLw09EwE0CqkOc4q9oUmW1yo/edit?usp=sharing"",""พิจิตร!J164"")"),0)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IFERROR(__xludf.DUMMYFUNCTION("IMPORTRANGE(""https://docs.google.com/spreadsheets/d/11923uPwbBZFjjGgGUA6NLw09EwE0CqkOc4q9oUmW1yo/edit?usp=sharing"",""พิจิตร!I164"")"),0)</f>
        <v>0</v>
      </c>
      <c r="J374" s="189">
        <f ca="1">IFERROR(__xludf.DUMMYFUNCTION("IMPORTRANGE(""https://docs.google.com/spreadsheets/d/11923uPwbBZFjjGgGUA6NLw09EwE0CqkOc4q9oUmW1yo/edit?usp=sharing"",""พิจิตร!J164"")"),0)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>
      <c r="A375" s="177"/>
      <c r="B375" s="178"/>
      <c r="C375" s="178"/>
      <c r="D375" s="195"/>
      <c r="E375" s="197"/>
      <c r="F375" s="206" t="s">
        <v>52</v>
      </c>
      <c r="G375" s="198"/>
      <c r="H375" s="281" t="s">
        <v>122</v>
      </c>
      <c r="I375" s="189">
        <f ca="1">IFERROR(__xludf.DUMMYFUNCTION("IMPORTRANGE(""https://docs.google.com/spreadsheets/d/11923uPwbBZFjjGgGUA6NLw09EwE0CqkOc4q9oUmW1yo/edit?usp=sharing"",""พิจิตร!I270"")"),160)</f>
        <v>160</v>
      </c>
      <c r="J375" s="189">
        <f ca="1">IFERROR(__xludf.DUMMYFUNCTION("IMPORTRANGE(""https://docs.google.com/spreadsheets/d/11923uPwbBZFjjGgGUA6NLw09EwE0CqkOc4q9oUmW1yo/edit?usp=sharing"",""พิจิตร!J270"")"),0)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>
      <c r="A376" s="177"/>
      <c r="B376" s="178"/>
      <c r="C376" s="178"/>
      <c r="D376" s="195"/>
      <c r="E376" s="197"/>
      <c r="F376" s="197"/>
      <c r="G376" s="282" t="s">
        <v>143</v>
      </c>
      <c r="H376" s="281" t="s">
        <v>122</v>
      </c>
      <c r="I376" s="189">
        <f ca="1">IFERROR(__xludf.DUMMYFUNCTION("IMPORTRANGE(""https://docs.google.com/spreadsheets/d/11923uPwbBZFjjGgGUA6NLw09EwE0CqkOc4q9oUmW1yo/edit?usp=sharing"",""พิจิตร!I271"")"),60)</f>
        <v>60</v>
      </c>
      <c r="J376" s="190">
        <f ca="1">IFERROR(__xludf.DUMMYFUNCTION("IMPORTRANGE(""https://docs.google.com/spreadsheets/d/11923uPwbBZFjjGgGUA6NLw09EwE0CqkOc4q9oUmW1yo/edit?usp=sharing"",""พิจิตร!J271"")"),0)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>
      <c r="A377" s="177"/>
      <c r="B377" s="178"/>
      <c r="C377" s="178"/>
      <c r="D377" s="195"/>
      <c r="E377" s="197"/>
      <c r="F377" s="197"/>
      <c r="G377" s="282" t="s">
        <v>144</v>
      </c>
      <c r="H377" s="281" t="s">
        <v>122</v>
      </c>
      <c r="I377" s="189">
        <f ca="1">IFERROR(__xludf.DUMMYFUNCTION("IMPORTRANGE(""https://docs.google.com/spreadsheets/d/11923uPwbBZFjjGgGUA6NLw09EwE0CqkOc4q9oUmW1yo/edit?usp=sharing"",""พิจิตร!I272"")"),100)</f>
        <v>100</v>
      </c>
      <c r="J377" s="205">
        <f ca="1">IFERROR(__xludf.DUMMYFUNCTION("IMPORTRANGE(""https://docs.google.com/spreadsheets/d/11923uPwbBZFjjGgGUA6NLw09EwE0CqkOc4q9oUmW1yo/edit?usp=sharing"",""พิจิตร!J272"")"),0)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>
      <c r="A378" s="177"/>
      <c r="B378" s="178"/>
      <c r="C378" s="178"/>
      <c r="D378" s="195"/>
      <c r="E378" s="196" t="s">
        <v>53</v>
      </c>
      <c r="F378" s="197"/>
      <c r="G378" s="198"/>
      <c r="H378" s="188"/>
      <c r="I378" s="189"/>
      <c r="J378" s="199">
        <f ca="1">IFERROR(__xludf.DUMMYFUNCTION("IMPORTRANGE(""https://docs.google.com/spreadsheets/d/11923uPwbBZFjjGgGUA6NLw09EwE0CqkOc4q9oUmW1yo/edit?usp=sharing"",""พิจิตร!J273"")"),0)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>
      <c r="A379" s="177"/>
      <c r="B379" s="178"/>
      <c r="C379" s="178"/>
      <c r="D379" s="207">
        <v>3</v>
      </c>
      <c r="E379" s="208" t="s">
        <v>54</v>
      </c>
      <c r="F379" s="209"/>
      <c r="G379" s="210"/>
      <c r="H379" s="188"/>
      <c r="I379" s="189"/>
      <c r="J379" s="211">
        <f ca="1">IFERROR(__xludf.DUMMYFUNCTION("IMPORTRANGE(""https://docs.google.com/spreadsheets/d/11923uPwbBZFjjGgGUA6NLw09EwE0CqkOc4q9oUmW1yo/edit?usp=sharing"",""พิจิตร!J274"")"),0)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>
      <c r="A380" s="367"/>
      <c r="B380" s="368">
        <v>2</v>
      </c>
      <c r="C380" s="369" t="s">
        <v>145</v>
      </c>
      <c r="D380" s="369"/>
      <c r="E380" s="383"/>
      <c r="F380" s="383"/>
      <c r="G380" s="384"/>
      <c r="H380" s="371" t="s">
        <v>122</v>
      </c>
      <c r="I380" s="372">
        <f ca="1">IFERROR(__xludf.DUMMYFUNCTION("IMPORTRANGE(""https://docs.google.com/spreadsheets/d/11923uPwbBZFjjGgGUA6NLw09EwE0CqkOc4q9oUmW1yo/edit?usp=sharing"",""พิจิตร!I275"")"),200)</f>
        <v>200</v>
      </c>
      <c r="J380" s="372">
        <f ca="1">IFERROR(__xludf.DUMMYFUNCTION("IMPORTRANGE(""https://docs.google.com/spreadsheets/d/11923uPwbBZFjjGgGUA6NLw09EwE0CqkOc4q9oUmW1yo/edit?usp=sharing"",""พิจิตร!J275"")"),0)</f>
        <v>0</v>
      </c>
      <c r="K380" s="373">
        <f t="shared" ref="K380:K381" ca="1" si="108">IF(I380&gt;0,J380*100/I380,0)</f>
        <v>0</v>
      </c>
      <c r="L380" s="374">
        <f ca="1">IFERROR(__xludf.DUMMYFUNCTION("IMPORTRANGE(""https://docs.google.com/spreadsheets/d/11923uPwbBZFjjGgGUA6NLw09EwE0CqkOc4q9oUmW1yo/edit?usp=sharing"",""พิจิตร!L275"")"),207560)</f>
        <v>207560</v>
      </c>
      <c r="M380" s="374"/>
      <c r="N380" s="374">
        <f ca="1">IFERROR(__xludf.DUMMYFUNCTION("IMPORTRANGE(""https://docs.google.com/spreadsheets/d/11923uPwbBZFjjGgGUA6NLw09EwE0CqkOc4q9oUmW1yo/edit?usp=sharing"",""พิจิตร!M275"")"),32611)</f>
        <v>32611</v>
      </c>
      <c r="O380" s="374">
        <f ca="1">+IF(L380&gt;0,N380*100/L380,0)</f>
        <v>15.711601464636731</v>
      </c>
      <c r="P380" s="374"/>
    </row>
    <row r="381" spans="1:16" ht="21.75" customHeight="1">
      <c r="A381" s="367"/>
      <c r="B381" s="368"/>
      <c r="C381" s="369"/>
      <c r="D381" s="385"/>
      <c r="E381" s="386"/>
      <c r="F381" s="386"/>
      <c r="G381" s="387"/>
      <c r="H381" s="371" t="s">
        <v>37</v>
      </c>
      <c r="I381" s="372">
        <f ca="1">IFERROR(__xludf.DUMMYFUNCTION("IMPORTRANGE(""https://docs.google.com/spreadsheets/d/11923uPwbBZFjjGgGUA6NLw09EwE0CqkOc4q9oUmW1yo/edit?usp=sharing"",""พิจิตร!I276"")"),20)</f>
        <v>20</v>
      </c>
      <c r="J381" s="372">
        <f ca="1">IFERROR(__xludf.DUMMYFUNCTION("IMPORTRANGE(""https://docs.google.com/spreadsheets/d/11923uPwbBZFjjGgGUA6NLw09EwE0CqkOc4q9oUmW1yo/edit?usp=sharing"",""พิจิตร!J276"")"),20)</f>
        <v>20</v>
      </c>
      <c r="K381" s="373">
        <f t="shared" ca="1" si="108"/>
        <v>100</v>
      </c>
      <c r="L381" s="374"/>
      <c r="M381" s="374"/>
      <c r="N381" s="374"/>
      <c r="O381" s="374"/>
      <c r="P381" s="374"/>
    </row>
    <row r="382" spans="1:16" ht="21.75" customHeight="1">
      <c r="A382" s="159"/>
      <c r="B382" s="160"/>
      <c r="C382" s="160" t="s">
        <v>16</v>
      </c>
      <c r="D382" s="279" t="s">
        <v>77</v>
      </c>
      <c r="E382" s="161"/>
      <c r="F382" s="161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IFERROR(__xludf.DUMMYFUNCTION("IMPORTRANGE(""https://docs.google.com/spreadsheets/d/11923uPwbBZFjjGgGUA6NLw09EwE0CqkOc4q9oUmW1yo/edit?usp=sharing"",""พิจิตร!L277"")"),0)</f>
        <v>0</v>
      </c>
      <c r="M382" s="166"/>
      <c r="N382" s="166">
        <f ca="1">IFERROR(__xludf.DUMMYFUNCTION("IMPORTRANGE(""https://docs.google.com/spreadsheets/d/11923uPwbBZFjjGgGUA6NLw09EwE0CqkOc4q9oUmW1yo/edit?usp=sharing"",""พิจิตร!M277"")"),0)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59"/>
      <c r="B383" s="160"/>
      <c r="C383" s="160"/>
      <c r="D383" s="168"/>
      <c r="E383" s="161"/>
      <c r="F383" s="161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IFERROR(__xludf.DUMMYFUNCTION("IMPORTRANGE(""https://docs.google.com/spreadsheets/d/11923uPwbBZFjjGgGUA6NLw09EwE0CqkOc4q9oUmW1yo/edit?usp=sharing"",""พิจิตร!L278"")"),207560)</f>
        <v>207560</v>
      </c>
      <c r="M383" s="167"/>
      <c r="N383" s="167">
        <f ca="1">IFERROR(__xludf.DUMMYFUNCTION("IMPORTRANGE(""https://docs.google.com/spreadsheets/d/11923uPwbBZFjjGgGUA6NLw09EwE0CqkOc4q9oUmW1yo/edit?usp=sharing"",""พิจิตร!M278"")"),32611)</f>
        <v>32611</v>
      </c>
      <c r="O383" s="167">
        <f t="shared" ca="1" si="109"/>
        <v>15.711601464636731</v>
      </c>
      <c r="P383" s="167"/>
    </row>
    <row r="384" spans="1:16" ht="21.75" customHeight="1">
      <c r="A384" s="159"/>
      <c r="B384" s="160"/>
      <c r="C384" s="160"/>
      <c r="D384" s="168"/>
      <c r="E384" s="161"/>
      <c r="F384" s="161"/>
      <c r="G384" s="375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IFERROR(__xludf.DUMMYFUNCTION("IMPORTRANGE(""https://docs.google.com/spreadsheets/d/11923uPwbBZFjjGgGUA6NLw09EwE0CqkOc4q9oUmW1yo/edit?usp=sharing"",""พิจิตร!L279"")"),0)</f>
        <v>0</v>
      </c>
      <c r="M384" s="170"/>
      <c r="N384" s="170">
        <f ca="1">IFERROR(__xludf.DUMMYFUNCTION("IMPORTRANGE(""https://docs.google.com/spreadsheets/d/11923uPwbBZFjjGgGUA6NLw09EwE0CqkOc4q9oUmW1yo/edit?usp=sharing"",""พิจิตร!M279"")"),0)</f>
        <v>0</v>
      </c>
      <c r="O384" s="170">
        <f t="shared" ca="1" si="109"/>
        <v>0</v>
      </c>
      <c r="P384" s="170"/>
    </row>
    <row r="385" spans="1:16" ht="21.75" customHeight="1">
      <c r="A385" s="159"/>
      <c r="B385" s="160"/>
      <c r="C385" s="160"/>
      <c r="D385" s="168"/>
      <c r="E385" s="161"/>
      <c r="F385" s="161"/>
      <c r="G385" s="375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IFERROR(__xludf.DUMMYFUNCTION("IMPORTRANGE(""https://docs.google.com/spreadsheets/d/11923uPwbBZFjjGgGUA6NLw09EwE0CqkOc4q9oUmW1yo/edit?usp=sharing"",""พิจิตร!L280"")"),207560)</f>
        <v>207560</v>
      </c>
      <c r="M385" s="170"/>
      <c r="N385" s="169">
        <f ca="1">IFERROR(__xludf.DUMMYFUNCTION("IMPORTRANGE(""https://docs.google.com/spreadsheets/d/11923uPwbBZFjjGgGUA6NLw09EwE0CqkOc4q9oUmW1yo/edit?usp=sharing"",""พิจิตร!M280"")"),32611)</f>
        <v>32611</v>
      </c>
      <c r="O385" s="170">
        <f t="shared" ca="1" si="109"/>
        <v>15.711601464636731</v>
      </c>
      <c r="P385" s="170"/>
    </row>
    <row r="386" spans="1:16" ht="21.75" customHeight="1">
      <c r="A386" s="376"/>
      <c r="B386" s="377"/>
      <c r="C386" s="160"/>
      <c r="D386" s="378"/>
      <c r="E386" s="161"/>
      <c r="F386" s="161"/>
      <c r="G386" s="379" t="s">
        <v>131</v>
      </c>
      <c r="H386" s="163" t="s">
        <v>12</v>
      </c>
      <c r="I386" s="189"/>
      <c r="J386" s="189"/>
      <c r="K386" s="225"/>
      <c r="L386" s="170"/>
      <c r="M386" s="170"/>
      <c r="N386" s="380">
        <f ca="1">IFERROR(__xludf.DUMMYFUNCTION("IMPORTRANGE(""https://docs.google.com/spreadsheets/d/11923uPwbBZFjjGgGUA6NLw09EwE0CqkOc4q9oUmW1yo/edit?usp=sharing"",""พิจิตร!M281"")"),27616)</f>
        <v>27616</v>
      </c>
      <c r="O386" s="170"/>
      <c r="P386" s="170"/>
    </row>
    <row r="387" spans="1:16" ht="21.75" customHeight="1">
      <c r="A387" s="376"/>
      <c r="B387" s="377"/>
      <c r="C387" s="160"/>
      <c r="D387" s="378"/>
      <c r="E387" s="161"/>
      <c r="F387" s="161"/>
      <c r="G387" s="379" t="s">
        <v>132</v>
      </c>
      <c r="H387" s="163" t="s">
        <v>12</v>
      </c>
      <c r="I387" s="189"/>
      <c r="J387" s="189"/>
      <c r="K387" s="225"/>
      <c r="L387" s="170"/>
      <c r="M387" s="170"/>
      <c r="N387" s="380">
        <f ca="1">IFERROR(__xludf.DUMMYFUNCTION("IMPORTRANGE(""https://docs.google.com/spreadsheets/d/11923uPwbBZFjjGgGUA6NLw09EwE0CqkOc4q9oUmW1yo/edit?usp=sharing"",""พิจิตร!M282"")"),0)</f>
        <v>0</v>
      </c>
      <c r="O387" s="170"/>
      <c r="P387" s="170"/>
    </row>
    <row r="388" spans="1:16" ht="21.75" customHeight="1">
      <c r="A388" s="376"/>
      <c r="B388" s="377"/>
      <c r="C388" s="160"/>
      <c r="D388" s="378"/>
      <c r="E388" s="161"/>
      <c r="F388" s="161"/>
      <c r="G388" s="379" t="s">
        <v>133</v>
      </c>
      <c r="H388" s="163" t="s">
        <v>12</v>
      </c>
      <c r="I388" s="189"/>
      <c r="J388" s="189"/>
      <c r="K388" s="225"/>
      <c r="L388" s="170"/>
      <c r="M388" s="170"/>
      <c r="N388" s="380">
        <f ca="1">IFERROR(__xludf.DUMMYFUNCTION("IMPORTRANGE(""https://docs.google.com/spreadsheets/d/11923uPwbBZFjjGgGUA6NLw09EwE0CqkOc4q9oUmW1yo/edit?usp=sharing"",""พิจิตร!M283"")"),0)</f>
        <v>0</v>
      </c>
      <c r="O388" s="170"/>
      <c r="P388" s="170"/>
    </row>
    <row r="389" spans="1:16" ht="21.75" customHeight="1">
      <c r="A389" s="376"/>
      <c r="B389" s="377"/>
      <c r="C389" s="160"/>
      <c r="D389" s="378"/>
      <c r="E389" s="161"/>
      <c r="F389" s="161"/>
      <c r="G389" s="379" t="s">
        <v>134</v>
      </c>
      <c r="H389" s="163" t="s">
        <v>12</v>
      </c>
      <c r="I389" s="189"/>
      <c r="J389" s="189"/>
      <c r="K389" s="225"/>
      <c r="L389" s="170"/>
      <c r="M389" s="170"/>
      <c r="N389" s="380">
        <f ca="1">IFERROR(__xludf.DUMMYFUNCTION("IMPORTRANGE(""https://docs.google.com/spreadsheets/d/11923uPwbBZFjjGgGUA6NLw09EwE0CqkOc4q9oUmW1yo/edit?usp=sharing"",""พิจิตร!M284"")"),4995)</f>
        <v>4995</v>
      </c>
      <c r="O389" s="170"/>
      <c r="P389" s="170"/>
    </row>
    <row r="390" spans="1:16" ht="21.75" customHeight="1">
      <c r="A390" s="177"/>
      <c r="B390" s="178"/>
      <c r="C390" s="160" t="s">
        <v>16</v>
      </c>
      <c r="D390" s="179" t="s">
        <v>43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>
      <c r="A391" s="177"/>
      <c r="B391" s="178"/>
      <c r="C391" s="178"/>
      <c r="D391" s="184">
        <v>1</v>
      </c>
      <c r="E391" s="185" t="s">
        <v>44</v>
      </c>
      <c r="F391" s="186"/>
      <c r="G391" s="187"/>
      <c r="H391" s="188"/>
      <c r="I391" s="189"/>
      <c r="J391" s="199">
        <f ca="1">IFERROR(__xludf.DUMMYFUNCTION("IMPORTRANGE(""https://docs.google.com/spreadsheets/d/11923uPwbBZFjjGgGUA6NLw09EwE0CqkOc4q9oUmW1yo/edit?usp=sharing"",""พิจิตร!J286"")"),0)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>
      <c r="A392" s="177"/>
      <c r="B392" s="178"/>
      <c r="C392" s="178"/>
      <c r="D392" s="191">
        <v>2</v>
      </c>
      <c r="E392" s="192" t="s">
        <v>45</v>
      </c>
      <c r="F392" s="193"/>
      <c r="G392" s="194"/>
      <c r="H392" s="188"/>
      <c r="I392" s="189"/>
      <c r="J392" s="190">
        <f ca="1">IFERROR(__xludf.DUMMYFUNCTION("IMPORTRANGE(""https://docs.google.com/spreadsheets/d/11923uPwbBZFjjGgGUA6NLw09EwE0CqkOc4q9oUmW1yo/edit?usp=sharing"",""พิจิตร!J287"")"),1)</f>
        <v>1</v>
      </c>
      <c r="K392" s="165"/>
      <c r="L392" s="183" t="s">
        <v>39</v>
      </c>
      <c r="M392" s="183"/>
      <c r="N392" s="183" t="s">
        <v>39</v>
      </c>
      <c r="O392" s="183"/>
      <c r="P392" s="183"/>
    </row>
    <row r="393" spans="1:16" ht="21.75" customHeight="1">
      <c r="A393" s="177"/>
      <c r="B393" s="178"/>
      <c r="C393" s="178"/>
      <c r="D393" s="195"/>
      <c r="E393" s="196" t="s">
        <v>46</v>
      </c>
      <c r="F393" s="197"/>
      <c r="G393" s="198"/>
      <c r="H393" s="188"/>
      <c r="I393" s="189"/>
      <c r="J393" s="190">
        <f ca="1">IFERROR(__xludf.DUMMYFUNCTION("IMPORTRANGE(""https://docs.google.com/spreadsheets/d/11923uPwbBZFjjGgGUA6NLw09EwE0CqkOc4q9oUmW1yo/edit?usp=sharing"",""พิจิตร!J288"")"),0)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>
      <c r="A394" s="177"/>
      <c r="B394" s="178"/>
      <c r="C394" s="178"/>
      <c r="D394" s="195"/>
      <c r="E394" s="196" t="s">
        <v>47</v>
      </c>
      <c r="F394" s="197"/>
      <c r="G394" s="198"/>
      <c r="H394" s="188"/>
      <c r="I394" s="189"/>
      <c r="J394" s="199">
        <f ca="1">IFERROR(__xludf.DUMMYFUNCTION("IMPORTRANGE(""https://docs.google.com/spreadsheets/d/11923uPwbBZFjjGgGUA6NLw09EwE0CqkOc4q9oUmW1yo/edit?usp=sharing"",""พิจิตร!J289"")"),1)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>
      <c r="A396" s="177"/>
      <c r="B396" s="178"/>
      <c r="C396" s="178"/>
      <c r="D396" s="195"/>
      <c r="E396" s="200"/>
      <c r="F396" s="197"/>
      <c r="G396" s="294" t="s">
        <v>69</v>
      </c>
      <c r="H396" s="188" t="s">
        <v>37</v>
      </c>
      <c r="I396" s="189">
        <f ca="1">IFERROR(__xludf.DUMMYFUNCTION("IMPORTRANGE(""https://docs.google.com/spreadsheets/d/11923uPwbBZFjjGgGUA6NLw09EwE0CqkOc4q9oUmW1yo/edit?usp=sharing"",""พิจิตร!I291"")"),20)</f>
        <v>20</v>
      </c>
      <c r="J396" s="199">
        <f ca="1">IFERROR(__xludf.DUMMYFUNCTION("IMPORTRANGE(""https://docs.google.com/spreadsheets/d/11923uPwbBZFjjGgGUA6NLw09EwE0CqkOc4q9oUmW1yo/edit?usp=sharing"",""พิจิตร!J291"")"),20)</f>
        <v>20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>
      <c r="A397" s="177"/>
      <c r="B397" s="178"/>
      <c r="C397" s="178"/>
      <c r="D397" s="195"/>
      <c r="E397" s="200"/>
      <c r="F397" s="197"/>
      <c r="G397" s="198" t="s">
        <v>52</v>
      </c>
      <c r="H397" s="188" t="s">
        <v>122</v>
      </c>
      <c r="I397" s="189">
        <f ca="1">IFERROR(__xludf.DUMMYFUNCTION("IMPORTRANGE(""https://docs.google.com/spreadsheets/d/11923uPwbBZFjjGgGUA6NLw09EwE0CqkOc4q9oUmW1yo/edit?usp=sharing"",""พิจิตร!I292"")"),200)</f>
        <v>200</v>
      </c>
      <c r="J397" s="199">
        <f ca="1">IFERROR(__xludf.DUMMYFUNCTION("IMPORTRANGE(""https://docs.google.com/spreadsheets/d/11923uPwbBZFjjGgGUA6NLw09EwE0CqkOc4q9oUmW1yo/edit?usp=sharing"",""พิจิตร!J292"")"),0)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IFERROR(__xludf.DUMMYFUNCTION("IMPORTRANGE(""https://docs.google.com/spreadsheets/d/11923uPwbBZFjjGgGUA6NLw09EwE0CqkOc4q9oUmW1yo/edit?usp=sharing"",""พิจิตร!I293"")"),20)</f>
        <v>20</v>
      </c>
      <c r="J398" s="199">
        <f ca="1">IFERROR(__xludf.DUMMYFUNCTION("IMPORTRANGE(""https://docs.google.com/spreadsheets/d/11923uPwbBZFjjGgGUA6NLw09EwE0CqkOc4q9oUmW1yo/edit?usp=sharing"",""พิจิตร!J293"")"),0)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>
      <c r="A399" s="177"/>
      <c r="B399" s="178"/>
      <c r="C399" s="178"/>
      <c r="D399" s="195"/>
      <c r="E399" s="196" t="s">
        <v>53</v>
      </c>
      <c r="F399" s="197"/>
      <c r="G399" s="198"/>
      <c r="H399" s="188"/>
      <c r="I399" s="189"/>
      <c r="J399" s="199">
        <f ca="1">IFERROR(__xludf.DUMMYFUNCTION("IMPORTRANGE(""https://docs.google.com/spreadsheets/d/11923uPwbBZFjjGgGUA6NLw09EwE0CqkOc4q9oUmW1yo/edit?usp=sharing"",""พิจิตร!J294"")"),0)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>
      <c r="A400" s="177"/>
      <c r="B400" s="178"/>
      <c r="C400" s="178"/>
      <c r="D400" s="207">
        <v>3</v>
      </c>
      <c r="E400" s="208" t="s">
        <v>54</v>
      </c>
      <c r="F400" s="209"/>
      <c r="G400" s="210"/>
      <c r="H400" s="188"/>
      <c r="I400" s="189"/>
      <c r="J400" s="211">
        <f ca="1">IFERROR(__xludf.DUMMYFUNCTION("IMPORTRANGE(""https://docs.google.com/spreadsheets/d/11923uPwbBZFjjGgGUA6NLw09EwE0CqkOc4q9oUmW1yo/edit?usp=sharing"",""พิจิตร!J295"")"),0)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>
      <c r="A401" s="367"/>
      <c r="B401" s="368">
        <v>3</v>
      </c>
      <c r="C401" s="368" t="s">
        <v>147</v>
      </c>
      <c r="D401" s="369"/>
      <c r="E401" s="369"/>
      <c r="F401" s="369"/>
      <c r="G401" s="370"/>
      <c r="H401" s="371" t="s">
        <v>122</v>
      </c>
      <c r="I401" s="372">
        <f ca="1">IFERROR(__xludf.DUMMYFUNCTION("IMPORTRANGE(""https://docs.google.com/spreadsheets/d/11923uPwbBZFjjGgGUA6NLw09EwE0CqkOc4q9oUmW1yo/edit?usp=sharing"",""พิจิตร!I296"")"),174)</f>
        <v>174</v>
      </c>
      <c r="J401" s="372">
        <f ca="1">IFERROR(__xludf.DUMMYFUNCTION("IMPORTRANGE(""https://docs.google.com/spreadsheets/d/11923uPwbBZFjjGgGUA6NLw09EwE0CqkOc4q9oUmW1yo/edit?usp=sharing"",""พิจิตร!J296"")"),174)</f>
        <v>174</v>
      </c>
      <c r="K401" s="373">
        <f t="shared" ref="K401:K402" ca="1" si="111">IF(I401&gt;0,J401*100/I401,0)</f>
        <v>100</v>
      </c>
      <c r="L401" s="374">
        <f ca="1">IFERROR(__xludf.DUMMYFUNCTION("IMPORTRANGE(""https://docs.google.com/spreadsheets/d/11923uPwbBZFjjGgGUA6NLw09EwE0CqkOc4q9oUmW1yo/edit?usp=sharing"",""พิจิตร!L296"")"),195900)</f>
        <v>195900</v>
      </c>
      <c r="M401" s="374"/>
      <c r="N401" s="374">
        <f ca="1">IFERROR(__xludf.DUMMYFUNCTION("IMPORTRANGE(""https://docs.google.com/spreadsheets/d/11923uPwbBZFjjGgGUA6NLw09EwE0CqkOc4q9oUmW1yo/edit?usp=sharing"",""พิจิตร!M296"")"),113749)</f>
        <v>113749</v>
      </c>
      <c r="O401" s="374">
        <f ca="1">+IF(L401&gt;0,N401*100/L401,0)</f>
        <v>58.064828994384889</v>
      </c>
      <c r="P401" s="374"/>
    </row>
    <row r="402" spans="1:16" ht="21.75" customHeight="1">
      <c r="A402" s="367"/>
      <c r="B402" s="368"/>
      <c r="C402" s="368"/>
      <c r="D402" s="385"/>
      <c r="E402" s="385"/>
      <c r="F402" s="385"/>
      <c r="G402" s="388"/>
      <c r="H402" s="371" t="s">
        <v>37</v>
      </c>
      <c r="I402" s="372">
        <f ca="1">IFERROR(__xludf.DUMMYFUNCTION("IMPORTRANGE(""https://docs.google.com/spreadsheets/d/11923uPwbBZFjjGgGUA6NLw09EwE0CqkOc4q9oUmW1yo/edit?usp=sharing"",""พิจิตร!I297"")"),58)</f>
        <v>58</v>
      </c>
      <c r="J402" s="372">
        <f ca="1">IFERROR(__xludf.DUMMYFUNCTION("IMPORTRANGE(""https://docs.google.com/spreadsheets/d/11923uPwbBZFjjGgGUA6NLw09EwE0CqkOc4q9oUmW1yo/edit?usp=sharing"",""พิจิตร!J297"")"),58)</f>
        <v>58</v>
      </c>
      <c r="K402" s="373">
        <f t="shared" ca="1" si="111"/>
        <v>100</v>
      </c>
      <c r="L402" s="374"/>
      <c r="M402" s="374"/>
      <c r="N402" s="374"/>
      <c r="O402" s="374"/>
      <c r="P402" s="374"/>
    </row>
    <row r="403" spans="1:16" ht="21.75" customHeight="1">
      <c r="A403" s="159"/>
      <c r="B403" s="160"/>
      <c r="C403" s="160" t="s">
        <v>16</v>
      </c>
      <c r="D403" s="279" t="s">
        <v>77</v>
      </c>
      <c r="E403" s="161"/>
      <c r="F403" s="161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IFERROR(__xludf.DUMMYFUNCTION("IMPORTRANGE(""https://docs.google.com/spreadsheets/d/11923uPwbBZFjjGgGUA6NLw09EwE0CqkOc4q9oUmW1yo/edit?usp=sharing"",""พิจิตร!L298"")"),0)</f>
        <v>0</v>
      </c>
      <c r="M403" s="166"/>
      <c r="N403" s="170">
        <f ca="1">IFERROR(__xludf.DUMMYFUNCTION("IMPORTRANGE(""https://docs.google.com/spreadsheets/d/11923uPwbBZFjjGgGUA6NLw09EwE0CqkOc4q9oUmW1yo/edit?usp=sharing"",""พิจิตร!M298"")"),0)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>
      <c r="A404" s="159"/>
      <c r="B404" s="160"/>
      <c r="C404" s="160"/>
      <c r="D404" s="168"/>
      <c r="E404" s="161"/>
      <c r="F404" s="161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IFERROR(__xludf.DUMMYFUNCTION("IMPORTRANGE(""https://docs.google.com/spreadsheets/d/11923uPwbBZFjjGgGUA6NLw09EwE0CqkOc4q9oUmW1yo/edit?usp=sharing"",""พิจิตร!L299"")"),195900)</f>
        <v>195900</v>
      </c>
      <c r="M404" s="167"/>
      <c r="N404" s="170">
        <f ca="1">IFERROR(__xludf.DUMMYFUNCTION("IMPORTRANGE(""https://docs.google.com/spreadsheets/d/11923uPwbBZFjjGgGUA6NLw09EwE0CqkOc4q9oUmW1yo/edit?usp=sharing"",""พิจิตร!M299"")"),113749)</f>
        <v>113749</v>
      </c>
      <c r="O404" s="170">
        <f t="shared" ca="1" si="112"/>
        <v>58.064828994384889</v>
      </c>
      <c r="P404" s="170"/>
    </row>
    <row r="405" spans="1:16" ht="21.75" customHeight="1">
      <c r="A405" s="159"/>
      <c r="B405" s="160"/>
      <c r="C405" s="160"/>
      <c r="D405" s="168"/>
      <c r="E405" s="161"/>
      <c r="F405" s="161"/>
      <c r="G405" s="375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IFERROR(__xludf.DUMMYFUNCTION("IMPORTRANGE(""https://docs.google.com/spreadsheets/d/11923uPwbBZFjjGgGUA6NLw09EwE0CqkOc4q9oUmW1yo/edit?usp=sharing"",""พิจิตร!L300"")"),0)</f>
        <v>0</v>
      </c>
      <c r="M405" s="170"/>
      <c r="N405" s="170">
        <f ca="1">IFERROR(__xludf.DUMMYFUNCTION("IMPORTRANGE(""https://docs.google.com/spreadsheets/d/11923uPwbBZFjjGgGUA6NLw09EwE0CqkOc4q9oUmW1yo/edit?usp=sharing"",""พิจิตร!M300"")"),0)</f>
        <v>0</v>
      </c>
      <c r="O405" s="170">
        <f t="shared" ca="1" si="112"/>
        <v>0</v>
      </c>
      <c r="P405" s="170"/>
    </row>
    <row r="406" spans="1:16" ht="21.75" customHeight="1">
      <c r="A406" s="159"/>
      <c r="B406" s="160"/>
      <c r="C406" s="160"/>
      <c r="D406" s="168"/>
      <c r="E406" s="161"/>
      <c r="F406" s="161"/>
      <c r="G406" s="375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IFERROR(__xludf.DUMMYFUNCTION("IMPORTRANGE(""https://docs.google.com/spreadsheets/d/11923uPwbBZFjjGgGUA6NLw09EwE0CqkOc4q9oUmW1yo/edit?usp=sharing"",""พิจิตร!L301"")"),195900)</f>
        <v>195900</v>
      </c>
      <c r="M406" s="170"/>
      <c r="N406" s="170">
        <f ca="1">IFERROR(__xludf.DUMMYFUNCTION("IMPORTRANGE(""https://docs.google.com/spreadsheets/d/11923uPwbBZFjjGgGUA6NLw09EwE0CqkOc4q9oUmW1yo/edit?usp=sharing"",""พิจิตร!M301"")"),113749)</f>
        <v>113749</v>
      </c>
      <c r="O406" s="170">
        <f t="shared" ca="1" si="112"/>
        <v>58.064828994384889</v>
      </c>
      <c r="P406" s="170"/>
    </row>
    <row r="407" spans="1:16" ht="21.75" customHeight="1">
      <c r="A407" s="376"/>
      <c r="B407" s="377"/>
      <c r="C407" s="160"/>
      <c r="D407" s="378"/>
      <c r="E407" s="161"/>
      <c r="F407" s="161"/>
      <c r="G407" s="379" t="s">
        <v>131</v>
      </c>
      <c r="H407" s="163" t="s">
        <v>12</v>
      </c>
      <c r="I407" s="189"/>
      <c r="J407" s="189"/>
      <c r="K407" s="225"/>
      <c r="L407" s="170"/>
      <c r="M407" s="170"/>
      <c r="N407" s="380">
        <f ca="1">IFERROR(__xludf.DUMMYFUNCTION("IMPORTRANGE(""https://docs.google.com/spreadsheets/d/11923uPwbBZFjjGgGUA6NLw09EwE0CqkOc4q9oUmW1yo/edit?usp=sharing"",""พิจิตร!M302"")"),98549)</f>
        <v>98549</v>
      </c>
      <c r="O407" s="170"/>
      <c r="P407" s="170"/>
    </row>
    <row r="408" spans="1:16" ht="21.75" customHeight="1">
      <c r="A408" s="376"/>
      <c r="B408" s="377"/>
      <c r="C408" s="160"/>
      <c r="D408" s="378"/>
      <c r="E408" s="161"/>
      <c r="F408" s="161"/>
      <c r="G408" s="379" t="s">
        <v>132</v>
      </c>
      <c r="H408" s="163" t="s">
        <v>12</v>
      </c>
      <c r="I408" s="189"/>
      <c r="J408" s="189"/>
      <c r="K408" s="225"/>
      <c r="L408" s="170"/>
      <c r="M408" s="170"/>
      <c r="N408" s="380">
        <f ca="1">IFERROR(__xludf.DUMMYFUNCTION("IMPORTRANGE(""https://docs.google.com/spreadsheets/d/11923uPwbBZFjjGgGUA6NLw09EwE0CqkOc4q9oUmW1yo/edit?usp=sharing"",""พิจิตร!M303"")"),0)</f>
        <v>0</v>
      </c>
      <c r="O408" s="170"/>
      <c r="P408" s="170"/>
    </row>
    <row r="409" spans="1:16" ht="21.75" customHeight="1">
      <c r="A409" s="376"/>
      <c r="B409" s="377"/>
      <c r="C409" s="160"/>
      <c r="D409" s="378"/>
      <c r="E409" s="161"/>
      <c r="F409" s="161"/>
      <c r="G409" s="379" t="s">
        <v>133</v>
      </c>
      <c r="H409" s="163" t="s">
        <v>12</v>
      </c>
      <c r="I409" s="189"/>
      <c r="J409" s="189"/>
      <c r="K409" s="225"/>
      <c r="L409" s="170"/>
      <c r="M409" s="170"/>
      <c r="N409" s="380">
        <f ca="1">IFERROR(__xludf.DUMMYFUNCTION("IMPORTRANGE(""https://docs.google.com/spreadsheets/d/11923uPwbBZFjjGgGUA6NLw09EwE0CqkOc4q9oUmW1yo/edit?usp=sharing"",""พิจิตร!M304"")"),0)</f>
        <v>0</v>
      </c>
      <c r="O409" s="170"/>
      <c r="P409" s="170"/>
    </row>
    <row r="410" spans="1:16" ht="21.75" customHeight="1">
      <c r="A410" s="376"/>
      <c r="B410" s="377"/>
      <c r="C410" s="160"/>
      <c r="D410" s="378"/>
      <c r="E410" s="161"/>
      <c r="F410" s="161"/>
      <c r="G410" s="379" t="s">
        <v>134</v>
      </c>
      <c r="H410" s="163" t="s">
        <v>12</v>
      </c>
      <c r="I410" s="189"/>
      <c r="J410" s="189"/>
      <c r="K410" s="225"/>
      <c r="L410" s="170"/>
      <c r="M410" s="170"/>
      <c r="N410" s="380">
        <f ca="1">IFERROR(__xludf.DUMMYFUNCTION("IMPORTRANGE(""https://docs.google.com/spreadsheets/d/11923uPwbBZFjjGgGUA6NLw09EwE0CqkOc4q9oUmW1yo/edit?usp=sharing"",""พิจิตร!M305"")"),15200)</f>
        <v>15200</v>
      </c>
      <c r="O410" s="170"/>
      <c r="P410" s="170"/>
    </row>
    <row r="411" spans="1:16" ht="21.75" customHeight="1">
      <c r="A411" s="177"/>
      <c r="B411" s="178"/>
      <c r="C411" s="160" t="s">
        <v>16</v>
      </c>
      <c r="D411" s="179" t="s">
        <v>43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>
      <c r="A412" s="177"/>
      <c r="B412" s="178"/>
      <c r="C412" s="178"/>
      <c r="D412" s="184">
        <v>1</v>
      </c>
      <c r="E412" s="185" t="s">
        <v>44</v>
      </c>
      <c r="F412" s="186"/>
      <c r="G412" s="187"/>
      <c r="H412" s="188"/>
      <c r="I412" s="189"/>
      <c r="J412" s="199">
        <f ca="1">IFERROR(__xludf.DUMMYFUNCTION("IMPORTRANGE(""https://docs.google.com/spreadsheets/d/11923uPwbBZFjjGgGUA6NLw09EwE0CqkOc4q9oUmW1yo/edit?usp=sharing"",""พิจิตร!J307"")"),0)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>
      <c r="A413" s="177"/>
      <c r="B413" s="178"/>
      <c r="C413" s="178"/>
      <c r="D413" s="191">
        <v>2</v>
      </c>
      <c r="E413" s="192" t="s">
        <v>45</v>
      </c>
      <c r="F413" s="193"/>
      <c r="G413" s="194"/>
      <c r="H413" s="188"/>
      <c r="I413" s="189"/>
      <c r="J413" s="190">
        <f ca="1">IFERROR(__xludf.DUMMYFUNCTION("IMPORTRANGE(""https://docs.google.com/spreadsheets/d/11923uPwbBZFjjGgGUA6NLw09EwE0CqkOc4q9oUmW1yo/edit?usp=sharing"",""พิจิตร!J308"")"),1)</f>
        <v>1</v>
      </c>
      <c r="K413" s="165"/>
      <c r="L413" s="183" t="s">
        <v>39</v>
      </c>
      <c r="M413" s="183"/>
      <c r="N413" s="183" t="s">
        <v>39</v>
      </c>
      <c r="O413" s="183"/>
      <c r="P413" s="183"/>
    </row>
    <row r="414" spans="1:16" ht="21.75" customHeight="1">
      <c r="A414" s="177"/>
      <c r="B414" s="178"/>
      <c r="C414" s="178"/>
      <c r="D414" s="195"/>
      <c r="E414" s="196" t="s">
        <v>46</v>
      </c>
      <c r="F414" s="197"/>
      <c r="G414" s="198"/>
      <c r="H414" s="188"/>
      <c r="I414" s="189"/>
      <c r="J414" s="190">
        <f ca="1">IFERROR(__xludf.DUMMYFUNCTION("IMPORTRANGE(""https://docs.google.com/spreadsheets/d/11923uPwbBZFjjGgGUA6NLw09EwE0CqkOc4q9oUmW1yo/edit?usp=sharing"",""พิจิตร!J309"")"),0)</f>
        <v>0</v>
      </c>
      <c r="K414" s="165"/>
      <c r="L414" s="183"/>
      <c r="M414" s="183"/>
      <c r="N414" s="183"/>
      <c r="O414" s="183"/>
      <c r="P414" s="183"/>
    </row>
    <row r="415" spans="1:16" ht="21.75" customHeight="1">
      <c r="A415" s="177"/>
      <c r="B415" s="178"/>
      <c r="C415" s="178"/>
      <c r="D415" s="195"/>
      <c r="E415" s="196" t="s">
        <v>47</v>
      </c>
      <c r="F415" s="197"/>
      <c r="G415" s="198"/>
      <c r="H415" s="188"/>
      <c r="I415" s="189"/>
      <c r="J415" s="199">
        <f ca="1">IFERROR(__xludf.DUMMYFUNCTION("IMPORTRANGE(""https://docs.google.com/spreadsheets/d/11923uPwbBZFjjGgGUA6NLw09EwE0CqkOc4q9oUmW1yo/edit?usp=sharing"",""พิจิตร!J310"")"),1)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>
      <c r="A416" s="177"/>
      <c r="B416" s="178"/>
      <c r="C416" s="178"/>
      <c r="D416" s="195"/>
      <c r="E416" s="200"/>
      <c r="F416" s="196" t="s">
        <v>69</v>
      </c>
      <c r="G416" s="389"/>
      <c r="H416" s="390" t="s">
        <v>37</v>
      </c>
      <c r="I416" s="202">
        <f ca="1">IFERROR(__xludf.DUMMYFUNCTION("IMPORTRANGE(""https://docs.google.com/spreadsheets/d/11923uPwbBZFjjGgGUA6NLw09EwE0CqkOc4q9oUmW1yo/edit?usp=sharing"",""พิจิตร!I311"")"),58)</f>
        <v>58</v>
      </c>
      <c r="J416" s="202">
        <f ca="1">IFERROR(__xludf.DUMMYFUNCTION("IMPORTRANGE(""https://docs.google.com/spreadsheets/d/11923uPwbBZFjjGgGUA6NLw09EwE0CqkOc4q9oUmW1yo/edit?usp=sharing"",""พิจิตร!J311"")"),58)</f>
        <v>58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>
      <c r="A417" s="177"/>
      <c r="B417" s="178"/>
      <c r="C417" s="178"/>
      <c r="D417" s="195"/>
      <c r="E417" s="200"/>
      <c r="F417" s="391" t="s">
        <v>148</v>
      </c>
      <c r="G417" s="198"/>
      <c r="H417" s="201" t="s">
        <v>37</v>
      </c>
      <c r="I417" s="392">
        <f ca="1">IFERROR(__xludf.DUMMYFUNCTION("IMPORTRANGE(""https://docs.google.com/spreadsheets/d/11923uPwbBZFjjGgGUA6NLw09EwE0CqkOc4q9oUmW1yo/edit?usp=sharing"",""พิจิตร!I312"")"),10)</f>
        <v>10</v>
      </c>
      <c r="J417" s="393">
        <f ca="1">IFERROR(__xludf.DUMMYFUNCTION("IMPORTRANGE(""https://docs.google.com/spreadsheets/d/11923uPwbBZFjjGgGUA6NLw09EwE0CqkOc4q9oUmW1yo/edit?usp=sharing"",""พิจิตร!J312"")"),10)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2">
        <f ca="1">IFERROR(__xludf.DUMMYFUNCTION("IMPORTRANGE(""https://docs.google.com/spreadsheets/d/11923uPwbBZFjjGgGUA6NLw09EwE0CqkOc4q9oUmW1yo/edit?usp=sharing"",""พิจิตร!I313"")"),30)</f>
        <v>30</v>
      </c>
      <c r="J418" s="394">
        <f ca="1">IFERROR(__xludf.DUMMYFUNCTION("IMPORTRANGE(""https://docs.google.com/spreadsheets/d/11923uPwbBZFjjGgGUA6NLw09EwE0CqkOc4q9oUmW1yo/edit?usp=sharing"",""พิจิตร!J313"")"),30)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2">
        <f ca="1">IFERROR(__xludf.DUMMYFUNCTION("IMPORTRANGE(""https://docs.google.com/spreadsheets/d/11923uPwbBZFjjGgGUA6NLw09EwE0CqkOc4q9oUmW1yo/edit?usp=sharing"",""พิจิตร!I314"")"),10)</f>
        <v>10</v>
      </c>
      <c r="J419" s="395">
        <f ca="1">IFERROR(__xludf.DUMMYFUNCTION("IMPORTRANGE(""https://docs.google.com/spreadsheets/d/11923uPwbBZFjjGgGUA6NLw09EwE0CqkOc4q9oUmW1yo/edit?usp=sharing"",""พิจิตร!J314"")"),10)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>
      <c r="A420" s="235"/>
      <c r="B420" s="236"/>
      <c r="C420" s="236"/>
      <c r="D420" s="396"/>
      <c r="E420" s="397"/>
      <c r="F420" s="348"/>
      <c r="G420" s="398" t="s">
        <v>150</v>
      </c>
      <c r="H420" s="350" t="s">
        <v>37</v>
      </c>
      <c r="I420" s="399">
        <f ca="1">IFERROR(__xludf.DUMMYFUNCTION("IMPORTRANGE(""https://docs.google.com/spreadsheets/d/11923uPwbBZFjjGgGUA6NLw09EwE0CqkOc4q9oUmW1yo/edit?usp=sharing"",""พิจิตร!I315"")"),10)</f>
        <v>10</v>
      </c>
      <c r="J420" s="395">
        <f ca="1">IFERROR(__xludf.DUMMYFUNCTION("IMPORTRANGE(""https://docs.google.com/spreadsheets/d/11923uPwbBZFjjGgGUA6NLw09EwE0CqkOc4q9oUmW1yo/edit?usp=sharing"",""พิจิตร!J315"")"),10)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>
      <c r="A421" s="177"/>
      <c r="B421" s="178"/>
      <c r="C421" s="178"/>
      <c r="D421" s="195"/>
      <c r="E421" s="200"/>
      <c r="F421" s="391" t="s">
        <v>151</v>
      </c>
      <c r="G421" s="198"/>
      <c r="H421" s="201" t="s">
        <v>37</v>
      </c>
      <c r="I421" s="392">
        <f ca="1">IFERROR(__xludf.DUMMYFUNCTION("IMPORTRANGE(""https://docs.google.com/spreadsheets/d/11923uPwbBZFjjGgGUA6NLw09EwE0CqkOc4q9oUmW1yo/edit?usp=sharing"",""พิจิตร!I316"")"),38)</f>
        <v>38</v>
      </c>
      <c r="J421" s="393">
        <f ca="1">IFERROR(__xludf.DUMMYFUNCTION("IMPORTRANGE(""https://docs.google.com/spreadsheets/d/11923uPwbBZFjjGgGUA6NLw09EwE0CqkOc4q9oUmW1yo/edit?usp=sharing"",""พิจิตร!J316"")"),38)</f>
        <v>38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2">
        <f ca="1">IFERROR(__xludf.DUMMYFUNCTION("IMPORTRANGE(""https://docs.google.com/spreadsheets/d/11923uPwbBZFjjGgGUA6NLw09EwE0CqkOc4q9oUmW1yo/edit?usp=sharing"",""พิจิตร!I317"")"),114)</f>
        <v>114</v>
      </c>
      <c r="J422" s="394">
        <f ca="1">IFERROR(__xludf.DUMMYFUNCTION("IMPORTRANGE(""https://docs.google.com/spreadsheets/d/11923uPwbBZFjjGgGUA6NLw09EwE0CqkOc4q9oUmW1yo/edit?usp=sharing"",""พิจิตร!J317"")"),114)</f>
        <v>114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2">
        <f ca="1">IFERROR(__xludf.DUMMYFUNCTION("IMPORTRANGE(""https://docs.google.com/spreadsheets/d/11923uPwbBZFjjGgGUA6NLw09EwE0CqkOc4q9oUmW1yo/edit?usp=sharing"",""พิจิตร!I318"")"),38)</f>
        <v>38</v>
      </c>
      <c r="J423" s="395">
        <f ca="1">IFERROR(__xludf.DUMMYFUNCTION("IMPORTRANGE(""https://docs.google.com/spreadsheets/d/11923uPwbBZFjjGgGUA6NLw09EwE0CqkOc4q9oUmW1yo/edit?usp=sharing"",""พิจิตร!J318"")"),38)</f>
        <v>38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2">
        <f ca="1">IFERROR(__xludf.DUMMYFUNCTION("IMPORTRANGE(""https://docs.google.com/spreadsheets/d/11923uPwbBZFjjGgGUA6NLw09EwE0CqkOc4q9oUmW1yo/edit?usp=sharing"",""พิจิตร!I319"")"),38)</f>
        <v>38</v>
      </c>
      <c r="J424" s="395">
        <f ca="1">IFERROR(__xludf.DUMMYFUNCTION("IMPORTRANGE(""https://docs.google.com/spreadsheets/d/11923uPwbBZFjjGgGUA6NLw09EwE0CqkOc4q9oUmW1yo/edit?usp=sharing"",""พิจิตร!J319"")"),38)</f>
        <v>38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2">
        <f ca="1">IFERROR(__xludf.DUMMYFUNCTION("IMPORTRANGE(""https://docs.google.com/spreadsheets/d/11923uPwbBZFjjGgGUA6NLw09EwE0CqkOc4q9oUmW1yo/edit?usp=sharing"",""พิจิตร!I320"")"),38)</f>
        <v>38</v>
      </c>
      <c r="J425" s="395">
        <f ca="1">IFERROR(__xludf.DUMMYFUNCTION("IMPORTRANGE(""https://docs.google.com/spreadsheets/d/11923uPwbBZFjjGgGUA6NLw09EwE0CqkOc4q9oUmW1yo/edit?usp=sharing"",""พิจิตร!J320"")"),38)</f>
        <v>38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>
      <c r="A426" s="177"/>
      <c r="B426" s="178"/>
      <c r="C426" s="178"/>
      <c r="D426" s="195"/>
      <c r="E426" s="200"/>
      <c r="F426" s="400" t="s">
        <v>155</v>
      </c>
      <c r="G426" s="198"/>
      <c r="H426" s="201" t="s">
        <v>37</v>
      </c>
      <c r="I426" s="392">
        <f ca="1">IFERROR(__xludf.DUMMYFUNCTION("IMPORTRANGE(""https://docs.google.com/spreadsheets/d/11923uPwbBZFjjGgGUA6NLw09EwE0CqkOc4q9oUmW1yo/edit?usp=sharing"",""พิจิตร!I321"")"),10)</f>
        <v>10</v>
      </c>
      <c r="J426" s="393">
        <f ca="1">IFERROR(__xludf.DUMMYFUNCTION("IMPORTRANGE(""https://docs.google.com/spreadsheets/d/11923uPwbBZFjjGgGUA6NLw09EwE0CqkOc4q9oUmW1yo/edit?usp=sharing"",""พิจิตร!J321"")"),10)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2">
        <f ca="1">IFERROR(__xludf.DUMMYFUNCTION("IMPORTRANGE(""https://docs.google.com/spreadsheets/d/11923uPwbBZFjjGgGUA6NLw09EwE0CqkOc4q9oUmW1yo/edit?usp=sharing"",""พิจิตร!I322"")"),30)</f>
        <v>30</v>
      </c>
      <c r="J427" s="394">
        <f ca="1">IFERROR(__xludf.DUMMYFUNCTION("IMPORTRANGE(""https://docs.google.com/spreadsheets/d/11923uPwbBZFjjGgGUA6NLw09EwE0CqkOc4q9oUmW1yo/edit?usp=sharing"",""พิจิตร!J322"")"),30)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1">
        <f ca="1">IFERROR(__xludf.DUMMYFUNCTION("IMPORTRANGE(""https://docs.google.com/spreadsheets/d/11923uPwbBZFjjGgGUA6NLw09EwE0CqkOc4q9oUmW1yo/edit?usp=sharing"",""พิจิตร!I323"")"),10)</f>
        <v>10</v>
      </c>
      <c r="J428" s="395">
        <f ca="1">IFERROR(__xludf.DUMMYFUNCTION("IMPORTRANGE(""https://docs.google.com/spreadsheets/d/11923uPwbBZFjjGgGUA6NLw09EwE0CqkOc4q9oUmW1yo/edit?usp=sharing"",""พิจิตร!J323"")"),10)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1">
        <f ca="1">IFERROR(__xludf.DUMMYFUNCTION("IMPORTRANGE(""https://docs.google.com/spreadsheets/d/11923uPwbBZFjjGgGUA6NLw09EwE0CqkOc4q9oUmW1yo/edit?usp=sharing"",""พิจิตร!I324"")"),10)</f>
        <v>10</v>
      </c>
      <c r="J429" s="395">
        <f ca="1">IFERROR(__xludf.DUMMYFUNCTION("IMPORTRANGE(""https://docs.google.com/spreadsheets/d/11923uPwbBZFjjGgGUA6NLw09EwE0CqkOc4q9oUmW1yo/edit?usp=sharing"",""พิจิตร!J324"")"),10)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>
      <c r="A430" s="177"/>
      <c r="B430" s="178"/>
      <c r="C430" s="178"/>
      <c r="D430" s="195"/>
      <c r="E430" s="200"/>
      <c r="F430" s="196" t="s">
        <v>52</v>
      </c>
      <c r="G430" s="389"/>
      <c r="H430" s="402" t="s">
        <v>37</v>
      </c>
      <c r="I430" s="202">
        <f ca="1">IFERROR(__xludf.DUMMYFUNCTION("IMPORTRANGE(""https://docs.google.com/spreadsheets/d/11923uPwbBZFjjGgGUA6NLw09EwE0CqkOc4q9oUmW1yo/edit?usp=sharing"",""พิจิตร!I325"")"),48)</f>
        <v>48</v>
      </c>
      <c r="J430" s="393">
        <f ca="1">IFERROR(__xludf.DUMMYFUNCTION("IMPORTRANGE(""https://docs.google.com/spreadsheets/d/11923uPwbBZFjjGgGUA6NLw09EwE0CqkOc4q9oUmW1yo/edit?usp=sharing"",""พิจิตร!J325"")"),0)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>
      <c r="A431" s="403"/>
      <c r="B431" s="404"/>
      <c r="C431" s="404"/>
      <c r="D431" s="405"/>
      <c r="E431" s="200"/>
      <c r="F431" s="197"/>
      <c r="G431" s="227" t="s">
        <v>158</v>
      </c>
      <c r="H431" s="182" t="s">
        <v>37</v>
      </c>
      <c r="I431" s="401">
        <f ca="1">IFERROR(__xludf.DUMMYFUNCTION("IMPORTRANGE(""https://docs.google.com/spreadsheets/d/11923uPwbBZFjjGgGUA6NLw09EwE0CqkOc4q9oUmW1yo/edit?usp=sharing"",""พิจิตร!I326"")"),10)</f>
        <v>10</v>
      </c>
      <c r="J431" s="395">
        <f ca="1">IFERROR(__xludf.DUMMYFUNCTION("IMPORTRANGE(""https://docs.google.com/spreadsheets/d/11923uPwbBZFjjGgGUA6NLw09EwE0CqkOc4q9oUmW1yo/edit?usp=sharing"",""พิจิตร!J326"")"),0)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>
      <c r="A432" s="403"/>
      <c r="B432" s="404"/>
      <c r="C432" s="404"/>
      <c r="D432" s="405"/>
      <c r="E432" s="200"/>
      <c r="F432" s="197"/>
      <c r="G432" s="227" t="s">
        <v>159</v>
      </c>
      <c r="H432" s="182" t="s">
        <v>37</v>
      </c>
      <c r="I432" s="401">
        <f ca="1">IFERROR(__xludf.DUMMYFUNCTION("IMPORTRANGE(""https://docs.google.com/spreadsheets/d/11923uPwbBZFjjGgGUA6NLw09EwE0CqkOc4q9oUmW1yo/edit?usp=sharing"",""พิจิตร!I327"")"),38)</f>
        <v>38</v>
      </c>
      <c r="J432" s="395">
        <f ca="1">IFERROR(__xludf.DUMMYFUNCTION("IMPORTRANGE(""https://docs.google.com/spreadsheets/d/11923uPwbBZFjjGgGUA6NLw09EwE0CqkOc4q9oUmW1yo/edit?usp=sharing"",""พิจิตร!J327"")"),0)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>
      <c r="A433" s="177"/>
      <c r="B433" s="178"/>
      <c r="C433" s="178"/>
      <c r="D433" s="195"/>
      <c r="E433" s="196" t="s">
        <v>53</v>
      </c>
      <c r="F433" s="197"/>
      <c r="G433" s="198"/>
      <c r="H433" s="188"/>
      <c r="I433" s="189"/>
      <c r="J433" s="199">
        <f ca="1">IFERROR(__xludf.DUMMYFUNCTION("IMPORTRANGE(""https://docs.google.com/spreadsheets/d/11923uPwbBZFjjGgGUA6NLw09EwE0CqkOc4q9oUmW1yo/edit?usp=sharing"",""พิจิตร!J328"")"),0)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>
      <c r="A434" s="177"/>
      <c r="B434" s="178"/>
      <c r="C434" s="178"/>
      <c r="D434" s="207">
        <v>3</v>
      </c>
      <c r="E434" s="208" t="s">
        <v>54</v>
      </c>
      <c r="F434" s="209"/>
      <c r="G434" s="210"/>
      <c r="H434" s="188"/>
      <c r="I434" s="189"/>
      <c r="J434" s="211">
        <f ca="1">IFERROR(__xludf.DUMMYFUNCTION("IMPORTRANGE(""https://docs.google.com/spreadsheets/d/11923uPwbBZFjjGgGUA6NLw09EwE0CqkOc4q9oUmW1yo/edit?usp=sharing"",""พิจิตร!J329"")"),0)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>
      <c r="A435" s="406"/>
      <c r="B435" s="407">
        <v>4</v>
      </c>
      <c r="C435" s="407" t="s">
        <v>160</v>
      </c>
      <c r="D435" s="408"/>
      <c r="E435" s="408"/>
      <c r="F435" s="408"/>
      <c r="G435" s="409"/>
      <c r="H435" s="410" t="s">
        <v>37</v>
      </c>
      <c r="I435" s="411">
        <f ca="1">IFERROR(__xludf.DUMMYFUNCTION("IMPORTRANGE(""https://docs.google.com/spreadsheets/d/11923uPwbBZFjjGgGUA6NLw09EwE0CqkOc4q9oUmW1yo/edit?usp=sharing"",""พิจิตร!I330"")"),15)</f>
        <v>15</v>
      </c>
      <c r="J435" s="411">
        <f ca="1">IFERROR(__xludf.DUMMYFUNCTION("IMPORTRANGE(""https://docs.google.com/spreadsheets/d/11923uPwbBZFjjGgGUA6NLw09EwE0CqkOc4q9oUmW1yo/edit?usp=sharing"",""พิจิตร!J330"")"),15)</f>
        <v>15</v>
      </c>
      <c r="K435" s="412">
        <f ca="1">IF(I435&gt;0,J435*100/I435,0)</f>
        <v>100</v>
      </c>
      <c r="L435" s="413">
        <f ca="1">IFERROR(__xludf.DUMMYFUNCTION("IMPORTRANGE(""https://docs.google.com/spreadsheets/d/11923uPwbBZFjjGgGUA6NLw09EwE0CqkOc4q9oUmW1yo/edit?usp=sharing"",""พิจิตร!L330"")"),106000)</f>
        <v>106000</v>
      </c>
      <c r="M435" s="413"/>
      <c r="N435" s="413">
        <f ca="1">IFERROR(__xludf.DUMMYFUNCTION("IMPORTRANGE(""https://docs.google.com/spreadsheets/d/11923uPwbBZFjjGgGUA6NLw09EwE0CqkOc4q9oUmW1yo/edit?usp=sharing"",""พิจิตร!M330"")"),68866)</f>
        <v>68866</v>
      </c>
      <c r="O435" s="413">
        <f t="shared" ref="O435:O439" ca="1" si="114">+IF(L435&gt;0,N435*100/L435,0)</f>
        <v>64.967924528301893</v>
      </c>
      <c r="P435" s="413"/>
    </row>
    <row r="436" spans="1:16" ht="21.75" customHeight="1">
      <c r="A436" s="159"/>
      <c r="B436" s="160"/>
      <c r="C436" s="160" t="s">
        <v>16</v>
      </c>
      <c r="D436" s="279" t="s">
        <v>77</v>
      </c>
      <c r="E436" s="161"/>
      <c r="F436" s="161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IFERROR(__xludf.DUMMYFUNCTION("IMPORTRANGE(""https://docs.google.com/spreadsheets/d/11923uPwbBZFjjGgGUA6NLw09EwE0CqkOc4q9oUmW1yo/edit?usp=sharing"",""พิจิตร!L331"")"),0)</f>
        <v>0</v>
      </c>
      <c r="M436" s="166"/>
      <c r="N436" s="170">
        <f ca="1">IFERROR(__xludf.DUMMYFUNCTION("IMPORTRANGE(""https://docs.google.com/spreadsheets/d/11923uPwbBZFjjGgGUA6NLw09EwE0CqkOc4q9oUmW1yo/edit?usp=sharing"",""พิจิตร!M331"")"),0)</f>
        <v>0</v>
      </c>
      <c r="O436" s="170">
        <f t="shared" ca="1" si="114"/>
        <v>0</v>
      </c>
      <c r="P436" s="170"/>
    </row>
    <row r="437" spans="1:16" ht="21.75" customHeight="1">
      <c r="A437" s="159"/>
      <c r="B437" s="160"/>
      <c r="C437" s="160"/>
      <c r="D437" s="168"/>
      <c r="E437" s="161"/>
      <c r="F437" s="161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IFERROR(__xludf.DUMMYFUNCTION("IMPORTRANGE(""https://docs.google.com/spreadsheets/d/11923uPwbBZFjjGgGUA6NLw09EwE0CqkOc4q9oUmW1yo/edit?usp=sharing"",""พิจิตร!L332"")"),106000)</f>
        <v>106000</v>
      </c>
      <c r="M437" s="167"/>
      <c r="N437" s="170">
        <f ca="1">IFERROR(__xludf.DUMMYFUNCTION("IMPORTRANGE(""https://docs.google.com/spreadsheets/d/11923uPwbBZFjjGgGUA6NLw09EwE0CqkOc4q9oUmW1yo/edit?usp=sharing"",""พิจิตร!M332"")"),68866)</f>
        <v>68866</v>
      </c>
      <c r="O437" s="170">
        <f t="shared" ca="1" si="114"/>
        <v>64.967924528301893</v>
      </c>
      <c r="P437" s="170"/>
    </row>
    <row r="438" spans="1:16" ht="21.75" customHeight="1">
      <c r="A438" s="159"/>
      <c r="B438" s="160"/>
      <c r="C438" s="160"/>
      <c r="D438" s="168"/>
      <c r="E438" s="161"/>
      <c r="F438" s="161"/>
      <c r="G438" s="375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IFERROR(__xludf.DUMMYFUNCTION("IMPORTRANGE(""https://docs.google.com/spreadsheets/d/11923uPwbBZFjjGgGUA6NLw09EwE0CqkOc4q9oUmW1yo/edit?usp=sharing"",""พิจิตร!L333"")"),0)</f>
        <v>0</v>
      </c>
      <c r="M438" s="170"/>
      <c r="N438" s="170">
        <f ca="1">IFERROR(__xludf.DUMMYFUNCTION("IMPORTRANGE(""https://docs.google.com/spreadsheets/d/11923uPwbBZFjjGgGUA6NLw09EwE0CqkOc4q9oUmW1yo/edit?usp=sharing"",""พิจิตร!M333"")"),0)</f>
        <v>0</v>
      </c>
      <c r="O438" s="170">
        <f t="shared" ca="1" si="114"/>
        <v>0</v>
      </c>
      <c r="P438" s="170"/>
    </row>
    <row r="439" spans="1:16" ht="21.75" customHeight="1">
      <c r="A439" s="159"/>
      <c r="B439" s="160"/>
      <c r="C439" s="160"/>
      <c r="D439" s="168"/>
      <c r="E439" s="161"/>
      <c r="F439" s="161"/>
      <c r="G439" s="375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IFERROR(__xludf.DUMMYFUNCTION("IMPORTRANGE(""https://docs.google.com/spreadsheets/d/11923uPwbBZFjjGgGUA6NLw09EwE0CqkOc4q9oUmW1yo/edit?usp=sharing"",""พิจิตร!L334"")"),106000)</f>
        <v>106000</v>
      </c>
      <c r="M439" s="170"/>
      <c r="N439" s="170">
        <f ca="1">IFERROR(__xludf.DUMMYFUNCTION("IMPORTRANGE(""https://docs.google.com/spreadsheets/d/11923uPwbBZFjjGgGUA6NLw09EwE0CqkOc4q9oUmW1yo/edit?usp=sharing"",""พิจิตร!M334"")"),68866)</f>
        <v>68866</v>
      </c>
      <c r="O439" s="170">
        <f t="shared" ca="1" si="114"/>
        <v>64.967924528301893</v>
      </c>
      <c r="P439" s="170"/>
    </row>
    <row r="440" spans="1:16" ht="21.75" customHeight="1">
      <c r="A440" s="376"/>
      <c r="B440" s="377"/>
      <c r="C440" s="160"/>
      <c r="D440" s="378"/>
      <c r="E440" s="161"/>
      <c r="F440" s="161"/>
      <c r="G440" s="379" t="s">
        <v>131</v>
      </c>
      <c r="H440" s="163" t="s">
        <v>12</v>
      </c>
      <c r="I440" s="189"/>
      <c r="J440" s="189"/>
      <c r="K440" s="225"/>
      <c r="L440" s="170"/>
      <c r="M440" s="170"/>
      <c r="N440" s="380">
        <f ca="1">IFERROR(__xludf.DUMMYFUNCTION("IMPORTRANGE(""https://docs.google.com/spreadsheets/d/11923uPwbBZFjjGgGUA6NLw09EwE0CqkOc4q9oUmW1yo/edit?usp=sharing"",""พิจิตร!M335"")"),32191)</f>
        <v>32191</v>
      </c>
      <c r="O440" s="170"/>
      <c r="P440" s="170"/>
    </row>
    <row r="441" spans="1:16" ht="21.75" customHeight="1">
      <c r="A441" s="376"/>
      <c r="B441" s="377"/>
      <c r="C441" s="160"/>
      <c r="D441" s="378"/>
      <c r="E441" s="161"/>
      <c r="F441" s="161"/>
      <c r="G441" s="379" t="s">
        <v>132</v>
      </c>
      <c r="H441" s="163" t="s">
        <v>12</v>
      </c>
      <c r="I441" s="189"/>
      <c r="J441" s="189"/>
      <c r="K441" s="225"/>
      <c r="L441" s="170"/>
      <c r="M441" s="170"/>
      <c r="N441" s="380">
        <f ca="1">IFERROR(__xludf.DUMMYFUNCTION("IMPORTRANGE(""https://docs.google.com/spreadsheets/d/11923uPwbBZFjjGgGUA6NLw09EwE0CqkOc4q9oUmW1yo/edit?usp=sharing"",""พิจิตร!M336"")"),0)</f>
        <v>0</v>
      </c>
      <c r="O441" s="170"/>
      <c r="P441" s="170"/>
    </row>
    <row r="442" spans="1:16" ht="21.75" customHeight="1">
      <c r="A442" s="376"/>
      <c r="B442" s="377"/>
      <c r="C442" s="160"/>
      <c r="D442" s="378"/>
      <c r="E442" s="161"/>
      <c r="F442" s="161"/>
      <c r="G442" s="379" t="s">
        <v>133</v>
      </c>
      <c r="H442" s="163" t="s">
        <v>12</v>
      </c>
      <c r="I442" s="189"/>
      <c r="J442" s="189"/>
      <c r="K442" s="225"/>
      <c r="L442" s="170"/>
      <c r="M442" s="170"/>
      <c r="N442" s="380">
        <f ca="1">IFERROR(__xludf.DUMMYFUNCTION("IMPORTRANGE(""https://docs.google.com/spreadsheets/d/11923uPwbBZFjjGgGUA6NLw09EwE0CqkOc4q9oUmW1yo/edit?usp=sharing"",""พิจิตร!M337"")"),0)</f>
        <v>0</v>
      </c>
      <c r="O442" s="170"/>
      <c r="P442" s="170"/>
    </row>
    <row r="443" spans="1:16" ht="21.75" customHeight="1">
      <c r="A443" s="376"/>
      <c r="B443" s="377"/>
      <c r="C443" s="160"/>
      <c r="D443" s="378"/>
      <c r="E443" s="161"/>
      <c r="F443" s="161"/>
      <c r="G443" s="379" t="s">
        <v>134</v>
      </c>
      <c r="H443" s="163" t="s">
        <v>12</v>
      </c>
      <c r="I443" s="189"/>
      <c r="J443" s="189"/>
      <c r="K443" s="225"/>
      <c r="L443" s="170"/>
      <c r="M443" s="170"/>
      <c r="N443" s="380">
        <f ca="1">IFERROR(__xludf.DUMMYFUNCTION("IMPORTRANGE(""https://docs.google.com/spreadsheets/d/11923uPwbBZFjjGgGUA6NLw09EwE0CqkOc4q9oUmW1yo/edit?usp=sharing"",""พิจิตร!M338"")"),36675)</f>
        <v>36675</v>
      </c>
      <c r="O443" s="170"/>
      <c r="P443" s="170"/>
    </row>
    <row r="444" spans="1:16" ht="21.75" customHeight="1">
      <c r="A444" s="177"/>
      <c r="B444" s="178"/>
      <c r="C444" s="160" t="s">
        <v>16</v>
      </c>
      <c r="D444" s="179" t="s">
        <v>43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>
      <c r="A445" s="177"/>
      <c r="B445" s="178"/>
      <c r="C445" s="178"/>
      <c r="D445" s="184">
        <v>1</v>
      </c>
      <c r="E445" s="185" t="s">
        <v>44</v>
      </c>
      <c r="F445" s="186"/>
      <c r="G445" s="187"/>
      <c r="H445" s="188"/>
      <c r="I445" s="189"/>
      <c r="J445" s="211">
        <f ca="1">IFERROR(__xludf.DUMMYFUNCTION("IMPORTRANGE(""https://docs.google.com/spreadsheets/d/11923uPwbBZFjjGgGUA6NLw09EwE0CqkOc4q9oUmW1yo/edit?usp=sharing"",""พิจิตร!J340"")"),0)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>
      <c r="A446" s="177"/>
      <c r="B446" s="178"/>
      <c r="C446" s="178"/>
      <c r="D446" s="191">
        <v>2</v>
      </c>
      <c r="E446" s="192" t="s">
        <v>45</v>
      </c>
      <c r="F446" s="193"/>
      <c r="G446" s="194"/>
      <c r="H446" s="188"/>
      <c r="I446" s="189"/>
      <c r="J446" s="414">
        <f ca="1">IFERROR(__xludf.DUMMYFUNCTION("IMPORTRANGE(""https://docs.google.com/spreadsheets/d/11923uPwbBZFjjGgGUA6NLw09EwE0CqkOc4q9oUmW1yo/edit?usp=sharing"",""พิจิตร!J341"")"),1)</f>
        <v>1</v>
      </c>
      <c r="K446" s="165"/>
      <c r="L446" s="183" t="s">
        <v>39</v>
      </c>
      <c r="M446" s="183"/>
      <c r="N446" s="183" t="s">
        <v>39</v>
      </c>
      <c r="O446" s="183"/>
      <c r="P446" s="183"/>
    </row>
    <row r="447" spans="1:16" ht="21.75" customHeight="1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IFERROR(__xludf.DUMMYFUNCTION("IMPORTRANGE(""https://docs.google.com/spreadsheets/d/11923uPwbBZFjjGgGUA6NLw09EwE0CqkOc4q9oUmW1yo/edit?usp=sharing"",""พิจิตร!J342"")"),0)</f>
        <v>0</v>
      </c>
      <c r="K447" s="165"/>
      <c r="L447" s="183"/>
      <c r="M447" s="183"/>
      <c r="N447" s="183"/>
      <c r="O447" s="183"/>
      <c r="P447" s="183"/>
    </row>
    <row r="448" spans="1:16" ht="21.75" customHeight="1">
      <c r="A448" s="177"/>
      <c r="B448" s="178"/>
      <c r="C448" s="178"/>
      <c r="D448" s="195"/>
      <c r="E448" s="196" t="s">
        <v>47</v>
      </c>
      <c r="F448" s="197"/>
      <c r="G448" s="198"/>
      <c r="H448" s="188"/>
      <c r="I448" s="189"/>
      <c r="J448" s="190">
        <f ca="1">IFERROR(__xludf.DUMMYFUNCTION("IMPORTRANGE(""https://docs.google.com/spreadsheets/d/11923uPwbBZFjjGgGUA6NLw09EwE0CqkOc4q9oUmW1yo/edit?usp=sharing"",""พิจิตร!J343"")"),1)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>
      <c r="A449" s="177"/>
      <c r="B449" s="178"/>
      <c r="C449" s="178"/>
      <c r="D449" s="195"/>
      <c r="E449" s="200"/>
      <c r="F449" s="415" t="s">
        <v>101</v>
      </c>
      <c r="G449" s="198"/>
      <c r="H449" s="188" t="s">
        <v>37</v>
      </c>
      <c r="I449" s="392">
        <f ca="1">IFERROR(__xludf.DUMMYFUNCTION("IMPORTRANGE(""https://docs.google.com/spreadsheets/d/11923uPwbBZFjjGgGUA6NLw09EwE0CqkOc4q9oUmW1yo/edit?usp=sharing"",""พิจิตร!I344"")"),15)</f>
        <v>15</v>
      </c>
      <c r="J449" s="202">
        <f ca="1">IFERROR(__xludf.DUMMYFUNCTION("IMPORTRANGE(""https://docs.google.com/spreadsheets/d/11923uPwbBZFjjGgGUA6NLw09EwE0CqkOc4q9oUmW1yo/edit?usp=sharing"",""พิจิตร!J344"")"),15)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2">
        <f ca="1">IFERROR(__xludf.DUMMYFUNCTION("IMPORTRANGE(""https://docs.google.com/spreadsheets/d/11923uPwbBZFjjGgGUA6NLw09EwE0CqkOc4q9oUmW1yo/edit?usp=sharing"",""พิจิตร!I345"")"),15)</f>
        <v>15</v>
      </c>
      <c r="J450" s="190">
        <f ca="1">IFERROR(__xludf.DUMMYFUNCTION("IMPORTRANGE(""https://docs.google.com/spreadsheets/d/11923uPwbBZFjjGgGUA6NLw09EwE0CqkOc4q9oUmW1yo/edit?usp=sharing"",""พิจิตร!J345"")"),15)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>
      <c r="A451" s="177"/>
      <c r="B451" s="178"/>
      <c r="C451" s="178"/>
      <c r="D451" s="195"/>
      <c r="E451" s="200"/>
      <c r="F451" s="197"/>
      <c r="G451" s="282" t="s">
        <v>163</v>
      </c>
      <c r="H451" s="188" t="s">
        <v>37</v>
      </c>
      <c r="I451" s="342">
        <f ca="1">IFERROR(__xludf.DUMMYFUNCTION("IMPORTRANGE(""https://docs.google.com/spreadsheets/d/11923uPwbBZFjjGgGUA6NLw09EwE0CqkOc4q9oUmW1yo/edit?usp=sharing"",""พิจิตร!I346"")"),0)</f>
        <v>0</v>
      </c>
      <c r="J451" s="189">
        <f ca="1">IFERROR(__xludf.DUMMYFUNCTION("IMPORTRANGE(""https://docs.google.com/spreadsheets/d/11923uPwbBZFjjGgGUA6NLw09EwE0CqkOc4q9oUmW1yo/edit?usp=sharing"",""พิจิตร!J346"")"),0)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hidden="1" customHeight="1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IFERROR(__xludf.DUMMYFUNCTION("IMPORTRANGE(""https://docs.google.com/spreadsheets/d/11923uPwbBZFjjGgGUA6NLw09EwE0CqkOc4q9oUmW1yo/edit?usp=sharing"",""พิจิตร!I347"")"),0)</f>
        <v>0</v>
      </c>
      <c r="J452" s="189">
        <f ca="1">IFERROR(__xludf.DUMMYFUNCTION("IMPORTRANGE(""https://docs.google.com/spreadsheets/d/11923uPwbBZFjjGgGUA6NLw09EwE0CqkOc4q9oUmW1yo/edit?usp=sharing"",""พิจิตร!J347"")"),0)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>
      <c r="A453" s="177"/>
      <c r="B453" s="178"/>
      <c r="C453" s="178"/>
      <c r="D453" s="195"/>
      <c r="E453" s="196" t="s">
        <v>53</v>
      </c>
      <c r="F453" s="197"/>
      <c r="G453" s="198"/>
      <c r="H453" s="188"/>
      <c r="I453" s="189"/>
      <c r="J453" s="199">
        <f ca="1">IFERROR(__xludf.DUMMYFUNCTION("IMPORTRANGE(""https://docs.google.com/spreadsheets/d/11923uPwbBZFjjGgGUA6NLw09EwE0CqkOc4q9oUmW1yo/edit?usp=sharing"",""พิจิตร!J348"")"),0)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>
      <c r="A454" s="177"/>
      <c r="B454" s="178"/>
      <c r="C454" s="178"/>
      <c r="D454" s="207">
        <v>3</v>
      </c>
      <c r="E454" s="208" t="s">
        <v>54</v>
      </c>
      <c r="F454" s="209"/>
      <c r="G454" s="210"/>
      <c r="H454" s="188"/>
      <c r="I454" s="189"/>
      <c r="J454" s="211">
        <f ca="1">IFERROR(__xludf.DUMMYFUNCTION("IMPORTRANGE(""https://docs.google.com/spreadsheets/d/11923uPwbBZFjjGgGUA6NLw09EwE0CqkOc4q9oUmW1yo/edit?usp=sharing"",""พิจิตร!J349"")"),0)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>
      <c r="A455" s="367"/>
      <c r="B455" s="368">
        <v>5</v>
      </c>
      <c r="C455" s="369" t="s">
        <v>165</v>
      </c>
      <c r="D455" s="369"/>
      <c r="E455" s="369"/>
      <c r="F455" s="369"/>
      <c r="G455" s="370"/>
      <c r="H455" s="371" t="s">
        <v>122</v>
      </c>
      <c r="I455" s="372">
        <f ca="1">IFERROR(__xludf.DUMMYFUNCTION("IMPORTRANGE(""https://docs.google.com/spreadsheets/d/11923uPwbBZFjjGgGUA6NLw09EwE0CqkOc4q9oUmW1yo/edit?usp=sharing"",""พิจิตร!I350"")"),77223)</f>
        <v>77223</v>
      </c>
      <c r="J455" s="372">
        <f ca="1">IFERROR(__xludf.DUMMYFUNCTION("IMPORTRANGE(""https://docs.google.com/spreadsheets/d/11923uPwbBZFjjGgGUA6NLw09EwE0CqkOc4q9oUmW1yo/edit?usp=sharing"",""พิจิตร!J350"")"),77224)</f>
        <v>77224</v>
      </c>
      <c r="K455" s="373">
        <f ca="1">IF(I455&gt;0,J455*100/I455,0)</f>
        <v>100.00129495098611</v>
      </c>
      <c r="L455" s="374">
        <f ca="1">IFERROR(__xludf.DUMMYFUNCTION("IMPORTRANGE(""https://docs.google.com/spreadsheets/d/11923uPwbBZFjjGgGUA6NLw09EwE0CqkOc4q9oUmW1yo/edit?usp=sharing"",""พิจิตร!L350"")"),585237)</f>
        <v>585237</v>
      </c>
      <c r="M455" s="374"/>
      <c r="N455" s="374">
        <f ca="1">IFERROR(__xludf.DUMMYFUNCTION("IMPORTRANGE(""https://docs.google.com/spreadsheets/d/11923uPwbBZFjjGgGUA6NLw09EwE0CqkOc4q9oUmW1yo/edit?usp=sharing"",""พิจิตร!M350"")"),115496.78)</f>
        <v>115496.78</v>
      </c>
      <c r="O455" s="374">
        <f t="shared" ref="O455:O459" ca="1" si="116">+IF(L455&gt;0,N455*100/L455,0)</f>
        <v>19.735044093247694</v>
      </c>
      <c r="P455" s="374"/>
    </row>
    <row r="456" spans="1:16" ht="21.75" customHeight="1">
      <c r="A456" s="159"/>
      <c r="B456" s="160"/>
      <c r="C456" s="160" t="s">
        <v>16</v>
      </c>
      <c r="D456" s="279" t="s">
        <v>77</v>
      </c>
      <c r="E456" s="161"/>
      <c r="F456" s="161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IFERROR(__xludf.DUMMYFUNCTION("IMPORTRANGE(""https://docs.google.com/spreadsheets/d/11923uPwbBZFjjGgGUA6NLw09EwE0CqkOc4q9oUmW1yo/edit?usp=sharing"",""พิจิตร!L351"")"),0)</f>
        <v>0</v>
      </c>
      <c r="M456" s="166"/>
      <c r="N456" s="170">
        <f ca="1">IFERROR(__xludf.DUMMYFUNCTION("IMPORTRANGE(""https://docs.google.com/spreadsheets/d/11923uPwbBZFjjGgGUA6NLw09EwE0CqkOc4q9oUmW1yo/edit?usp=sharing"",""พิจิตร!M351"")"),0)</f>
        <v>0</v>
      </c>
      <c r="O456" s="170">
        <f t="shared" ca="1" si="116"/>
        <v>0</v>
      </c>
      <c r="P456" s="170"/>
    </row>
    <row r="457" spans="1:16" ht="21.75" customHeight="1">
      <c r="A457" s="159"/>
      <c r="B457" s="160"/>
      <c r="C457" s="160"/>
      <c r="D457" s="168"/>
      <c r="E457" s="161"/>
      <c r="F457" s="161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IFERROR(__xludf.DUMMYFUNCTION("IMPORTRANGE(""https://docs.google.com/spreadsheets/d/11923uPwbBZFjjGgGUA6NLw09EwE0CqkOc4q9oUmW1yo/edit?usp=sharing"",""พิจิตร!L352"")"),585237)</f>
        <v>585237</v>
      </c>
      <c r="M457" s="167"/>
      <c r="N457" s="170">
        <f ca="1">IFERROR(__xludf.DUMMYFUNCTION("IMPORTRANGE(""https://docs.google.com/spreadsheets/d/11923uPwbBZFjjGgGUA6NLw09EwE0CqkOc4q9oUmW1yo/edit?usp=sharing"",""พิจิตร!M352"")"),115496.78)</f>
        <v>115496.78</v>
      </c>
      <c r="O457" s="170">
        <f t="shared" ca="1" si="116"/>
        <v>19.735044093247694</v>
      </c>
      <c r="P457" s="170"/>
    </row>
    <row r="458" spans="1:16" ht="21.75" customHeight="1">
      <c r="A458" s="159"/>
      <c r="B458" s="160"/>
      <c r="C458" s="160"/>
      <c r="D458" s="168"/>
      <c r="E458" s="161"/>
      <c r="F458" s="161"/>
      <c r="G458" s="375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IFERROR(__xludf.DUMMYFUNCTION("IMPORTRANGE(""https://docs.google.com/spreadsheets/d/11923uPwbBZFjjGgGUA6NLw09EwE0CqkOc4q9oUmW1yo/edit?usp=sharing"",""พิจิตร!L353"")"),0)</f>
        <v>0</v>
      </c>
      <c r="M458" s="170"/>
      <c r="N458" s="170">
        <f ca="1">IFERROR(__xludf.DUMMYFUNCTION("IMPORTRANGE(""https://docs.google.com/spreadsheets/d/11923uPwbBZFjjGgGUA6NLw09EwE0CqkOc4q9oUmW1yo/edit?usp=sharing"",""พิจิตร!M353"")"),0)</f>
        <v>0</v>
      </c>
      <c r="O458" s="170">
        <f t="shared" ca="1" si="116"/>
        <v>0</v>
      </c>
      <c r="P458" s="170"/>
    </row>
    <row r="459" spans="1:16" ht="21.75" customHeight="1">
      <c r="A459" s="159"/>
      <c r="B459" s="160"/>
      <c r="C459" s="160"/>
      <c r="D459" s="168"/>
      <c r="E459" s="161"/>
      <c r="F459" s="161"/>
      <c r="G459" s="375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IFERROR(__xludf.DUMMYFUNCTION("IMPORTRANGE(""https://docs.google.com/spreadsheets/d/11923uPwbBZFjjGgGUA6NLw09EwE0CqkOc4q9oUmW1yo/edit?usp=sharing"",""พิจิตร!L354"")"),585237)</f>
        <v>585237</v>
      </c>
      <c r="M459" s="170"/>
      <c r="N459" s="170">
        <f ca="1">IFERROR(__xludf.DUMMYFUNCTION("IMPORTRANGE(""https://docs.google.com/spreadsheets/d/11923uPwbBZFjjGgGUA6NLw09EwE0CqkOc4q9oUmW1yo/edit?usp=sharing"",""พิจิตร!M354"")"),115496.78)</f>
        <v>115496.78</v>
      </c>
      <c r="O459" s="170">
        <f t="shared" ca="1" si="116"/>
        <v>19.735044093247694</v>
      </c>
      <c r="P459" s="170"/>
    </row>
    <row r="460" spans="1:16" ht="21.75" customHeight="1">
      <c r="A460" s="376"/>
      <c r="B460" s="377"/>
      <c r="C460" s="160"/>
      <c r="D460" s="378"/>
      <c r="E460" s="161"/>
      <c r="F460" s="161"/>
      <c r="G460" s="379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IFERROR(__xludf.DUMMYFUNCTION("IMPORTRANGE(""https://docs.google.com/spreadsheets/d/11923uPwbBZFjjGgGUA6NLw09EwE0CqkOc4q9oUmW1yo/edit?usp=sharing"",""พิจิตร!M355"")"),0)</f>
        <v>0</v>
      </c>
      <c r="O460" s="170"/>
      <c r="P460" s="170"/>
    </row>
    <row r="461" spans="1:16" ht="21.75" customHeight="1">
      <c r="A461" s="376"/>
      <c r="B461" s="377"/>
      <c r="C461" s="160"/>
      <c r="D461" s="378"/>
      <c r="E461" s="161"/>
      <c r="F461" s="161"/>
      <c r="G461" s="379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IFERROR(__xludf.DUMMYFUNCTION("IMPORTRANGE(""https://docs.google.com/spreadsheets/d/11923uPwbBZFjjGgGUA6NLw09EwE0CqkOc4q9oUmW1yo/edit?usp=sharing"",""พิจิตร!M356"")"),0)</f>
        <v>0</v>
      </c>
      <c r="O461" s="170"/>
      <c r="P461" s="170"/>
    </row>
    <row r="462" spans="1:16" ht="21.75" customHeight="1">
      <c r="A462" s="376"/>
      <c r="B462" s="377"/>
      <c r="C462" s="160"/>
      <c r="D462" s="378"/>
      <c r="E462" s="161"/>
      <c r="F462" s="161"/>
      <c r="G462" s="379" t="s">
        <v>133</v>
      </c>
      <c r="H462" s="163" t="s">
        <v>12</v>
      </c>
      <c r="I462" s="189"/>
      <c r="J462" s="189"/>
      <c r="K462" s="225"/>
      <c r="L462" s="170"/>
      <c r="M462" s="170"/>
      <c r="N462" s="380">
        <f ca="1">IFERROR(__xludf.DUMMYFUNCTION("IMPORTRANGE(""https://docs.google.com/spreadsheets/d/11923uPwbBZFjjGgGUA6NLw09EwE0CqkOc4q9oUmW1yo/edit?usp=sharing"",""พิจิตร!M357"")"),59346.78)</f>
        <v>59346.78</v>
      </c>
      <c r="O462" s="170"/>
      <c r="P462" s="170"/>
    </row>
    <row r="463" spans="1:16" ht="21.75" customHeight="1">
      <c r="A463" s="376"/>
      <c r="B463" s="377"/>
      <c r="C463" s="160"/>
      <c r="D463" s="378"/>
      <c r="E463" s="161"/>
      <c r="F463" s="161"/>
      <c r="G463" s="379" t="s">
        <v>134</v>
      </c>
      <c r="H463" s="163" t="s">
        <v>12</v>
      </c>
      <c r="I463" s="189"/>
      <c r="J463" s="189"/>
      <c r="K463" s="225"/>
      <c r="L463" s="170"/>
      <c r="M463" s="170"/>
      <c r="N463" s="380">
        <f ca="1">IFERROR(__xludf.DUMMYFUNCTION("IMPORTRANGE(""https://docs.google.com/spreadsheets/d/11923uPwbBZFjjGgGUA6NLw09EwE0CqkOc4q9oUmW1yo/edit?usp=sharing"",""พิจิตร!M358"")"),56150)</f>
        <v>56150</v>
      </c>
      <c r="O463" s="170"/>
      <c r="P463" s="170"/>
    </row>
    <row r="464" spans="1:16" ht="21.75" customHeight="1">
      <c r="A464" s="177"/>
      <c r="B464" s="178"/>
      <c r="C464" s="417" t="s">
        <v>166</v>
      </c>
      <c r="D464" s="417"/>
      <c r="E464" s="418"/>
      <c r="F464" s="418"/>
      <c r="G464" s="419"/>
      <c r="H464" s="267" t="s">
        <v>122</v>
      </c>
      <c r="I464" s="268">
        <f ca="1">IFERROR(__xludf.DUMMYFUNCTION("IMPORTRANGE(""https://docs.google.com/spreadsheets/d/11923uPwbBZFjjGgGUA6NLw09EwE0CqkOc4q9oUmW1yo/edit?usp=sharing"",""พิจิตร!I359"")"),77223)</f>
        <v>77223</v>
      </c>
      <c r="J464" s="268">
        <f ca="1">IFERROR(__xludf.DUMMYFUNCTION("IMPORTRANGE(""https://docs.google.com/spreadsheets/d/11923uPwbBZFjjGgGUA6NLw09EwE0CqkOc4q9oUmW1yo/edit?usp=sharing"",""พิจิตร!J359"")"),77224)</f>
        <v>77224</v>
      </c>
      <c r="K464" s="269">
        <f t="shared" ref="K464:K515" ca="1" si="117">IF(I464&gt;0,J464*100/I464,0)</f>
        <v>100.00129495098611</v>
      </c>
      <c r="L464" s="293"/>
      <c r="M464" s="293"/>
      <c r="N464" s="293"/>
      <c r="O464" s="293"/>
      <c r="P464" s="293"/>
    </row>
    <row r="465" spans="1:16" ht="21.75" customHeight="1">
      <c r="A465" s="403"/>
      <c r="B465" s="404"/>
      <c r="C465" s="404"/>
      <c r="D465" s="405"/>
      <c r="E465" s="195" t="s">
        <v>167</v>
      </c>
      <c r="F465" s="197"/>
      <c r="G465" s="198"/>
      <c r="H465" s="420" t="s">
        <v>122</v>
      </c>
      <c r="I465" s="421">
        <f ca="1">IFERROR(__xludf.DUMMYFUNCTION("IMPORTRANGE(""https://docs.google.com/spreadsheets/d/11923uPwbBZFjjGgGUA6NLw09EwE0CqkOc4q9oUmW1yo/edit?usp=sharing"",""พิจิตร!I360"")"),77223)</f>
        <v>77223</v>
      </c>
      <c r="J465" s="422">
        <f ca="1">IFERROR(__xludf.DUMMYFUNCTION("IMPORTRANGE(""https://docs.google.com/spreadsheets/d/11923uPwbBZFjjGgGUA6NLw09EwE0CqkOc4q9oUmW1yo/edit?usp=sharing"",""พิจิตร!J360"")"),77224)</f>
        <v>77224</v>
      </c>
      <c r="K465" s="203">
        <f t="shared" ca="1" si="117"/>
        <v>100.00129495098611</v>
      </c>
      <c r="L465" s="183"/>
      <c r="M465" s="183"/>
      <c r="N465" s="183"/>
      <c r="O465" s="183"/>
      <c r="P465" s="183"/>
    </row>
    <row r="466" spans="1:16" ht="21.75" customHeight="1">
      <c r="A466" s="403"/>
      <c r="B466" s="404"/>
      <c r="C466" s="404"/>
      <c r="D466" s="405"/>
      <c r="E466" s="197"/>
      <c r="F466" s="197"/>
      <c r="G466" s="198"/>
      <c r="H466" s="420" t="s">
        <v>36</v>
      </c>
      <c r="I466" s="421">
        <f ca="1">IFERROR(__xludf.DUMMYFUNCTION("IMPORTRANGE(""https://docs.google.com/spreadsheets/d/11923uPwbBZFjjGgGUA6NLw09EwE0CqkOc4q9oUmW1yo/edit?usp=sharing"",""พิจิตร!I361"")"),7854)</f>
        <v>7854</v>
      </c>
      <c r="J466" s="422">
        <f ca="1">IFERROR(__xludf.DUMMYFUNCTION("IMPORTRANGE(""https://docs.google.com/spreadsheets/d/11923uPwbBZFjjGgGUA6NLw09EwE0CqkOc4q9oUmW1yo/edit?usp=sharing"",""พิจิตร!J361"")"),7854)</f>
        <v>7854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>
      <c r="A467" s="403"/>
      <c r="B467" s="404"/>
      <c r="C467" s="404"/>
      <c r="D467" s="405"/>
      <c r="E467" s="197"/>
      <c r="F467" s="391" t="s">
        <v>168</v>
      </c>
      <c r="G467" s="423"/>
      <c r="H467" s="424" t="s">
        <v>122</v>
      </c>
      <c r="I467" s="204">
        <f ca="1">IFERROR(__xludf.DUMMYFUNCTION("IMPORTRANGE(""https://docs.google.com/spreadsheets/d/11923uPwbBZFjjGgGUA6NLw09EwE0CqkOc4q9oUmW1yo/edit?usp=sharing"",""พิจิตร!I362"")"),0)</f>
        <v>0</v>
      </c>
      <c r="J467" s="190">
        <f ca="1">IFERROR(__xludf.DUMMYFUNCTION("IMPORTRANGE(""https://docs.google.com/spreadsheets/d/11923uPwbBZFjjGgGUA6NLw09EwE0CqkOc4q9oUmW1yo/edit?usp=sharing"",""พิจิตร!J362"")"),59899)</f>
        <v>59899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>
      <c r="A468" s="403"/>
      <c r="B468" s="404"/>
      <c r="C468" s="404"/>
      <c r="D468" s="405"/>
      <c r="E468" s="197"/>
      <c r="F468" s="197"/>
      <c r="G468" s="423"/>
      <c r="H468" s="424" t="s">
        <v>36</v>
      </c>
      <c r="I468" s="204">
        <f ca="1">IFERROR(__xludf.DUMMYFUNCTION("IMPORTRANGE(""https://docs.google.com/spreadsheets/d/11923uPwbBZFjjGgGUA6NLw09EwE0CqkOc4q9oUmW1yo/edit?usp=sharing"",""พิจิตร!I363"")"),0)</f>
        <v>0</v>
      </c>
      <c r="J468" s="190">
        <f ca="1">IFERROR(__xludf.DUMMYFUNCTION("IMPORTRANGE(""https://docs.google.com/spreadsheets/d/11923uPwbBZFjjGgGUA6NLw09EwE0CqkOc4q9oUmW1yo/edit?usp=sharing"",""พิจิตร!J363"")"),6624)</f>
        <v>6624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>
      <c r="A469" s="403"/>
      <c r="B469" s="404"/>
      <c r="C469" s="404"/>
      <c r="D469" s="405"/>
      <c r="E469" s="197"/>
      <c r="F469" s="391" t="s">
        <v>169</v>
      </c>
      <c r="G469" s="423"/>
      <c r="H469" s="424" t="s">
        <v>122</v>
      </c>
      <c r="I469" s="204">
        <f ca="1">IFERROR(__xludf.DUMMYFUNCTION("IMPORTRANGE(""https://docs.google.com/spreadsheets/d/11923uPwbBZFjjGgGUA6NLw09EwE0CqkOc4q9oUmW1yo/edit?usp=sharing"",""พิจิตร!I364"")"),0)</f>
        <v>0</v>
      </c>
      <c r="J469" s="190">
        <f ca="1">IFERROR(__xludf.DUMMYFUNCTION("IMPORTRANGE(""https://docs.google.com/spreadsheets/d/11923uPwbBZFjjGgGUA6NLw09EwE0CqkOc4q9oUmW1yo/edit?usp=sharing"",""พิจิตร!J364"")"),14730)</f>
        <v>14730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>
      <c r="A470" s="403"/>
      <c r="B470" s="404"/>
      <c r="C470" s="404"/>
      <c r="D470" s="405"/>
      <c r="E470" s="197"/>
      <c r="F470" s="197"/>
      <c r="G470" s="423"/>
      <c r="H470" s="424" t="s">
        <v>36</v>
      </c>
      <c r="I470" s="204">
        <f ca="1">IFERROR(__xludf.DUMMYFUNCTION("IMPORTRANGE(""https://docs.google.com/spreadsheets/d/11923uPwbBZFjjGgGUA6NLw09EwE0CqkOc4q9oUmW1yo/edit?usp=sharing"",""พิจิตร!I365"")"),0)</f>
        <v>0</v>
      </c>
      <c r="J470" s="190">
        <f ca="1">IFERROR(__xludf.DUMMYFUNCTION("IMPORTRANGE(""https://docs.google.com/spreadsheets/d/11923uPwbBZFjjGgGUA6NLw09EwE0CqkOc4q9oUmW1yo/edit?usp=sharing"",""พิจิตร!J365"")"),1018)</f>
        <v>1018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>
      <c r="A471" s="403"/>
      <c r="B471" s="404"/>
      <c r="C471" s="404"/>
      <c r="D471" s="405"/>
      <c r="E471" s="197"/>
      <c r="F471" s="391" t="s">
        <v>170</v>
      </c>
      <c r="G471" s="423"/>
      <c r="H471" s="424" t="s">
        <v>122</v>
      </c>
      <c r="I471" s="204">
        <f ca="1">IFERROR(__xludf.DUMMYFUNCTION("IMPORTRANGE(""https://docs.google.com/spreadsheets/d/11923uPwbBZFjjGgGUA6NLw09EwE0CqkOc4q9oUmW1yo/edit?usp=sharing"",""พิจิตร!I366"")"),0)</f>
        <v>0</v>
      </c>
      <c r="J471" s="190">
        <f ca="1">IFERROR(__xludf.DUMMYFUNCTION("IMPORTRANGE(""https://docs.google.com/spreadsheets/d/11923uPwbBZFjjGgGUA6NLw09EwE0CqkOc4q9oUmW1yo/edit?usp=sharing"",""พิจิตร!J366"")"),2595)</f>
        <v>2595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>
      <c r="A472" s="403"/>
      <c r="B472" s="404"/>
      <c r="C472" s="404"/>
      <c r="D472" s="405"/>
      <c r="E472" s="197"/>
      <c r="F472" s="197"/>
      <c r="G472" s="197"/>
      <c r="H472" s="424" t="s">
        <v>36</v>
      </c>
      <c r="I472" s="204">
        <f ca="1">IFERROR(__xludf.DUMMYFUNCTION("IMPORTRANGE(""https://docs.google.com/spreadsheets/d/11923uPwbBZFjjGgGUA6NLw09EwE0CqkOc4q9oUmW1yo/edit?usp=sharing"",""พิจิตร!I367"")"),0)</f>
        <v>0</v>
      </c>
      <c r="J472" s="190">
        <f ca="1">IFERROR(__xludf.DUMMYFUNCTION("IMPORTRANGE(""https://docs.google.com/spreadsheets/d/11923uPwbBZFjjGgGUA6NLw09EwE0CqkOc4q9oUmW1yo/edit?usp=sharing"",""พิจิตร!J367"")"),212)</f>
        <v>212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>
      <c r="A473" s="403"/>
      <c r="B473" s="404"/>
      <c r="C473" s="404"/>
      <c r="D473" s="405"/>
      <c r="E473" s="292" t="s">
        <v>171</v>
      </c>
      <c r="F473" s="197"/>
      <c r="G473" s="198"/>
      <c r="H473" s="420" t="s">
        <v>122</v>
      </c>
      <c r="I473" s="422">
        <f ca="1">IFERROR(__xludf.DUMMYFUNCTION("IMPORTRANGE(""https://docs.google.com/spreadsheets/d/11923uPwbBZFjjGgGUA6NLw09EwE0CqkOc4q9oUmW1yo/edit?usp=sharing"",""พิจิตร!I368"")"),77223)</f>
        <v>77223</v>
      </c>
      <c r="J473" s="422">
        <f ca="1">IFERROR(__xludf.DUMMYFUNCTION("IMPORTRANGE(""https://docs.google.com/spreadsheets/d/11923uPwbBZFjjGgGUA6NLw09EwE0CqkOc4q9oUmW1yo/edit?usp=sharing"",""พิจิตร!J368"")"),77224)</f>
        <v>77224</v>
      </c>
      <c r="K473" s="203">
        <f t="shared" ca="1" si="117"/>
        <v>100.00129495098611</v>
      </c>
      <c r="L473" s="183"/>
      <c r="M473" s="183"/>
      <c r="N473" s="183"/>
      <c r="O473" s="183"/>
      <c r="P473" s="183"/>
    </row>
    <row r="474" spans="1:16" ht="21.75" customHeight="1">
      <c r="A474" s="403"/>
      <c r="B474" s="404"/>
      <c r="C474" s="404"/>
      <c r="D474" s="405"/>
      <c r="E474" s="197"/>
      <c r="F474" s="197"/>
      <c r="G474" s="198"/>
      <c r="H474" s="420" t="s">
        <v>36</v>
      </c>
      <c r="I474" s="421">
        <f ca="1">IFERROR(__xludf.DUMMYFUNCTION("IMPORTRANGE(""https://docs.google.com/spreadsheets/d/11923uPwbBZFjjGgGUA6NLw09EwE0CqkOc4q9oUmW1yo/edit?usp=sharing"",""พิจิตร!I369"")"),7854)</f>
        <v>7854</v>
      </c>
      <c r="J474" s="422">
        <f ca="1">IFERROR(__xludf.DUMMYFUNCTION("IMPORTRANGE(""https://docs.google.com/spreadsheets/d/11923uPwbBZFjjGgGUA6NLw09EwE0CqkOc4q9oUmW1yo/edit?usp=sharing"",""พิจิตร!J369"")"),7854)</f>
        <v>7854</v>
      </c>
      <c r="K474" s="203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>
      <c r="A475" s="403"/>
      <c r="B475" s="404"/>
      <c r="C475" s="404"/>
      <c r="D475" s="405"/>
      <c r="E475" s="197"/>
      <c r="F475" s="196" t="s">
        <v>172</v>
      </c>
      <c r="G475" s="423"/>
      <c r="H475" s="424" t="s">
        <v>122</v>
      </c>
      <c r="I475" s="204">
        <f ca="1">IFERROR(__xludf.DUMMYFUNCTION("IMPORTRANGE(""https://docs.google.com/spreadsheets/d/11923uPwbBZFjjGgGUA6NLw09EwE0CqkOc4q9oUmW1yo/edit?usp=sharing"",""พิจิตร!I370"")"),0)</f>
        <v>0</v>
      </c>
      <c r="J475" s="190">
        <f ca="1">IFERROR(__xludf.DUMMYFUNCTION("IMPORTRANGE(""https://docs.google.com/spreadsheets/d/11923uPwbBZFjjGgGUA6NLw09EwE0CqkOc4q9oUmW1yo/edit?usp=sharing"",""พิจิตร!J370"")"),59899)</f>
        <v>59899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>
      <c r="A476" s="403"/>
      <c r="B476" s="404"/>
      <c r="C476" s="404"/>
      <c r="D476" s="405"/>
      <c r="E476" s="197"/>
      <c r="F476" s="197"/>
      <c r="G476" s="423"/>
      <c r="H476" s="424" t="s">
        <v>36</v>
      </c>
      <c r="I476" s="204">
        <f ca="1">IFERROR(__xludf.DUMMYFUNCTION("IMPORTRANGE(""https://docs.google.com/spreadsheets/d/11923uPwbBZFjjGgGUA6NLw09EwE0CqkOc4q9oUmW1yo/edit?usp=sharing"",""พิจิตร!I371"")"),0)</f>
        <v>0</v>
      </c>
      <c r="J476" s="190">
        <f ca="1">IFERROR(__xludf.DUMMYFUNCTION("IMPORTRANGE(""https://docs.google.com/spreadsheets/d/11923uPwbBZFjjGgGUA6NLw09EwE0CqkOc4q9oUmW1yo/edit?usp=sharing"",""พิจิตร!J371"")"),6624)</f>
        <v>6624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>
      <c r="A477" s="403"/>
      <c r="B477" s="404"/>
      <c r="C477" s="404"/>
      <c r="D477" s="405"/>
      <c r="E477" s="197"/>
      <c r="F477" s="196" t="s">
        <v>173</v>
      </c>
      <c r="G477" s="423"/>
      <c r="H477" s="424" t="s">
        <v>122</v>
      </c>
      <c r="I477" s="204">
        <f ca="1">IFERROR(__xludf.DUMMYFUNCTION("IMPORTRANGE(""https://docs.google.com/spreadsheets/d/11923uPwbBZFjjGgGUA6NLw09EwE0CqkOc4q9oUmW1yo/edit?usp=sharing"",""พิจิตร!I372"")"),0)</f>
        <v>0</v>
      </c>
      <c r="J477" s="190">
        <f ca="1">IFERROR(__xludf.DUMMYFUNCTION("IMPORTRANGE(""https://docs.google.com/spreadsheets/d/11923uPwbBZFjjGgGUA6NLw09EwE0CqkOc4q9oUmW1yo/edit?usp=sharing"",""พิจิตร!J372"")"),14730)</f>
        <v>14730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>
      <c r="A478" s="403"/>
      <c r="B478" s="404"/>
      <c r="C478" s="404"/>
      <c r="D478" s="405"/>
      <c r="E478" s="197"/>
      <c r="F478" s="197"/>
      <c r="G478" s="423"/>
      <c r="H478" s="424" t="s">
        <v>36</v>
      </c>
      <c r="I478" s="204">
        <f ca="1">IFERROR(__xludf.DUMMYFUNCTION("IMPORTRANGE(""https://docs.google.com/spreadsheets/d/11923uPwbBZFjjGgGUA6NLw09EwE0CqkOc4q9oUmW1yo/edit?usp=sharing"",""พิจิตร!I373"")"),0)</f>
        <v>0</v>
      </c>
      <c r="J478" s="190">
        <f ca="1">IFERROR(__xludf.DUMMYFUNCTION("IMPORTRANGE(""https://docs.google.com/spreadsheets/d/11923uPwbBZFjjGgGUA6NLw09EwE0CqkOc4q9oUmW1yo/edit?usp=sharing"",""พิจิตร!J373"")"),1018)</f>
        <v>1018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>
      <c r="A479" s="403"/>
      <c r="B479" s="404"/>
      <c r="C479" s="404"/>
      <c r="D479" s="405"/>
      <c r="E479" s="197"/>
      <c r="F479" s="196" t="s">
        <v>174</v>
      </c>
      <c r="G479" s="423"/>
      <c r="H479" s="424" t="s">
        <v>122</v>
      </c>
      <c r="I479" s="204">
        <f ca="1">IFERROR(__xludf.DUMMYFUNCTION("IMPORTRANGE(""https://docs.google.com/spreadsheets/d/11923uPwbBZFjjGgGUA6NLw09EwE0CqkOc4q9oUmW1yo/edit?usp=sharing"",""พิจิตร!I374"")"),0)</f>
        <v>0</v>
      </c>
      <c r="J479" s="190">
        <f ca="1">IFERROR(__xludf.DUMMYFUNCTION("IMPORTRANGE(""https://docs.google.com/spreadsheets/d/11923uPwbBZFjjGgGUA6NLw09EwE0CqkOc4q9oUmW1yo/edit?usp=sharing"",""พิจิตร!J374"")"),2595)</f>
        <v>2595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>
      <c r="A480" s="403"/>
      <c r="B480" s="404"/>
      <c r="C480" s="404"/>
      <c r="D480" s="405"/>
      <c r="E480" s="197"/>
      <c r="F480" s="197"/>
      <c r="G480" s="198"/>
      <c r="H480" s="424" t="s">
        <v>36</v>
      </c>
      <c r="I480" s="204">
        <f ca="1">IFERROR(__xludf.DUMMYFUNCTION("IMPORTRANGE(""https://docs.google.com/spreadsheets/d/11923uPwbBZFjjGgGUA6NLw09EwE0CqkOc4q9oUmW1yo/edit?usp=sharing"",""พิจิตร!I375"")"),0)</f>
        <v>0</v>
      </c>
      <c r="J480" s="190">
        <f ca="1">IFERROR(__xludf.DUMMYFUNCTION("IMPORTRANGE(""https://docs.google.com/spreadsheets/d/11923uPwbBZFjjGgGUA6NLw09EwE0CqkOc4q9oUmW1yo/edit?usp=sharing"",""พิจิตร!J375"")"),212)</f>
        <v>212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IFERROR(__xludf.DUMMYFUNCTION("IMPORTRANGE(""https://docs.google.com/spreadsheets/d/11923uPwbBZFjjGgGUA6NLw09EwE0CqkOc4q9oUmW1yo/edit?usp=sharing"",""พิจิตร!I376"")"),77223)</f>
        <v>77223</v>
      </c>
      <c r="J481" s="422">
        <f ca="1">IFERROR(__xludf.DUMMYFUNCTION("IMPORTRANGE(""https://docs.google.com/spreadsheets/d/11923uPwbBZFjjGgGUA6NLw09EwE0CqkOc4q9oUmW1yo/edit?usp=sharing"",""พิจิตร!J376"")"),77224)</f>
        <v>77224</v>
      </c>
      <c r="K481" s="203">
        <f t="shared" ca="1" si="117"/>
        <v>100.00129495098611</v>
      </c>
      <c r="L481" s="432"/>
      <c r="M481" s="432"/>
      <c r="N481" s="432"/>
      <c r="O481" s="432"/>
      <c r="P481" s="432"/>
    </row>
    <row r="482" spans="1:16" ht="21.75" customHeight="1">
      <c r="A482" s="403"/>
      <c r="B482" s="404"/>
      <c r="C482" s="404"/>
      <c r="D482" s="405"/>
      <c r="E482" s="197"/>
      <c r="F482" s="197"/>
      <c r="G482" s="198"/>
      <c r="H482" s="420" t="s">
        <v>36</v>
      </c>
      <c r="I482" s="421">
        <f ca="1">IFERROR(__xludf.DUMMYFUNCTION("IMPORTRANGE(""https://docs.google.com/spreadsheets/d/11923uPwbBZFjjGgGUA6NLw09EwE0CqkOc4q9oUmW1yo/edit?usp=sharing"",""พิจิตร!I377"")"),7854)</f>
        <v>7854</v>
      </c>
      <c r="J482" s="422">
        <f ca="1">IFERROR(__xludf.DUMMYFUNCTION("IMPORTRANGE(""https://docs.google.com/spreadsheets/d/11923uPwbBZFjjGgGUA6NLw09EwE0CqkOc4q9oUmW1yo/edit?usp=sharing"",""พิจิตร!J377"")"),7854)</f>
        <v>7854</v>
      </c>
      <c r="K482" s="203">
        <f t="shared" ca="1" si="117"/>
        <v>100</v>
      </c>
      <c r="L482" s="183"/>
      <c r="M482" s="183"/>
      <c r="N482" s="183"/>
      <c r="O482" s="183"/>
      <c r="P482" s="183"/>
    </row>
    <row r="483" spans="1:16" ht="21.75" customHeight="1">
      <c r="A483" s="403"/>
      <c r="B483" s="404"/>
      <c r="C483" s="404"/>
      <c r="D483" s="405"/>
      <c r="E483" s="197"/>
      <c r="F483" s="196" t="s">
        <v>176</v>
      </c>
      <c r="G483" s="423"/>
      <c r="H483" s="424" t="s">
        <v>122</v>
      </c>
      <c r="I483" s="204">
        <f ca="1">IFERROR(__xludf.DUMMYFUNCTION("IMPORTRANGE(""https://docs.google.com/spreadsheets/d/11923uPwbBZFjjGgGUA6NLw09EwE0CqkOc4q9oUmW1yo/edit?usp=sharing"",""พิจิตร!I378"")"),0)</f>
        <v>0</v>
      </c>
      <c r="J483" s="190">
        <f ca="1">IFERROR(__xludf.DUMMYFUNCTION("IMPORTRANGE(""https://docs.google.com/spreadsheets/d/11923uPwbBZFjjGgGUA6NLw09EwE0CqkOc4q9oUmW1yo/edit?usp=sharing"",""พิจิตร!J378"")"),59899)</f>
        <v>59899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>
      <c r="A484" s="403"/>
      <c r="B484" s="404"/>
      <c r="C484" s="404"/>
      <c r="D484" s="405"/>
      <c r="E484" s="197"/>
      <c r="F484" s="197"/>
      <c r="G484" s="423"/>
      <c r="H484" s="424" t="s">
        <v>36</v>
      </c>
      <c r="I484" s="204">
        <f ca="1">IFERROR(__xludf.DUMMYFUNCTION("IMPORTRANGE(""https://docs.google.com/spreadsheets/d/11923uPwbBZFjjGgGUA6NLw09EwE0CqkOc4q9oUmW1yo/edit?usp=sharing"",""พิจิตร!I379"")"),0)</f>
        <v>0</v>
      </c>
      <c r="J484" s="190">
        <f ca="1">IFERROR(__xludf.DUMMYFUNCTION("IMPORTRANGE(""https://docs.google.com/spreadsheets/d/11923uPwbBZFjjGgGUA6NLw09EwE0CqkOc4q9oUmW1yo/edit?usp=sharing"",""พิจิตร!J379"")"),6624)</f>
        <v>6624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>
      <c r="A485" s="403"/>
      <c r="B485" s="404"/>
      <c r="C485" s="404"/>
      <c r="D485" s="405"/>
      <c r="E485" s="197"/>
      <c r="F485" s="196" t="s">
        <v>177</v>
      </c>
      <c r="G485" s="423"/>
      <c r="H485" s="424" t="s">
        <v>122</v>
      </c>
      <c r="I485" s="204">
        <f ca="1">IFERROR(__xludf.DUMMYFUNCTION("IMPORTRANGE(""https://docs.google.com/spreadsheets/d/11923uPwbBZFjjGgGUA6NLw09EwE0CqkOc4q9oUmW1yo/edit?usp=sharing"",""พิจิตร!I380"")"),0)</f>
        <v>0</v>
      </c>
      <c r="J485" s="190">
        <f ca="1">IFERROR(__xludf.DUMMYFUNCTION("IMPORTRANGE(""https://docs.google.com/spreadsheets/d/11923uPwbBZFjjGgGUA6NLw09EwE0CqkOc4q9oUmW1yo/edit?usp=sharing"",""พิจิตร!J380"")"),14730)</f>
        <v>14730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>
      <c r="A486" s="403"/>
      <c r="B486" s="404"/>
      <c r="C486" s="404"/>
      <c r="D486" s="405"/>
      <c r="E486" s="197"/>
      <c r="F486" s="197"/>
      <c r="G486" s="423"/>
      <c r="H486" s="424" t="s">
        <v>36</v>
      </c>
      <c r="I486" s="204">
        <f ca="1">IFERROR(__xludf.DUMMYFUNCTION("IMPORTRANGE(""https://docs.google.com/spreadsheets/d/11923uPwbBZFjjGgGUA6NLw09EwE0CqkOc4q9oUmW1yo/edit?usp=sharing"",""พิจิตร!I381"")"),0)</f>
        <v>0</v>
      </c>
      <c r="J486" s="190">
        <f ca="1">IFERROR(__xludf.DUMMYFUNCTION("IMPORTRANGE(""https://docs.google.com/spreadsheets/d/11923uPwbBZFjjGgGUA6NLw09EwE0CqkOc4q9oUmW1yo/edit?usp=sharing"",""พิจิตร!J381"")"),1018)</f>
        <v>1018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>
      <c r="A487" s="403"/>
      <c r="B487" s="404"/>
      <c r="C487" s="404"/>
      <c r="D487" s="405"/>
      <c r="E487" s="197"/>
      <c r="F487" s="196" t="s">
        <v>178</v>
      </c>
      <c r="G487" s="423"/>
      <c r="H487" s="424" t="s">
        <v>122</v>
      </c>
      <c r="I487" s="204">
        <f ca="1">IFERROR(__xludf.DUMMYFUNCTION("IMPORTRANGE(""https://docs.google.com/spreadsheets/d/11923uPwbBZFjjGgGUA6NLw09EwE0CqkOc4q9oUmW1yo/edit?usp=sharing"",""พิจิตร!I382"")"),0)</f>
        <v>0</v>
      </c>
      <c r="J487" s="422">
        <f ca="1">IFERROR(__xludf.DUMMYFUNCTION("IMPORTRANGE(""https://docs.google.com/spreadsheets/d/11923uPwbBZFjjGgGUA6NLw09EwE0CqkOc4q9oUmW1yo/edit?usp=sharing"",""พิจิตร!J382"")"),2595)</f>
        <v>2595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>
      <c r="A488" s="403"/>
      <c r="B488" s="404"/>
      <c r="C488" s="404"/>
      <c r="D488" s="405"/>
      <c r="E488" s="197"/>
      <c r="F488" s="197"/>
      <c r="G488" s="197"/>
      <c r="H488" s="424" t="s">
        <v>36</v>
      </c>
      <c r="I488" s="204">
        <f ca="1">IFERROR(__xludf.DUMMYFUNCTION("IMPORTRANGE(""https://docs.google.com/spreadsheets/d/11923uPwbBZFjjGgGUA6NLw09EwE0CqkOc4q9oUmW1yo/edit?usp=sharing"",""พิจิตร!I383"")"),0)</f>
        <v>0</v>
      </c>
      <c r="J488" s="422">
        <f ca="1">IFERROR(__xludf.DUMMYFUNCTION("IMPORTRANGE(""https://docs.google.com/spreadsheets/d/11923uPwbBZFjjGgGUA6NLw09EwE0CqkOc4q9oUmW1yo/edit?usp=sharing"",""พิจิตร!J383"")"),212)</f>
        <v>212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>
      <c r="A489" s="403"/>
      <c r="B489" s="404"/>
      <c r="C489" s="404"/>
      <c r="D489" s="405"/>
      <c r="E489" s="197"/>
      <c r="F489" s="197"/>
      <c r="G489" s="196" t="s">
        <v>179</v>
      </c>
      <c r="H489" s="424" t="s">
        <v>122</v>
      </c>
      <c r="I489" s="204">
        <f ca="1">IFERROR(__xludf.DUMMYFUNCTION("IMPORTRANGE(""https://docs.google.com/spreadsheets/d/11923uPwbBZFjjGgGUA6NLw09EwE0CqkOc4q9oUmW1yo/edit?usp=sharing"",""พิจิตร!I384"")"),0)</f>
        <v>0</v>
      </c>
      <c r="J489" s="190">
        <f ca="1">IFERROR(__xludf.DUMMYFUNCTION("IMPORTRANGE(""https://docs.google.com/spreadsheets/d/11923uPwbBZFjjGgGUA6NLw09EwE0CqkOc4q9oUmW1yo/edit?usp=sharing"",""พิจิตร!J384"")"),2552)</f>
        <v>2552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>
      <c r="A490" s="403"/>
      <c r="B490" s="404"/>
      <c r="C490" s="404"/>
      <c r="D490" s="405"/>
      <c r="E490" s="197"/>
      <c r="F490" s="197"/>
      <c r="G490" s="197"/>
      <c r="H490" s="424" t="s">
        <v>36</v>
      </c>
      <c r="I490" s="204">
        <f ca="1">IFERROR(__xludf.DUMMYFUNCTION("IMPORTRANGE(""https://docs.google.com/spreadsheets/d/11923uPwbBZFjjGgGUA6NLw09EwE0CqkOc4q9oUmW1yo/edit?usp=sharing"",""พิจิตร!I385"")"),0)</f>
        <v>0</v>
      </c>
      <c r="J490" s="190">
        <f ca="1">IFERROR(__xludf.DUMMYFUNCTION("IMPORTRANGE(""https://docs.google.com/spreadsheets/d/11923uPwbBZFjjGgGUA6NLw09EwE0CqkOc4q9oUmW1yo/edit?usp=sharing"",""พิจิตร!J385"")"),207)</f>
        <v>207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>
      <c r="A491" s="403"/>
      <c r="B491" s="404"/>
      <c r="C491" s="404"/>
      <c r="D491" s="405"/>
      <c r="E491" s="197"/>
      <c r="F491" s="197"/>
      <c r="G491" s="196" t="s">
        <v>180</v>
      </c>
      <c r="H491" s="424" t="s">
        <v>122</v>
      </c>
      <c r="I491" s="204">
        <f ca="1">IFERROR(__xludf.DUMMYFUNCTION("IMPORTRANGE(""https://docs.google.com/spreadsheets/d/11923uPwbBZFjjGgGUA6NLw09EwE0CqkOc4q9oUmW1yo/edit?usp=sharing"",""พิจิตร!I386"")"),0)</f>
        <v>0</v>
      </c>
      <c r="J491" s="190">
        <f ca="1">IFERROR(__xludf.DUMMYFUNCTION("IMPORTRANGE(""https://docs.google.com/spreadsheets/d/11923uPwbBZFjjGgGUA6NLw09EwE0CqkOc4q9oUmW1yo/edit?usp=sharing"",""พิจิตร!J386"")"),43)</f>
        <v>43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>
      <c r="A492" s="403"/>
      <c r="B492" s="404"/>
      <c r="C492" s="404"/>
      <c r="D492" s="405"/>
      <c r="E492" s="197"/>
      <c r="F492" s="197"/>
      <c r="G492" s="198"/>
      <c r="H492" s="424" t="s">
        <v>36</v>
      </c>
      <c r="I492" s="204">
        <f ca="1">IFERROR(__xludf.DUMMYFUNCTION("IMPORTRANGE(""https://docs.google.com/spreadsheets/d/11923uPwbBZFjjGgGUA6NLw09EwE0CqkOc4q9oUmW1yo/edit?usp=sharing"",""พิจิตร!I387"")"),0)</f>
        <v>0</v>
      </c>
      <c r="J492" s="190">
        <f ca="1">IFERROR(__xludf.DUMMYFUNCTION("IMPORTRANGE(""https://docs.google.com/spreadsheets/d/11923uPwbBZFjjGgGUA6NLw09EwE0CqkOc4q9oUmW1yo/edit?usp=sharing"",""พิจิตร!J387"")"),5)</f>
        <v>5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>
      <c r="A493" s="403"/>
      <c r="B493" s="404"/>
      <c r="C493" s="404"/>
      <c r="D493" s="405"/>
      <c r="E493" s="197"/>
      <c r="F493" s="196" t="s">
        <v>181</v>
      </c>
      <c r="G493" s="423"/>
      <c r="H493" s="424" t="s">
        <v>122</v>
      </c>
      <c r="I493" s="204">
        <f ca="1">IFERROR(__xludf.DUMMYFUNCTION("IMPORTRANGE(""https://docs.google.com/spreadsheets/d/11923uPwbBZFjjGgGUA6NLw09EwE0CqkOc4q9oUmW1yo/edit?usp=sharing"",""พิจิตร!I388"")"),0)</f>
        <v>0</v>
      </c>
      <c r="J493" s="190">
        <f ca="1">IFERROR(__xludf.DUMMYFUNCTION("IMPORTRANGE(""https://docs.google.com/spreadsheets/d/11923uPwbBZFjjGgGUA6NLw09EwE0CqkOc4q9oUmW1yo/edit?usp=sharing"",""พิจิตร!J388"")"),0)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>
      <c r="A494" s="433"/>
      <c r="B494" s="434"/>
      <c r="C494" s="434"/>
      <c r="D494" s="435"/>
      <c r="E494" s="348"/>
      <c r="F494" s="348"/>
      <c r="G494" s="348"/>
      <c r="H494" s="436" t="s">
        <v>36</v>
      </c>
      <c r="I494" s="437">
        <f ca="1">IFERROR(__xludf.DUMMYFUNCTION("IMPORTRANGE(""https://docs.google.com/spreadsheets/d/11923uPwbBZFjjGgGUA6NLw09EwE0CqkOc4q9oUmW1yo/edit?usp=sharing"",""พิจิตร!I389"")"),0)</f>
        <v>0</v>
      </c>
      <c r="J494" s="438">
        <f ca="1">IFERROR(__xludf.DUMMYFUNCTION("IMPORTRANGE(""https://docs.google.com/spreadsheets/d/11923uPwbBZFjjGgGUA6NLw09EwE0CqkOc4q9oUmW1yo/edit?usp=sharing"",""พิจิตร!J389"")"),0)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>
      <c r="A495" s="403"/>
      <c r="B495" s="404"/>
      <c r="C495" s="404"/>
      <c r="D495" s="405"/>
      <c r="E495" s="197"/>
      <c r="F495" s="197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IFERROR(__xludf.DUMMYFUNCTION("IMPORTRANGE(""https://docs.google.com/spreadsheets/d/11923uPwbBZFjjGgGUA6NLw09EwE0CqkOc4q9oUmW1yo/edit?usp=sharing"",""พิจิตร!I390"")"),0)</f>
        <v>0</v>
      </c>
      <c r="J495" s="438">
        <f ca="1">IFERROR(__xludf.DUMMYFUNCTION("IMPORTRANGE(""https://docs.google.com/spreadsheets/d/11923uPwbBZFjjGgGUA6NLw09EwE0CqkOc4q9oUmW1yo/edit?usp=sharing"",""พิจิตร!J390"")"),0)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>
      <c r="A496" s="433"/>
      <c r="B496" s="434"/>
      <c r="C496" s="434"/>
      <c r="D496" s="435"/>
      <c r="E496" s="348"/>
      <c r="F496" s="348"/>
      <c r="G496" s="348"/>
      <c r="H496" s="436" t="s">
        <v>36</v>
      </c>
      <c r="I496" s="437">
        <f ca="1">IFERROR(__xludf.DUMMYFUNCTION("IMPORTRANGE(""https://docs.google.com/spreadsheets/d/11923uPwbBZFjjGgGUA6NLw09EwE0CqkOc4q9oUmW1yo/edit?usp=sharing"",""พิจิตร!I391"")"),0)</f>
        <v>0</v>
      </c>
      <c r="J496" s="438">
        <f ca="1">IFERROR(__xludf.DUMMYFUNCTION("IMPORTRANGE(""https://docs.google.com/spreadsheets/d/11923uPwbBZFjjGgGUA6NLw09EwE0CqkOc4q9oUmW1yo/edit?usp=sharing"",""พิจิตร!J391"")"),0)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IFERROR(__xludf.DUMMYFUNCTION("IMPORTRANGE(""https://docs.google.com/spreadsheets/d/11923uPwbBZFjjGgGUA6NLw09EwE0CqkOc4q9oUmW1yo/edit?usp=sharing"",""พิจิตร!I392"")"),1124)</f>
        <v>1124</v>
      </c>
      <c r="J497" s="445">
        <f ca="1">IFERROR(__xludf.DUMMYFUNCTION("IMPORTRANGE(""https://docs.google.com/spreadsheets/d/11923uPwbBZFjjGgGUA6NLw09EwE0CqkOc4q9oUmW1yo/edit?usp=sharing"",""พิจิตร!J392"")"),0)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7"/>
      <c r="B498" s="178"/>
      <c r="C498" s="178"/>
      <c r="D498" s="405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IFERROR(__xludf.DUMMYFUNCTION("IMPORTRANGE(""https://docs.google.com/spreadsheets/d/11923uPwbBZFjjGgGUA6NLw09EwE0CqkOc4q9oUmW1yo/edit?usp=sharing"",""พิจิตร!I393"")"),1124)</f>
        <v>1124</v>
      </c>
      <c r="J498" s="422">
        <f ca="1">IFERROR(__xludf.DUMMYFUNCTION("IMPORTRANGE(""https://docs.google.com/spreadsheets/d/11923uPwbBZFjjGgGUA6NLw09EwE0CqkOc4q9oUmW1yo/edit?usp=sharing"",""พิจิตร!J393"")"),0)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>
      <c r="A499" s="177"/>
      <c r="B499" s="178"/>
      <c r="C499" s="178"/>
      <c r="D499" s="195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IFERROR(__xludf.DUMMYFUNCTION("IMPORTRANGE(""https://docs.google.com/spreadsheets/d/11923uPwbBZFjjGgGUA6NLw09EwE0CqkOc4q9oUmW1yo/edit?usp=sharing"",""พิจิตร!I394"")"),58)</f>
        <v>58</v>
      </c>
      <c r="J499" s="422">
        <f ca="1">IFERROR(__xludf.DUMMYFUNCTION("IMPORTRANGE(""https://docs.google.com/spreadsheets/d/11923uPwbBZFjjGgGUA6NLw09EwE0CqkOc4q9oUmW1yo/edit?usp=sharing"",""พิจิตร!J394"")"),0)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>
      <c r="A500" s="177"/>
      <c r="B500" s="178"/>
      <c r="C500" s="178"/>
      <c r="D500" s="405"/>
      <c r="E500" s="405" t="s">
        <v>185</v>
      </c>
      <c r="F500" s="197"/>
      <c r="G500" s="198"/>
      <c r="H500" s="424" t="s">
        <v>122</v>
      </c>
      <c r="I500" s="204">
        <f ca="1">IFERROR(__xludf.DUMMYFUNCTION("IMPORTRANGE(""https://docs.google.com/spreadsheets/d/11923uPwbBZFjjGgGUA6NLw09EwE0CqkOc4q9oUmW1yo/edit?usp=sharing"",""พิจิตร!I395"")"),0)</f>
        <v>0</v>
      </c>
      <c r="J500" s="164">
        <f ca="1">IFERROR(__xludf.DUMMYFUNCTION("IMPORTRANGE(""https://docs.google.com/spreadsheets/d/11923uPwbBZFjjGgGUA6NLw09EwE0CqkOc4q9oUmW1yo/edit?usp=sharing"",""พิจิตร!J395"")"),0)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>
      <c r="A501" s="177"/>
      <c r="B501" s="178"/>
      <c r="C501" s="178"/>
      <c r="D501" s="195"/>
      <c r="E501" s="197"/>
      <c r="F501" s="197"/>
      <c r="G501" s="198"/>
      <c r="H501" s="424" t="s">
        <v>36</v>
      </c>
      <c r="I501" s="204">
        <f ca="1">IFERROR(__xludf.DUMMYFUNCTION("IMPORTRANGE(""https://docs.google.com/spreadsheets/d/11923uPwbBZFjjGgGUA6NLw09EwE0CqkOc4q9oUmW1yo/edit?usp=sharing"",""พิจิตร!I396"")"),0)</f>
        <v>0</v>
      </c>
      <c r="J501" s="164">
        <f ca="1">IFERROR(__xludf.DUMMYFUNCTION("IMPORTRANGE(""https://docs.google.com/spreadsheets/d/11923uPwbBZFjjGgGUA6NLw09EwE0CqkOc4q9oUmW1yo/edit?usp=sharing"",""พิจิตร!J396"")"),0)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>
      <c r="A502" s="177"/>
      <c r="B502" s="178"/>
      <c r="C502" s="178"/>
      <c r="D502" s="195"/>
      <c r="E502" s="197"/>
      <c r="F502" s="400" t="s">
        <v>186</v>
      </c>
      <c r="G502" s="423"/>
      <c r="H502" s="424" t="s">
        <v>122</v>
      </c>
      <c r="I502" s="204">
        <f ca="1">IFERROR(__xludf.DUMMYFUNCTION("IMPORTRANGE(""https://docs.google.com/spreadsheets/d/11923uPwbBZFjjGgGUA6NLw09EwE0CqkOc4q9oUmW1yo/edit?usp=sharing"",""พิจิตร!I397"")"),0)</f>
        <v>0</v>
      </c>
      <c r="J502" s="190">
        <f ca="1">IFERROR(__xludf.DUMMYFUNCTION("IMPORTRANGE(""https://docs.google.com/spreadsheets/d/11923uPwbBZFjjGgGUA6NLw09EwE0CqkOc4q9oUmW1yo/edit?usp=sharing"",""พิจิตร!J397"")"),0)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>
      <c r="A503" s="177"/>
      <c r="B503" s="178"/>
      <c r="C503" s="178"/>
      <c r="D503" s="195"/>
      <c r="E503" s="197"/>
      <c r="F503" s="197"/>
      <c r="G503" s="423"/>
      <c r="H503" s="424" t="s">
        <v>36</v>
      </c>
      <c r="I503" s="189">
        <f ca="1">IFERROR(__xludf.DUMMYFUNCTION("IMPORTRANGE(""https://docs.google.com/spreadsheets/d/11923uPwbBZFjjGgGUA6NLw09EwE0CqkOc4q9oUmW1yo/edit?usp=sharing"",""พิจิตร!I398"")"),0)</f>
        <v>0</v>
      </c>
      <c r="J503" s="199">
        <f ca="1">IFERROR(__xludf.DUMMYFUNCTION("IMPORTRANGE(""https://docs.google.com/spreadsheets/d/11923uPwbBZFjjGgGUA6NLw09EwE0CqkOc4q9oUmW1yo/edit?usp=sharing"",""พิจิตร!J398"")"),0)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>
      <c r="A504" s="177"/>
      <c r="B504" s="178"/>
      <c r="C504" s="178"/>
      <c r="D504" s="195"/>
      <c r="E504" s="197"/>
      <c r="F504" s="391" t="s">
        <v>187</v>
      </c>
      <c r="G504" s="423"/>
      <c r="H504" s="424" t="s">
        <v>122</v>
      </c>
      <c r="I504" s="205">
        <f ca="1">IFERROR(__xludf.DUMMYFUNCTION("IMPORTRANGE(""https://docs.google.com/spreadsheets/d/11923uPwbBZFjjGgGUA6NLw09EwE0CqkOc4q9oUmW1yo/edit?usp=sharing"",""พิจิตร!I399"")"),0)</f>
        <v>0</v>
      </c>
      <c r="J504" s="190">
        <f ca="1">IFERROR(__xludf.DUMMYFUNCTION("IMPORTRANGE(""https://docs.google.com/spreadsheets/d/11923uPwbBZFjjGgGUA6NLw09EwE0CqkOc4q9oUmW1yo/edit?usp=sharing"",""พิจิตร!J399"")"),0)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>
      <c r="A505" s="177"/>
      <c r="B505" s="178"/>
      <c r="C505" s="178"/>
      <c r="D505" s="195"/>
      <c r="E505" s="197"/>
      <c r="F505" s="197"/>
      <c r="G505" s="423"/>
      <c r="H505" s="424" t="s">
        <v>36</v>
      </c>
      <c r="I505" s="189">
        <f ca="1">IFERROR(__xludf.DUMMYFUNCTION("IMPORTRANGE(""https://docs.google.com/spreadsheets/d/11923uPwbBZFjjGgGUA6NLw09EwE0CqkOc4q9oUmW1yo/edit?usp=sharing"",""พิจิตร!I400"")"),0)</f>
        <v>0</v>
      </c>
      <c r="J505" s="199">
        <f ca="1">IFERROR(__xludf.DUMMYFUNCTION("IMPORTRANGE(""https://docs.google.com/spreadsheets/d/11923uPwbBZFjjGgGUA6NLw09EwE0CqkOc4q9oUmW1yo/edit?usp=sharing"",""พิจิตร!J400"")"),0)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>
      <c r="A506" s="177"/>
      <c r="B506" s="178"/>
      <c r="C506" s="178"/>
      <c r="D506" s="195"/>
      <c r="E506" s="197"/>
      <c r="F506" s="400" t="s">
        <v>188</v>
      </c>
      <c r="G506" s="423"/>
      <c r="H506" s="424" t="s">
        <v>122</v>
      </c>
      <c r="I506" s="205">
        <f ca="1">IFERROR(__xludf.DUMMYFUNCTION("IMPORTRANGE(""https://docs.google.com/spreadsheets/d/11923uPwbBZFjjGgGUA6NLw09EwE0CqkOc4q9oUmW1yo/edit?usp=sharing"",""พิจิตร!I401"")"),0)</f>
        <v>0</v>
      </c>
      <c r="J506" s="190">
        <f ca="1">IFERROR(__xludf.DUMMYFUNCTION("IMPORTRANGE(""https://docs.google.com/spreadsheets/d/11923uPwbBZFjjGgGUA6NLw09EwE0CqkOc4q9oUmW1yo/edit?usp=sharing"",""พิจิตร!J401"")"),0)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>
      <c r="A507" s="177"/>
      <c r="B507" s="178"/>
      <c r="C507" s="178"/>
      <c r="D507" s="195"/>
      <c r="E507" s="197"/>
      <c r="F507" s="197"/>
      <c r="G507" s="197"/>
      <c r="H507" s="424" t="s">
        <v>36</v>
      </c>
      <c r="I507" s="189">
        <f ca="1">IFERROR(__xludf.DUMMYFUNCTION("IMPORTRANGE(""https://docs.google.com/spreadsheets/d/11923uPwbBZFjjGgGUA6NLw09EwE0CqkOc4q9oUmW1yo/edit?usp=sharing"",""พิจิตร!I402"")"),0)</f>
        <v>0</v>
      </c>
      <c r="J507" s="199">
        <f ca="1">IFERROR(__xludf.DUMMYFUNCTION("IMPORTRANGE(""https://docs.google.com/spreadsheets/d/11923uPwbBZFjjGgGUA6NLw09EwE0CqkOc4q9oUmW1yo/edit?usp=sharing"",""พิจิตร!J402"")"),0)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>
      <c r="A508" s="177"/>
      <c r="B508" s="178"/>
      <c r="C508" s="178"/>
      <c r="D508" s="195"/>
      <c r="E508" s="196" t="s">
        <v>189</v>
      </c>
      <c r="F508" s="197"/>
      <c r="G508" s="423"/>
      <c r="H508" s="424" t="s">
        <v>122</v>
      </c>
      <c r="I508" s="189">
        <f ca="1">IFERROR(__xludf.DUMMYFUNCTION("IMPORTRANGE(""https://docs.google.com/spreadsheets/d/11923uPwbBZFjjGgGUA6NLw09EwE0CqkOc4q9oUmW1yo/edit?usp=sharing"",""พิจิตร!I403"")"),0)</f>
        <v>0</v>
      </c>
      <c r="J508" s="164">
        <f ca="1">IFERROR(__xludf.DUMMYFUNCTION("IMPORTRANGE(""https://docs.google.com/spreadsheets/d/11923uPwbBZFjjGgGUA6NLw09EwE0CqkOc4q9oUmW1yo/edit?usp=sharing"",""พิจิตร!J403"")"),0)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>
      <c r="A509" s="177"/>
      <c r="B509" s="178"/>
      <c r="C509" s="178"/>
      <c r="D509" s="195"/>
      <c r="E509" s="197"/>
      <c r="F509" s="197"/>
      <c r="G509" s="197"/>
      <c r="H509" s="424" t="s">
        <v>36</v>
      </c>
      <c r="I509" s="189">
        <f ca="1">IFERROR(__xludf.DUMMYFUNCTION("IMPORTRANGE(""https://docs.google.com/spreadsheets/d/11923uPwbBZFjjGgGUA6NLw09EwE0CqkOc4q9oUmW1yo/edit?usp=sharing"",""พิจิตร!I404"")"),0)</f>
        <v>0</v>
      </c>
      <c r="J509" s="164">
        <f ca="1">IFERROR(__xludf.DUMMYFUNCTION("IMPORTRANGE(""https://docs.google.com/spreadsheets/d/11923uPwbBZFjjGgGUA6NLw09EwE0CqkOc4q9oUmW1yo/edit?usp=sharing"",""พิจิตร!J404"")"),0)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>
      <c r="A510" s="177"/>
      <c r="B510" s="178"/>
      <c r="C510" s="178"/>
      <c r="D510" s="195"/>
      <c r="E510" s="197"/>
      <c r="F510" s="196" t="s">
        <v>190</v>
      </c>
      <c r="G510" s="197"/>
      <c r="H510" s="424" t="s">
        <v>122</v>
      </c>
      <c r="I510" s="189">
        <f ca="1">IFERROR(__xludf.DUMMYFUNCTION("IMPORTRANGE(""https://docs.google.com/spreadsheets/d/11923uPwbBZFjjGgGUA6NLw09EwE0CqkOc4q9oUmW1yo/edit?usp=sharing"",""พิจิตร!I405"")"),0)</f>
        <v>0</v>
      </c>
      <c r="J510" s="199">
        <f ca="1">IFERROR(__xludf.DUMMYFUNCTION("IMPORTRANGE(""https://docs.google.com/spreadsheets/d/11923uPwbBZFjjGgGUA6NLw09EwE0CqkOc4q9oUmW1yo/edit?usp=sharing"",""พิจิตร!J405"")"),0)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>
      <c r="A511" s="177"/>
      <c r="B511" s="178"/>
      <c r="C511" s="178"/>
      <c r="D511" s="195"/>
      <c r="E511" s="197"/>
      <c r="F511" s="197"/>
      <c r="G511" s="197"/>
      <c r="H511" s="424" t="s">
        <v>36</v>
      </c>
      <c r="I511" s="189">
        <f ca="1">IFERROR(__xludf.DUMMYFUNCTION("IMPORTRANGE(""https://docs.google.com/spreadsheets/d/11923uPwbBZFjjGgGUA6NLw09EwE0CqkOc4q9oUmW1yo/edit?usp=sharing"",""พิจิตร!I406"")"),0)</f>
        <v>0</v>
      </c>
      <c r="J511" s="199">
        <f ca="1">IFERROR(__xludf.DUMMYFUNCTION("IMPORTRANGE(""https://docs.google.com/spreadsheets/d/11923uPwbBZFjjGgGUA6NLw09EwE0CqkOc4q9oUmW1yo/edit?usp=sharing"",""พิจิตร!J406"")"),0)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>
      <c r="A512" s="177"/>
      <c r="B512" s="178"/>
      <c r="C512" s="178"/>
      <c r="D512" s="195"/>
      <c r="E512" s="197"/>
      <c r="F512" s="196" t="s">
        <v>191</v>
      </c>
      <c r="G512" s="197"/>
      <c r="H512" s="424" t="s">
        <v>122</v>
      </c>
      <c r="I512" s="189">
        <f ca="1">IFERROR(__xludf.DUMMYFUNCTION("IMPORTRANGE(""https://docs.google.com/spreadsheets/d/11923uPwbBZFjjGgGUA6NLw09EwE0CqkOc4q9oUmW1yo/edit?usp=sharing"",""พิจิตร!I407"")"),0)</f>
        <v>0</v>
      </c>
      <c r="J512" s="199">
        <f ca="1">IFERROR(__xludf.DUMMYFUNCTION("IMPORTRANGE(""https://docs.google.com/spreadsheets/d/11923uPwbBZFjjGgGUA6NLw09EwE0CqkOc4q9oUmW1yo/edit?usp=sharing"",""พิจิตร!J407"")"),0)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>
      <c r="A513" s="177"/>
      <c r="B513" s="178"/>
      <c r="C513" s="178"/>
      <c r="D513" s="195"/>
      <c r="E513" s="197"/>
      <c r="F513" s="197"/>
      <c r="G513" s="198"/>
      <c r="H513" s="424" t="s">
        <v>36</v>
      </c>
      <c r="I513" s="189">
        <f ca="1">IFERROR(__xludf.DUMMYFUNCTION("IMPORTRANGE(""https://docs.google.com/spreadsheets/d/11923uPwbBZFjjGgGUA6NLw09EwE0CqkOc4q9oUmW1yo/edit?usp=sharing"",""พิจิตร!I408"")"),0)</f>
        <v>0</v>
      </c>
      <c r="J513" s="199">
        <f ca="1">IFERROR(__xludf.DUMMYFUNCTION("IMPORTRANGE(""https://docs.google.com/spreadsheets/d/11923uPwbBZFjjGgGUA6NLw09EwE0CqkOc4q9oUmW1yo/edit?usp=sharing"",""พิจิตร!J408"")"),0)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>
      <c r="A514" s="177"/>
      <c r="B514" s="178"/>
      <c r="C514" s="178"/>
      <c r="D514" s="405"/>
      <c r="E514" s="452" t="s">
        <v>192</v>
      </c>
      <c r="F514" s="197"/>
      <c r="G514" s="198"/>
      <c r="H514" s="424" t="s">
        <v>122</v>
      </c>
      <c r="I514" s="189">
        <f ca="1">IFERROR(__xludf.DUMMYFUNCTION("IMPORTRANGE(""https://docs.google.com/spreadsheets/d/11923uPwbBZFjjGgGUA6NLw09EwE0CqkOc4q9oUmW1yo/edit?usp=sharing"",""พิจิตร!I409"")"),0)</f>
        <v>0</v>
      </c>
      <c r="J514" s="199">
        <f ca="1">IFERROR(__xludf.DUMMYFUNCTION("IMPORTRANGE(""https://docs.google.com/spreadsheets/d/11923uPwbBZFjjGgGUA6NLw09EwE0CqkOc4q9oUmW1yo/edit?usp=sharing"",""พิจิตร!J409"")"),0)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>
      <c r="A515" s="177"/>
      <c r="B515" s="178"/>
      <c r="C515" s="178"/>
      <c r="D515" s="195"/>
      <c r="E515" s="197"/>
      <c r="F515" s="197"/>
      <c r="G515" s="198"/>
      <c r="H515" s="424" t="s">
        <v>36</v>
      </c>
      <c r="I515" s="189">
        <f ca="1">IFERROR(__xludf.DUMMYFUNCTION("IMPORTRANGE(""https://docs.google.com/spreadsheets/d/11923uPwbBZFjjGgGUA6NLw09EwE0CqkOc4q9oUmW1yo/edit?usp=sharing"",""พิจิตร!I410"")"),0)</f>
        <v>0</v>
      </c>
      <c r="J515" s="199">
        <f ca="1">IFERROR(__xludf.DUMMYFUNCTION("IMPORTRANGE(""https://docs.google.com/spreadsheets/d/11923uPwbBZFjjGgGUA6NLw09EwE0CqkOc4q9oUmW1yo/edit?usp=sharing"",""พิจิตร!J410"")"),0)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>
      <c r="A516" s="177"/>
      <c r="B516" s="178"/>
      <c r="C516" s="417" t="s">
        <v>193</v>
      </c>
      <c r="D516" s="417"/>
      <c r="E516" s="453"/>
      <c r="F516" s="453"/>
      <c r="G516" s="454"/>
      <c r="H516" s="455" t="s">
        <v>122</v>
      </c>
      <c r="I516" s="268">
        <f ca="1">IFERROR(__xludf.DUMMYFUNCTION("IMPORTRANGE(""https://docs.google.com/spreadsheets/d/11923uPwbBZFjjGgGUA6NLw09EwE0CqkOc4q9oUmW1yo/edit?usp=sharing"",""พิจิตร!I411"")"),0)</f>
        <v>0</v>
      </c>
      <c r="J516" s="268">
        <f ca="1">IFERROR(__xludf.DUMMYFUNCTION("IMPORTRANGE(""https://docs.google.com/spreadsheets/d/11923uPwbBZFjjGgGUA6NLw09EwE0CqkOc4q9oUmW1yo/edit?usp=sharing"",""พิจิตร!J411"")"),0)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>
      <c r="A517" s="177"/>
      <c r="B517" s="178"/>
      <c r="C517" s="456"/>
      <c r="D517" s="456"/>
      <c r="E517" s="456" t="s">
        <v>194</v>
      </c>
      <c r="F517" s="457"/>
      <c r="G517" s="458"/>
      <c r="H517" s="459" t="s">
        <v>122</v>
      </c>
      <c r="I517" s="285">
        <f ca="1">IFERROR(__xludf.DUMMYFUNCTION("IMPORTRANGE(""https://docs.google.com/spreadsheets/d/11923uPwbBZFjjGgGUA6NLw09EwE0CqkOc4q9oUmW1yo/edit?usp=sharing"",""พิจิตร!I412"")"),0)</f>
        <v>0</v>
      </c>
      <c r="J517" s="285">
        <f ca="1">IFERROR(__xludf.DUMMYFUNCTION("IMPORTRANGE(""https://docs.google.com/spreadsheets/d/11923uPwbBZFjjGgGUA6NLw09EwE0CqkOc4q9oUmW1yo/edit?usp=sharing"",""พิจิตร!J412"")"),0)</f>
        <v>0</v>
      </c>
      <c r="K517" s="286">
        <v>0</v>
      </c>
      <c r="L517" s="183"/>
      <c r="M517" s="183"/>
      <c r="N517" s="183"/>
      <c r="O517" s="183"/>
      <c r="P517" s="183"/>
    </row>
    <row r="518" spans="1:16" ht="21.75" customHeight="1">
      <c r="A518" s="177"/>
      <c r="B518" s="178"/>
      <c r="C518" s="456"/>
      <c r="D518" s="456"/>
      <c r="E518" s="456" t="s">
        <v>195</v>
      </c>
      <c r="F518" s="457"/>
      <c r="G518" s="458"/>
      <c r="H518" s="459" t="s">
        <v>36</v>
      </c>
      <c r="I518" s="285">
        <f ca="1">IFERROR(__xludf.DUMMYFUNCTION("IMPORTRANGE(""https://docs.google.com/spreadsheets/d/11923uPwbBZFjjGgGUA6NLw09EwE0CqkOc4q9oUmW1yo/edit?usp=sharing"",""พิจิตร!I413"")"),0)</f>
        <v>0</v>
      </c>
      <c r="J518" s="285">
        <f ca="1">IFERROR(__xludf.DUMMYFUNCTION("IMPORTRANGE(""https://docs.google.com/spreadsheets/d/11923uPwbBZFjjGgGUA6NLw09EwE0CqkOc4q9oUmW1yo/edit?usp=sharing"",""พิจิตร!J413"")"),0)</f>
        <v>0</v>
      </c>
      <c r="K518" s="286">
        <v>0</v>
      </c>
      <c r="L518" s="183"/>
      <c r="M518" s="183"/>
      <c r="N518" s="183"/>
      <c r="O518" s="183"/>
      <c r="P518" s="183"/>
    </row>
    <row r="519" spans="1:16" ht="21.75" customHeight="1">
      <c r="A519" s="177"/>
      <c r="B519" s="178"/>
      <c r="C519" s="178"/>
      <c r="D519" s="195"/>
      <c r="E519" s="197"/>
      <c r="F519" s="197"/>
      <c r="G519" s="227" t="s">
        <v>196</v>
      </c>
      <c r="H519" s="424" t="s">
        <v>122</v>
      </c>
      <c r="I519" s="189">
        <f ca="1">IFERROR(__xludf.DUMMYFUNCTION("IMPORTRANGE(""https://docs.google.com/spreadsheets/d/11923uPwbBZFjjGgGUA6NLw09EwE0CqkOc4q9oUmW1yo/edit?usp=sharing"",""พิจิตร!I414"")"),0)</f>
        <v>0</v>
      </c>
      <c r="J519" s="189">
        <f ca="1">IFERROR(__xludf.DUMMYFUNCTION("IMPORTRANGE(""https://docs.google.com/spreadsheets/d/11923uPwbBZFjjGgGUA6NLw09EwE0CqkOc4q9oUmW1yo/edit?usp=sharing"",""พิจิตร!J414"")"),0)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>
      <c r="A520" s="177"/>
      <c r="B520" s="178"/>
      <c r="C520" s="178"/>
      <c r="D520" s="195"/>
      <c r="E520" s="197"/>
      <c r="F520" s="197"/>
      <c r="G520" s="198"/>
      <c r="H520" s="424" t="s">
        <v>36</v>
      </c>
      <c r="I520" s="189">
        <f ca="1">IFERROR(__xludf.DUMMYFUNCTION("IMPORTRANGE(""https://docs.google.com/spreadsheets/d/11923uPwbBZFjjGgGUA6NLw09EwE0CqkOc4q9oUmW1yo/edit?usp=sharing"",""พิจิตร!I415"")"),0)</f>
        <v>0</v>
      </c>
      <c r="J520" s="189">
        <f ca="1">IFERROR(__xludf.DUMMYFUNCTION("IMPORTRANGE(""https://docs.google.com/spreadsheets/d/11923uPwbBZFjjGgGUA6NLw09EwE0CqkOc4q9oUmW1yo/edit?usp=sharing"",""พิจิตร!J415"")"),0)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>
      <c r="A521" s="177"/>
      <c r="B521" s="178"/>
      <c r="C521" s="178"/>
      <c r="D521" s="195"/>
      <c r="E521" s="197"/>
      <c r="F521" s="197"/>
      <c r="G521" s="227" t="s">
        <v>197</v>
      </c>
      <c r="H521" s="424" t="s">
        <v>122</v>
      </c>
      <c r="I521" s="189">
        <f ca="1">IFERROR(__xludf.DUMMYFUNCTION("IMPORTRANGE(""https://docs.google.com/spreadsheets/d/11923uPwbBZFjjGgGUA6NLw09EwE0CqkOc4q9oUmW1yo/edit?usp=sharing"",""พิจิตร!I416"")"),0)</f>
        <v>0</v>
      </c>
      <c r="J521" s="189">
        <f ca="1">IFERROR(__xludf.DUMMYFUNCTION("IMPORTRANGE(""https://docs.google.com/spreadsheets/d/11923uPwbBZFjjGgGUA6NLw09EwE0CqkOc4q9oUmW1yo/edit?usp=sharing"",""พิจิตร!J416"")"),0)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>
      <c r="A522" s="177"/>
      <c r="B522" s="178"/>
      <c r="C522" s="178"/>
      <c r="D522" s="195"/>
      <c r="E522" s="197"/>
      <c r="F522" s="197"/>
      <c r="G522" s="198"/>
      <c r="H522" s="424" t="s">
        <v>36</v>
      </c>
      <c r="I522" s="189">
        <f ca="1">IFERROR(__xludf.DUMMYFUNCTION("IMPORTRANGE(""https://docs.google.com/spreadsheets/d/11923uPwbBZFjjGgGUA6NLw09EwE0CqkOc4q9oUmW1yo/edit?usp=sharing"",""พิจิตร!I417"")"),0)</f>
        <v>0</v>
      </c>
      <c r="J522" s="189">
        <f ca="1">IFERROR(__xludf.DUMMYFUNCTION("IMPORTRANGE(""https://docs.google.com/spreadsheets/d/11923uPwbBZFjjGgGUA6NLw09EwE0CqkOc4q9oUmW1yo/edit?usp=sharing"",""พิจิตร!J417"")"),0)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>
      <c r="A523" s="177"/>
      <c r="B523" s="178"/>
      <c r="C523" s="178"/>
      <c r="D523" s="195"/>
      <c r="E523" s="197"/>
      <c r="F523" s="197"/>
      <c r="G523" s="460" t="s">
        <v>198</v>
      </c>
      <c r="H523" s="424" t="s">
        <v>122</v>
      </c>
      <c r="I523" s="189">
        <f ca="1">IFERROR(__xludf.DUMMYFUNCTION("IMPORTRANGE(""https://docs.google.com/spreadsheets/d/11923uPwbBZFjjGgGUA6NLw09EwE0CqkOc4q9oUmW1yo/edit?usp=sharing"",""พิจิตร!I418"")"),0)</f>
        <v>0</v>
      </c>
      <c r="J523" s="189">
        <f ca="1">IFERROR(__xludf.DUMMYFUNCTION("IMPORTRANGE(""https://docs.google.com/spreadsheets/d/11923uPwbBZFjjGgGUA6NLw09EwE0CqkOc4q9oUmW1yo/edit?usp=sharing"",""พิจิตร!J418"")"),106)</f>
        <v>106</v>
      </c>
      <c r="K523" s="165">
        <v>0</v>
      </c>
      <c r="L523" s="183"/>
      <c r="M523" s="183"/>
      <c r="N523" s="183"/>
      <c r="O523" s="183"/>
      <c r="P523" s="183"/>
    </row>
    <row r="524" spans="1:16" ht="21.75" customHeight="1">
      <c r="A524" s="177"/>
      <c r="B524" s="178"/>
      <c r="C524" s="178"/>
      <c r="D524" s="195"/>
      <c r="E524" s="197"/>
      <c r="F524" s="197"/>
      <c r="G524" s="198"/>
      <c r="H524" s="424" t="s">
        <v>36</v>
      </c>
      <c r="I524" s="189">
        <f ca="1">IFERROR(__xludf.DUMMYFUNCTION("IMPORTRANGE(""https://docs.google.com/spreadsheets/d/11923uPwbBZFjjGgGUA6NLw09EwE0CqkOc4q9oUmW1yo/edit?usp=sharing"",""พิจิตร!I419"")"),0)</f>
        <v>0</v>
      </c>
      <c r="J524" s="189">
        <f ca="1">IFERROR(__xludf.DUMMYFUNCTION("IMPORTRANGE(""https://docs.google.com/spreadsheets/d/11923uPwbBZFjjGgGUA6NLw09EwE0CqkOc4q9oUmW1yo/edit?usp=sharing"",""พิจิตร!J419"")"),30)</f>
        <v>30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>
      <c r="A525" s="177"/>
      <c r="B525" s="178"/>
      <c r="C525" s="456"/>
      <c r="D525" s="456"/>
      <c r="E525" s="456" t="s">
        <v>199</v>
      </c>
      <c r="F525" s="457"/>
      <c r="G525" s="458"/>
      <c r="H525" s="459" t="s">
        <v>122</v>
      </c>
      <c r="I525" s="285">
        <f ca="1">IFERROR(__xludf.DUMMYFUNCTION("IMPORTRANGE(""https://docs.google.com/spreadsheets/d/11923uPwbBZFjjGgGUA6NLw09EwE0CqkOc4q9oUmW1yo/edit?usp=sharing"",""พิจิตร!I420"")"),106)</f>
        <v>106</v>
      </c>
      <c r="J525" s="285">
        <f ca="1">IFERROR(__xludf.DUMMYFUNCTION("IMPORTRANGE(""https://docs.google.com/spreadsheets/d/11923uPwbBZFjjGgGUA6NLw09EwE0CqkOc4q9oUmW1yo/edit?usp=sharing"",""พิจิตร!J420"")"),0)</f>
        <v>0</v>
      </c>
      <c r="K525" s="286">
        <v>0</v>
      </c>
      <c r="L525" s="183"/>
      <c r="M525" s="183"/>
      <c r="N525" s="183"/>
      <c r="O525" s="183"/>
      <c r="P525" s="183"/>
    </row>
    <row r="526" spans="1:16" ht="21.75" customHeight="1">
      <c r="A526" s="177"/>
      <c r="B526" s="178"/>
      <c r="C526" s="456"/>
      <c r="D526" s="456"/>
      <c r="E526" s="456" t="s">
        <v>200</v>
      </c>
      <c r="F526" s="457"/>
      <c r="G526" s="458"/>
      <c r="H526" s="459" t="s">
        <v>36</v>
      </c>
      <c r="I526" s="285">
        <f ca="1">IFERROR(__xludf.DUMMYFUNCTION("IMPORTRANGE(""https://docs.google.com/spreadsheets/d/11923uPwbBZFjjGgGUA6NLw09EwE0CqkOc4q9oUmW1yo/edit?usp=sharing"",""พิจิตร!I421"")"),30)</f>
        <v>30</v>
      </c>
      <c r="J526" s="285">
        <f ca="1">IFERROR(__xludf.DUMMYFUNCTION("IMPORTRANGE(""https://docs.google.com/spreadsheets/d/11923uPwbBZFjjGgGUA6NLw09EwE0CqkOc4q9oUmW1yo/edit?usp=sharing"",""พิจิตร!J421"")"),0)</f>
        <v>0</v>
      </c>
      <c r="K526" s="286">
        <v>0</v>
      </c>
      <c r="L526" s="183"/>
      <c r="M526" s="183"/>
      <c r="N526" s="183"/>
      <c r="O526" s="183"/>
      <c r="P526" s="183"/>
    </row>
    <row r="527" spans="1:16" ht="21.75" customHeight="1">
      <c r="A527" s="177"/>
      <c r="B527" s="178"/>
      <c r="C527" s="178"/>
      <c r="D527" s="195"/>
      <c r="E527" s="197"/>
      <c r="F527" s="197"/>
      <c r="G527" s="227" t="s">
        <v>196</v>
      </c>
      <c r="H527" s="424" t="s">
        <v>122</v>
      </c>
      <c r="I527" s="189">
        <f ca="1">IFERROR(__xludf.DUMMYFUNCTION("IMPORTRANGE(""https://docs.google.com/spreadsheets/d/11923uPwbBZFjjGgGUA6NLw09EwE0CqkOc4q9oUmW1yo/edit?usp=sharing"",""พิจิตร!I422"")"),0)</f>
        <v>0</v>
      </c>
      <c r="J527" s="199">
        <f ca="1">IFERROR(__xludf.DUMMYFUNCTION("IMPORTRANGE(""https://docs.google.com/spreadsheets/d/11923uPwbBZFjjGgGUA6NLw09EwE0CqkOc4q9oUmW1yo/edit?usp=sharing"",""พิจิตร!J422"")"),0)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>
      <c r="A528" s="177"/>
      <c r="B528" s="178"/>
      <c r="C528" s="178"/>
      <c r="D528" s="195"/>
      <c r="E528" s="197"/>
      <c r="F528" s="197"/>
      <c r="G528" s="198"/>
      <c r="H528" s="424" t="s">
        <v>36</v>
      </c>
      <c r="I528" s="189">
        <f ca="1">IFERROR(__xludf.DUMMYFUNCTION("IMPORTRANGE(""https://docs.google.com/spreadsheets/d/11923uPwbBZFjjGgGUA6NLw09EwE0CqkOc4q9oUmW1yo/edit?usp=sharing"",""พิจิตร!I423"")"),0)</f>
        <v>0</v>
      </c>
      <c r="J528" s="199">
        <f ca="1">IFERROR(__xludf.DUMMYFUNCTION("IMPORTRANGE(""https://docs.google.com/spreadsheets/d/11923uPwbBZFjjGgGUA6NLw09EwE0CqkOc4q9oUmW1yo/edit?usp=sharing"",""พิจิตร!J423"")"),0)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>
      <c r="A529" s="177"/>
      <c r="B529" s="178"/>
      <c r="C529" s="178"/>
      <c r="D529" s="195"/>
      <c r="E529" s="197"/>
      <c r="F529" s="197"/>
      <c r="G529" s="227" t="s">
        <v>197</v>
      </c>
      <c r="H529" s="424" t="s">
        <v>122</v>
      </c>
      <c r="I529" s="189">
        <f ca="1">IFERROR(__xludf.DUMMYFUNCTION("IMPORTRANGE(""https://docs.google.com/spreadsheets/d/11923uPwbBZFjjGgGUA6NLw09EwE0CqkOc4q9oUmW1yo/edit?usp=sharing"",""พิจิตร!I424"")"),0)</f>
        <v>0</v>
      </c>
      <c r="J529" s="199">
        <f ca="1">IFERROR(__xludf.DUMMYFUNCTION("IMPORTRANGE(""https://docs.google.com/spreadsheets/d/11923uPwbBZFjjGgGUA6NLw09EwE0CqkOc4q9oUmW1yo/edit?usp=sharing"",""พิจิตร!J424"")"),0)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>
      <c r="A530" s="177"/>
      <c r="B530" s="178"/>
      <c r="C530" s="178"/>
      <c r="D530" s="195"/>
      <c r="E530" s="197"/>
      <c r="F530" s="197"/>
      <c r="G530" s="198"/>
      <c r="H530" s="424" t="s">
        <v>36</v>
      </c>
      <c r="I530" s="189">
        <f ca="1">IFERROR(__xludf.DUMMYFUNCTION("IMPORTRANGE(""https://docs.google.com/spreadsheets/d/11923uPwbBZFjjGgGUA6NLw09EwE0CqkOc4q9oUmW1yo/edit?usp=sharing"",""พิจิตร!I425"")"),0)</f>
        <v>0</v>
      </c>
      <c r="J530" s="199">
        <f ca="1">IFERROR(__xludf.DUMMYFUNCTION("IMPORTRANGE(""https://docs.google.com/spreadsheets/d/11923uPwbBZFjjGgGUA6NLw09EwE0CqkOc4q9oUmW1yo/edit?usp=sharing"",""พิจิตร!J425"")"),0)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>
      <c r="A531" s="177"/>
      <c r="B531" s="178"/>
      <c r="C531" s="178"/>
      <c r="D531" s="195"/>
      <c r="E531" s="197"/>
      <c r="F531" s="197"/>
      <c r="G531" s="227" t="s">
        <v>201</v>
      </c>
      <c r="H531" s="424" t="s">
        <v>122</v>
      </c>
      <c r="I531" s="189">
        <f ca="1">IFERROR(__xludf.DUMMYFUNCTION("IMPORTRANGE(""https://docs.google.com/spreadsheets/d/11923uPwbBZFjjGgGUA6NLw09EwE0CqkOc4q9oUmW1yo/edit?usp=sharing"",""พิจิตร!I426"")"),0)</f>
        <v>0</v>
      </c>
      <c r="J531" s="199">
        <f ca="1">IFERROR(__xludf.DUMMYFUNCTION("IMPORTRANGE(""https://docs.google.com/spreadsheets/d/11923uPwbBZFjjGgGUA6NLw09EwE0CqkOc4q9oUmW1yo/edit?usp=sharing"",""พิจิตร!J426"")"),0)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IFERROR(__xludf.DUMMYFUNCTION("IMPORTRANGE(""https://docs.google.com/spreadsheets/d/11923uPwbBZFjjGgGUA6NLw09EwE0CqkOc4q9oUmW1yo/edit?usp=sharing"",""พิจิตร!I427"")"),0)</f>
        <v>0</v>
      </c>
      <c r="J532" s="468">
        <f ca="1">IFERROR(__xludf.DUMMYFUNCTION("IMPORTRANGE(""https://docs.google.com/spreadsheets/d/11923uPwbBZFjjGgGUA6NLw09EwE0CqkOc4q9oUmW1yo/edit?usp=sharing"",""พิจิตร!J427"")"),0)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6"/>
      <c r="B533" s="407">
        <v>6</v>
      </c>
      <c r="C533" s="408" t="s">
        <v>202</v>
      </c>
      <c r="D533" s="408"/>
      <c r="E533" s="408"/>
      <c r="F533" s="408"/>
      <c r="G533" s="409"/>
      <c r="H533" s="410" t="s">
        <v>37</v>
      </c>
      <c r="I533" s="411">
        <f ca="1">IFERROR(__xludf.DUMMYFUNCTION("IMPORTRANGE(""https://docs.google.com/spreadsheets/d/11923uPwbBZFjjGgGUA6NLw09EwE0CqkOc4q9oUmW1yo/edit?usp=sharing"",""พิจิตร!I428"")"),22)</f>
        <v>22</v>
      </c>
      <c r="J533" s="411">
        <f ca="1">IFERROR(__xludf.DUMMYFUNCTION("IMPORTRANGE(""https://docs.google.com/spreadsheets/d/11923uPwbBZFjjGgGUA6NLw09EwE0CqkOc4q9oUmW1yo/edit?usp=sharing"",""พิจิตร!J428"")"),22)</f>
        <v>22</v>
      </c>
      <c r="K533" s="412">
        <f ca="1">IF(I533&gt;0,J533*100/I533,0)</f>
        <v>100</v>
      </c>
      <c r="L533" s="413">
        <f ca="1">IFERROR(__xludf.DUMMYFUNCTION("IMPORTRANGE(""https://docs.google.com/spreadsheets/d/11923uPwbBZFjjGgGUA6NLw09EwE0CqkOc4q9oUmW1yo/edit?usp=sharing"",""พิจิตร!L428"")"),34340)</f>
        <v>34340</v>
      </c>
      <c r="M533" s="413"/>
      <c r="N533" s="413">
        <f ca="1">IFERROR(__xludf.DUMMYFUNCTION("IMPORTRANGE(""https://docs.google.com/spreadsheets/d/11923uPwbBZFjjGgGUA6NLw09EwE0CqkOc4q9oUmW1yo/edit?usp=sharing"",""พิจิตร!M428"")"),18181)</f>
        <v>18181</v>
      </c>
      <c r="O533" s="413">
        <f t="shared" ref="O533:O537" ca="1" si="118">+IF(L533&gt;0,N533*100/L533,0)</f>
        <v>52.944088526499712</v>
      </c>
      <c r="P533" s="413"/>
    </row>
    <row r="534" spans="1:16" ht="21.75" customHeight="1">
      <c r="A534" s="159"/>
      <c r="B534" s="160"/>
      <c r="C534" s="160" t="s">
        <v>16</v>
      </c>
      <c r="D534" s="279" t="s">
        <v>77</v>
      </c>
      <c r="E534" s="161"/>
      <c r="F534" s="161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IFERROR(__xludf.DUMMYFUNCTION("IMPORTRANGE(""https://docs.google.com/spreadsheets/d/11923uPwbBZFjjGgGUA6NLw09EwE0CqkOc4q9oUmW1yo/edit?usp=sharing"",""พิจิตร!L429"")"),0)</f>
        <v>0</v>
      </c>
      <c r="M534" s="166"/>
      <c r="N534" s="170">
        <f ca="1">IFERROR(__xludf.DUMMYFUNCTION("IMPORTRANGE(""https://docs.google.com/spreadsheets/d/11923uPwbBZFjjGgGUA6NLw09EwE0CqkOc4q9oUmW1yo/edit?usp=sharing"",""พิจิตร!M429"")"),0)</f>
        <v>0</v>
      </c>
      <c r="O534" s="170">
        <f t="shared" ca="1" si="118"/>
        <v>0</v>
      </c>
      <c r="P534" s="170"/>
    </row>
    <row r="535" spans="1:16" ht="21.75" customHeight="1">
      <c r="A535" s="159"/>
      <c r="B535" s="160"/>
      <c r="C535" s="160"/>
      <c r="D535" s="168"/>
      <c r="E535" s="161"/>
      <c r="F535" s="161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IFERROR(__xludf.DUMMYFUNCTION("IMPORTRANGE(""https://docs.google.com/spreadsheets/d/11923uPwbBZFjjGgGUA6NLw09EwE0CqkOc4q9oUmW1yo/edit?usp=sharing"",""พิจิตร!L430"")"),34340)</f>
        <v>34340</v>
      </c>
      <c r="M535" s="167"/>
      <c r="N535" s="170">
        <f ca="1">IFERROR(__xludf.DUMMYFUNCTION("IMPORTRANGE(""https://docs.google.com/spreadsheets/d/11923uPwbBZFjjGgGUA6NLw09EwE0CqkOc4q9oUmW1yo/edit?usp=sharing"",""พิจิตร!M430"")"),18181)</f>
        <v>18181</v>
      </c>
      <c r="O535" s="170">
        <f t="shared" ca="1" si="118"/>
        <v>52.944088526499712</v>
      </c>
      <c r="P535" s="170"/>
    </row>
    <row r="536" spans="1:16" ht="21.75" customHeight="1">
      <c r="A536" s="159"/>
      <c r="B536" s="160"/>
      <c r="C536" s="160"/>
      <c r="D536" s="168"/>
      <c r="E536" s="161"/>
      <c r="F536" s="161"/>
      <c r="G536" s="375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IFERROR(__xludf.DUMMYFUNCTION("IMPORTRANGE(""https://docs.google.com/spreadsheets/d/11923uPwbBZFjjGgGUA6NLw09EwE0CqkOc4q9oUmW1yo/edit?usp=sharing"",""พิจิตร!L431"")"),0)</f>
        <v>0</v>
      </c>
      <c r="M536" s="170"/>
      <c r="N536" s="170">
        <f ca="1">IFERROR(__xludf.DUMMYFUNCTION("IMPORTRANGE(""https://docs.google.com/spreadsheets/d/11923uPwbBZFjjGgGUA6NLw09EwE0CqkOc4q9oUmW1yo/edit?usp=sharing"",""พิจิตร!M431"")"),0)</f>
        <v>0</v>
      </c>
      <c r="O536" s="170">
        <f t="shared" ca="1" si="118"/>
        <v>0</v>
      </c>
      <c r="P536" s="170"/>
    </row>
    <row r="537" spans="1:16" ht="21.75" customHeight="1">
      <c r="A537" s="159"/>
      <c r="B537" s="160"/>
      <c r="C537" s="160"/>
      <c r="D537" s="168"/>
      <c r="E537" s="161"/>
      <c r="F537" s="161"/>
      <c r="G537" s="375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IFERROR(__xludf.DUMMYFUNCTION("IMPORTRANGE(""https://docs.google.com/spreadsheets/d/11923uPwbBZFjjGgGUA6NLw09EwE0CqkOc4q9oUmW1yo/edit?usp=sharing"",""พิจิตร!L432"")"),34340)</f>
        <v>34340</v>
      </c>
      <c r="M537" s="170"/>
      <c r="N537" s="170">
        <f ca="1">IFERROR(__xludf.DUMMYFUNCTION("IMPORTRANGE(""https://docs.google.com/spreadsheets/d/11923uPwbBZFjjGgGUA6NLw09EwE0CqkOc4q9oUmW1yo/edit?usp=sharing"",""พิจิตร!M432"")"),18181)</f>
        <v>18181</v>
      </c>
      <c r="O537" s="170">
        <f t="shared" ca="1" si="118"/>
        <v>52.944088526499712</v>
      </c>
      <c r="P537" s="170"/>
    </row>
    <row r="538" spans="1:16" ht="21.75" customHeight="1">
      <c r="A538" s="376"/>
      <c r="B538" s="377"/>
      <c r="C538" s="160"/>
      <c r="D538" s="378"/>
      <c r="E538" s="161"/>
      <c r="F538" s="161"/>
      <c r="G538" s="379" t="s">
        <v>131</v>
      </c>
      <c r="H538" s="163" t="s">
        <v>12</v>
      </c>
      <c r="I538" s="189"/>
      <c r="J538" s="189"/>
      <c r="K538" s="225"/>
      <c r="L538" s="170"/>
      <c r="M538" s="170"/>
      <c r="N538" s="380">
        <f ca="1">IFERROR(__xludf.DUMMYFUNCTION("IMPORTRANGE(""https://docs.google.com/spreadsheets/d/11923uPwbBZFjjGgGUA6NLw09EwE0CqkOc4q9oUmW1yo/edit?usp=sharing"",""พิจิตร!M433"")"),17181)</f>
        <v>17181</v>
      </c>
      <c r="O538" s="170"/>
      <c r="P538" s="170"/>
    </row>
    <row r="539" spans="1:16" ht="21.75" customHeight="1">
      <c r="A539" s="376"/>
      <c r="B539" s="377"/>
      <c r="C539" s="160"/>
      <c r="D539" s="378"/>
      <c r="E539" s="161"/>
      <c r="F539" s="161"/>
      <c r="G539" s="379" t="s">
        <v>132</v>
      </c>
      <c r="H539" s="163" t="s">
        <v>12</v>
      </c>
      <c r="I539" s="189"/>
      <c r="J539" s="189"/>
      <c r="K539" s="225"/>
      <c r="L539" s="170"/>
      <c r="M539" s="170"/>
      <c r="N539" s="380">
        <f ca="1">IFERROR(__xludf.DUMMYFUNCTION("IMPORTRANGE(""https://docs.google.com/spreadsheets/d/11923uPwbBZFjjGgGUA6NLw09EwE0CqkOc4q9oUmW1yo/edit?usp=sharing"",""พิจิตร!M434"")"),0)</f>
        <v>0</v>
      </c>
      <c r="O539" s="170"/>
      <c r="P539" s="170"/>
    </row>
    <row r="540" spans="1:16" ht="21.75" customHeight="1">
      <c r="A540" s="376"/>
      <c r="B540" s="377"/>
      <c r="C540" s="160"/>
      <c r="D540" s="378"/>
      <c r="E540" s="161"/>
      <c r="F540" s="161"/>
      <c r="G540" s="379" t="s">
        <v>133</v>
      </c>
      <c r="H540" s="163" t="s">
        <v>12</v>
      </c>
      <c r="I540" s="189"/>
      <c r="J540" s="189"/>
      <c r="K540" s="225"/>
      <c r="L540" s="170"/>
      <c r="M540" s="170"/>
      <c r="N540" s="380">
        <f ca="1">IFERROR(__xludf.DUMMYFUNCTION("IMPORTRANGE(""https://docs.google.com/spreadsheets/d/11923uPwbBZFjjGgGUA6NLw09EwE0CqkOc4q9oUmW1yo/edit?usp=sharing"",""พิจิตร!M435"")"),0)</f>
        <v>0</v>
      </c>
      <c r="O540" s="170"/>
      <c r="P540" s="170"/>
    </row>
    <row r="541" spans="1:16" ht="21.75" customHeight="1">
      <c r="A541" s="376"/>
      <c r="B541" s="377"/>
      <c r="C541" s="160"/>
      <c r="D541" s="378"/>
      <c r="E541" s="161"/>
      <c r="F541" s="161"/>
      <c r="G541" s="379" t="s">
        <v>134</v>
      </c>
      <c r="H541" s="163" t="s">
        <v>12</v>
      </c>
      <c r="I541" s="189"/>
      <c r="J541" s="189"/>
      <c r="K541" s="225"/>
      <c r="L541" s="170"/>
      <c r="M541" s="170"/>
      <c r="N541" s="380">
        <f ca="1">IFERROR(__xludf.DUMMYFUNCTION("IMPORTRANGE(""https://docs.google.com/spreadsheets/d/11923uPwbBZFjjGgGUA6NLw09EwE0CqkOc4q9oUmW1yo/edit?usp=sharing"",""พิจิตร!M436"")"),1000)</f>
        <v>1000</v>
      </c>
      <c r="O541" s="170"/>
      <c r="P541" s="170"/>
    </row>
    <row r="542" spans="1:16" ht="21.75" customHeight="1">
      <c r="A542" s="177"/>
      <c r="B542" s="178"/>
      <c r="C542" s="160" t="s">
        <v>16</v>
      </c>
      <c r="D542" s="179" t="s">
        <v>43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>
      <c r="A543" s="177"/>
      <c r="B543" s="178"/>
      <c r="C543" s="178"/>
      <c r="D543" s="184">
        <v>1</v>
      </c>
      <c r="E543" s="185" t="s">
        <v>44</v>
      </c>
      <c r="F543" s="186"/>
      <c r="G543" s="187"/>
      <c r="H543" s="188"/>
      <c r="I543" s="189"/>
      <c r="J543" s="199">
        <f ca="1">IFERROR(__xludf.DUMMYFUNCTION("IMPORTRANGE(""https://docs.google.com/spreadsheets/d/11923uPwbBZFjjGgGUA6NLw09EwE0CqkOc4q9oUmW1yo/edit?usp=sharing"",""พิจิตร!J438"")"),0)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>
      <c r="A544" s="177"/>
      <c r="B544" s="178"/>
      <c r="C544" s="178"/>
      <c r="D544" s="191">
        <v>2</v>
      </c>
      <c r="E544" s="192" t="s">
        <v>45</v>
      </c>
      <c r="F544" s="193"/>
      <c r="G544" s="194"/>
      <c r="H544" s="188"/>
      <c r="I544" s="189"/>
      <c r="J544" s="190">
        <f ca="1">IFERROR(__xludf.DUMMYFUNCTION("IMPORTRANGE(""https://docs.google.com/spreadsheets/d/11923uPwbBZFjjGgGUA6NLw09EwE0CqkOc4q9oUmW1yo/edit?usp=sharing"",""พิจิตร!J439"")"),1)</f>
        <v>1</v>
      </c>
      <c r="K544" s="165"/>
      <c r="L544" s="183" t="s">
        <v>39</v>
      </c>
      <c r="M544" s="183"/>
      <c r="N544" s="183" t="s">
        <v>39</v>
      </c>
      <c r="O544" s="183"/>
      <c r="P544" s="183"/>
    </row>
    <row r="545" spans="1:16" ht="21.75" customHeight="1">
      <c r="A545" s="177"/>
      <c r="B545" s="178"/>
      <c r="C545" s="178"/>
      <c r="D545" s="195"/>
      <c r="E545" s="196" t="s">
        <v>46</v>
      </c>
      <c r="F545" s="197"/>
      <c r="G545" s="198"/>
      <c r="H545" s="188"/>
      <c r="I545" s="189"/>
      <c r="J545" s="190">
        <f ca="1">IFERROR(__xludf.DUMMYFUNCTION("IMPORTRANGE(""https://docs.google.com/spreadsheets/d/11923uPwbBZFjjGgGUA6NLw09EwE0CqkOc4q9oUmW1yo/edit?usp=sharing"",""พิจิตร!J440"")"),1)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>
      <c r="A546" s="177"/>
      <c r="B546" s="178"/>
      <c r="C546" s="178"/>
      <c r="D546" s="195"/>
      <c r="E546" s="196" t="s">
        <v>47</v>
      </c>
      <c r="F546" s="197"/>
      <c r="G546" s="198"/>
      <c r="H546" s="188"/>
      <c r="I546" s="189"/>
      <c r="J546" s="199">
        <f ca="1">IFERROR(__xludf.DUMMYFUNCTION("IMPORTRANGE(""https://docs.google.com/spreadsheets/d/11923uPwbBZFjjGgGUA6NLw09EwE0CqkOc4q9oUmW1yo/edit?usp=sharing"",""พิจิตร!J441"")"),1)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IFERROR(__xludf.DUMMYFUNCTION("IMPORTRANGE(""https://docs.google.com/spreadsheets/d/11923uPwbBZFjjGgGUA6NLw09EwE0CqkOc4q9oUmW1yo/edit?usp=sharing"",""พิจิตร!I442"")"),22)</f>
        <v>22</v>
      </c>
      <c r="J547" s="190">
        <f ca="1">IFERROR(__xludf.DUMMYFUNCTION("IMPORTRANGE(""https://docs.google.com/spreadsheets/d/11923uPwbBZFjjGgGUA6NLw09EwE0CqkOc4q9oUmW1yo/edit?usp=sharing"",""พิจิตร!J442"")"),22)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IFERROR(__xludf.DUMMYFUNCTION("IMPORTRANGE(""https://docs.google.com/spreadsheets/d/11923uPwbBZFjjGgGUA6NLw09EwE0CqkOc4q9oUmW1yo/edit?usp=sharing"",""พิจิตร!J166"")"),0)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>
      <c r="A549" s="177"/>
      <c r="B549" s="178"/>
      <c r="C549" s="178"/>
      <c r="D549" s="195"/>
      <c r="E549" s="196" t="s">
        <v>53</v>
      </c>
      <c r="F549" s="197"/>
      <c r="G549" s="198"/>
      <c r="H549" s="188"/>
      <c r="I549" s="189"/>
      <c r="J549" s="199">
        <f ca="1">IFERROR(__xludf.DUMMYFUNCTION("IMPORTRANGE(""https://docs.google.com/spreadsheets/d/11923uPwbBZFjjGgGUA6NLw09EwE0CqkOc4q9oUmW1yo/edit?usp=sharing"",""พิจิตร!J444"")"),1)</f>
        <v>1</v>
      </c>
      <c r="K549" s="165"/>
      <c r="L549" s="183"/>
      <c r="M549" s="183"/>
      <c r="N549" s="183"/>
      <c r="O549" s="183"/>
      <c r="P549" s="183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IFERROR(__xludf.DUMMYFUNCTION("IMPORTRANGE(""https://docs.google.com/spreadsheets/d/11923uPwbBZFjjGgGUA6NLw09EwE0CqkOc4q9oUmW1yo/edit?usp=sharing"",""พิจิตร!J445"")"),0)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6"/>
      <c r="B551" s="407">
        <v>7</v>
      </c>
      <c r="C551" s="408" t="s">
        <v>205</v>
      </c>
      <c r="D551" s="408"/>
      <c r="E551" s="408"/>
      <c r="F551" s="408"/>
      <c r="G551" s="409"/>
      <c r="H551" s="410" t="s">
        <v>122</v>
      </c>
      <c r="I551" s="411">
        <f ca="1">IFERROR(__xludf.DUMMYFUNCTION("IMPORTRANGE(""https://docs.google.com/spreadsheets/d/11923uPwbBZFjjGgGUA6NLw09EwE0CqkOc4q9oUmW1yo/edit?usp=sharing"",""พิจิตร!I446"")"),0)</f>
        <v>0</v>
      </c>
      <c r="J551" s="411">
        <f ca="1">IFERROR(__xludf.DUMMYFUNCTION("IMPORTRANGE(""https://docs.google.com/spreadsheets/d/11923uPwbBZFjjGgGUA6NLw09EwE0CqkOc4q9oUmW1yo/edit?usp=sharing"",""พิจิตร!J446"")"),0)</f>
        <v>0</v>
      </c>
      <c r="K551" s="412">
        <f ca="1">IF(I551&gt;0,J551*100/I551,0)</f>
        <v>0</v>
      </c>
      <c r="L551" s="413">
        <f ca="1">IFERROR(__xludf.DUMMYFUNCTION("IMPORTRANGE(""https://docs.google.com/spreadsheets/d/11923uPwbBZFjjGgGUA6NLw09EwE0CqkOc4q9oUmW1yo/edit?usp=sharing"",""พิจิตร!L446"")"),0)</f>
        <v>0</v>
      </c>
      <c r="M551" s="413"/>
      <c r="N551" s="413">
        <f ca="1">IFERROR(__xludf.DUMMYFUNCTION("IMPORTRANGE(""https://docs.google.com/spreadsheets/d/11923uPwbBZFjjGgGUA6NLw09EwE0CqkOc4q9oUmW1yo/edit?usp=sharing"",""พิจิตร!M446"")"),0)</f>
        <v>0</v>
      </c>
      <c r="O551" s="413">
        <f t="shared" ref="O551:O555" ca="1" si="120">+IF(L551&gt;0,N551*100/L551,0)</f>
        <v>0</v>
      </c>
      <c r="P551" s="413"/>
    </row>
    <row r="552" spans="1:16" ht="21.75" customHeight="1">
      <c r="A552" s="159"/>
      <c r="B552" s="160"/>
      <c r="C552" s="160" t="s">
        <v>16</v>
      </c>
      <c r="D552" s="279" t="s">
        <v>77</v>
      </c>
      <c r="E552" s="161"/>
      <c r="F552" s="161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IFERROR(__xludf.DUMMYFUNCTION("IMPORTRANGE(""https://docs.google.com/spreadsheets/d/11923uPwbBZFjjGgGUA6NLw09EwE0CqkOc4q9oUmW1yo/edit?usp=sharing"",""พิจิตร!L447"")"),0)</f>
        <v>0</v>
      </c>
      <c r="M552" s="166"/>
      <c r="N552" s="170">
        <f ca="1">IFERROR(__xludf.DUMMYFUNCTION("IMPORTRANGE(""https://docs.google.com/spreadsheets/d/11923uPwbBZFjjGgGUA6NLw09EwE0CqkOc4q9oUmW1yo/edit?usp=sharing"",""พิจิตร!M447"")"),0)</f>
        <v>0</v>
      </c>
      <c r="O552" s="170">
        <f t="shared" ca="1" si="120"/>
        <v>0</v>
      </c>
      <c r="P552" s="170"/>
    </row>
    <row r="553" spans="1:16" ht="21.75" customHeight="1">
      <c r="A553" s="159"/>
      <c r="B553" s="160"/>
      <c r="C553" s="160"/>
      <c r="D553" s="168"/>
      <c r="E553" s="161"/>
      <c r="F553" s="161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IFERROR(__xludf.DUMMYFUNCTION("IMPORTRANGE(""https://docs.google.com/spreadsheets/d/11923uPwbBZFjjGgGUA6NLw09EwE0CqkOc4q9oUmW1yo/edit?usp=sharing"",""พิจิตร!L448"")"),0)</f>
        <v>0</v>
      </c>
      <c r="M553" s="167"/>
      <c r="N553" s="170">
        <f ca="1">IFERROR(__xludf.DUMMYFUNCTION("IMPORTRANGE(""https://docs.google.com/spreadsheets/d/11923uPwbBZFjjGgGUA6NLw09EwE0CqkOc4q9oUmW1yo/edit?usp=sharing"",""พิจิตร!M448"")"),0)</f>
        <v>0</v>
      </c>
      <c r="O553" s="170">
        <f t="shared" ca="1" si="120"/>
        <v>0</v>
      </c>
      <c r="P553" s="170"/>
    </row>
    <row r="554" spans="1:16" ht="21.75" customHeight="1">
      <c r="A554" s="159"/>
      <c r="B554" s="160"/>
      <c r="C554" s="160"/>
      <c r="D554" s="168"/>
      <c r="E554" s="161"/>
      <c r="F554" s="161"/>
      <c r="G554" s="375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IFERROR(__xludf.DUMMYFUNCTION("IMPORTRANGE(""https://docs.google.com/spreadsheets/d/11923uPwbBZFjjGgGUA6NLw09EwE0CqkOc4q9oUmW1yo/edit?usp=sharing"",""พิจิตร!L449"")"),0)</f>
        <v>0</v>
      </c>
      <c r="M554" s="170"/>
      <c r="N554" s="170">
        <f ca="1">IFERROR(__xludf.DUMMYFUNCTION("IMPORTRANGE(""https://docs.google.com/spreadsheets/d/11923uPwbBZFjjGgGUA6NLw09EwE0CqkOc4q9oUmW1yo/edit?usp=sharing"",""พิจิตร!M449"")"),0)</f>
        <v>0</v>
      </c>
      <c r="O554" s="170">
        <f t="shared" ca="1" si="120"/>
        <v>0</v>
      </c>
      <c r="P554" s="170"/>
    </row>
    <row r="555" spans="1:16" ht="21.75" customHeight="1">
      <c r="A555" s="159"/>
      <c r="B555" s="160"/>
      <c r="C555" s="160"/>
      <c r="D555" s="168"/>
      <c r="E555" s="161"/>
      <c r="F555" s="161"/>
      <c r="G555" s="375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IFERROR(__xludf.DUMMYFUNCTION("IMPORTRANGE(""https://docs.google.com/spreadsheets/d/11923uPwbBZFjjGgGUA6NLw09EwE0CqkOc4q9oUmW1yo/edit?usp=sharing"",""พิจิตร!L450"")"),0)</f>
        <v>0</v>
      </c>
      <c r="M555" s="170"/>
      <c r="N555" s="170">
        <f ca="1">IFERROR(__xludf.DUMMYFUNCTION("IMPORTRANGE(""https://docs.google.com/spreadsheets/d/11923uPwbBZFjjGgGUA6NLw09EwE0CqkOc4q9oUmW1yo/edit?usp=sharing"",""พิจิตร!M450"")"),0)</f>
        <v>0</v>
      </c>
      <c r="O555" s="170">
        <f t="shared" ca="1" si="120"/>
        <v>0</v>
      </c>
      <c r="P555" s="170"/>
    </row>
    <row r="556" spans="1:16" ht="21.75" customHeight="1">
      <c r="A556" s="376"/>
      <c r="B556" s="377"/>
      <c r="C556" s="160"/>
      <c r="D556" s="378"/>
      <c r="E556" s="161"/>
      <c r="F556" s="161"/>
      <c r="G556" s="379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IFERROR(__xludf.DUMMYFUNCTION("IMPORTRANGE(""https://docs.google.com/spreadsheets/d/11923uPwbBZFjjGgGUA6NLw09EwE0CqkOc4q9oUmW1yo/edit?usp=sharing"",""พิจิตร!M451"")"),0)</f>
        <v>0</v>
      </c>
      <c r="O556" s="170"/>
      <c r="P556" s="170"/>
    </row>
    <row r="557" spans="1:16" ht="21.75" customHeight="1">
      <c r="A557" s="376"/>
      <c r="B557" s="377"/>
      <c r="C557" s="160"/>
      <c r="D557" s="378"/>
      <c r="E557" s="161"/>
      <c r="F557" s="161"/>
      <c r="G557" s="379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IFERROR(__xludf.DUMMYFUNCTION("IMPORTRANGE(""https://docs.google.com/spreadsheets/d/11923uPwbBZFjjGgGUA6NLw09EwE0CqkOc4q9oUmW1yo/edit?usp=sharing"",""พิจิตร!M452"")"),0)</f>
        <v>0</v>
      </c>
      <c r="O557" s="170"/>
      <c r="P557" s="170"/>
    </row>
    <row r="558" spans="1:16" ht="21.75" customHeight="1">
      <c r="A558" s="376"/>
      <c r="B558" s="377"/>
      <c r="C558" s="160"/>
      <c r="D558" s="378"/>
      <c r="E558" s="161"/>
      <c r="F558" s="161"/>
      <c r="G558" s="379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IFERROR(__xludf.DUMMYFUNCTION("IMPORTRANGE(""https://docs.google.com/spreadsheets/d/11923uPwbBZFjjGgGUA6NLw09EwE0CqkOc4q9oUmW1yo/edit?usp=sharing"",""พิจิตร!M453"")"),0)</f>
        <v>0</v>
      </c>
      <c r="O558" s="170"/>
      <c r="P558" s="170"/>
    </row>
    <row r="559" spans="1:16" ht="21.75" customHeight="1">
      <c r="A559" s="376"/>
      <c r="B559" s="377"/>
      <c r="C559" s="160"/>
      <c r="D559" s="378"/>
      <c r="E559" s="161"/>
      <c r="F559" s="161"/>
      <c r="G559" s="379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IFERROR(__xludf.DUMMYFUNCTION("IMPORTRANGE(""https://docs.google.com/spreadsheets/d/11923uPwbBZFjjGgGUA6NLw09EwE0CqkOc4q9oUmW1yo/edit?usp=sharing"",""พิจิตร!M454"")"),0)</f>
        <v>0</v>
      </c>
      <c r="O559" s="170"/>
      <c r="P559" s="170"/>
    </row>
    <row r="560" spans="1:16" ht="21.75" customHeight="1">
      <c r="A560" s="177"/>
      <c r="B560" s="178"/>
      <c r="C560" s="178"/>
      <c r="D560" s="195"/>
      <c r="E560" s="197"/>
      <c r="F560" s="280" t="s">
        <v>206</v>
      </c>
      <c r="G560" s="198"/>
      <c r="H560" s="477" t="s">
        <v>122</v>
      </c>
      <c r="I560" s="164">
        <f ca="1">IFERROR(__xludf.DUMMYFUNCTION("IMPORTRANGE(""https://docs.google.com/spreadsheets/d/11923uPwbBZFjjGgGUA6NLw09EwE0CqkOc4q9oUmW1yo/edit?usp=sharing"",""พิจิตร!I455"")"),0)</f>
        <v>0</v>
      </c>
      <c r="J560" s="164">
        <f ca="1">IFERROR(__xludf.DUMMYFUNCTION("IMPORTRANGE(""https://docs.google.com/spreadsheets/d/11923uPwbBZFjjGgGUA6NLw09EwE0CqkOc4q9oUmW1yo/edit?usp=sharing"",""พิจิตร!J455"")"),0)</f>
        <v>0</v>
      </c>
      <c r="K560" s="225">
        <f t="shared" ref="K560:K561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>
      <c r="A561" s="177"/>
      <c r="B561" s="178"/>
      <c r="C561" s="178"/>
      <c r="D561" s="195"/>
      <c r="E561" s="197"/>
      <c r="F561" s="197"/>
      <c r="G561" s="198"/>
      <c r="H561" s="477" t="s">
        <v>36</v>
      </c>
      <c r="I561" s="164">
        <f ca="1">IFERROR(__xludf.DUMMYFUNCTION("IMPORTRANGE(""https://docs.google.com/spreadsheets/d/11923uPwbBZFjjGgGUA6NLw09EwE0CqkOc4q9oUmW1yo/edit?usp=sharing"",""พิจิตร!I456"")"),0)</f>
        <v>0</v>
      </c>
      <c r="J561" s="205">
        <f ca="1">IFERROR(__xludf.DUMMYFUNCTION("IMPORTRANGE(""https://docs.google.com/spreadsheets/d/11923uPwbBZFjjGgGUA6NLw09EwE0CqkOc4q9oUmW1yo/edit?usp=sharing"",""พิจิตร!J456"")"),0)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hidden="1" customHeight="1">
      <c r="A562" s="177"/>
      <c r="B562" s="178"/>
      <c r="C562" s="178"/>
      <c r="D562" s="195"/>
      <c r="E562" s="197"/>
      <c r="F562" s="197" t="s">
        <v>207</v>
      </c>
      <c r="G562" s="198"/>
      <c r="H562" s="477" t="s">
        <v>122</v>
      </c>
      <c r="I562" s="164"/>
      <c r="J562" s="205"/>
      <c r="K562" s="165"/>
      <c r="L562" s="183"/>
      <c r="M562" s="183"/>
      <c r="N562" s="183"/>
      <c r="O562" s="183"/>
      <c r="P562" s="183"/>
    </row>
    <row r="563" spans="1:16" ht="21.75" hidden="1" customHeight="1">
      <c r="A563" s="177"/>
      <c r="B563" s="178"/>
      <c r="C563" s="178"/>
      <c r="D563" s="195"/>
      <c r="E563" s="197"/>
      <c r="F563" s="197"/>
      <c r="G563" s="198"/>
      <c r="H563" s="477" t="s">
        <v>36</v>
      </c>
      <c r="I563" s="164"/>
      <c r="J563" s="189"/>
      <c r="K563" s="165"/>
      <c r="L563" s="183"/>
      <c r="M563" s="183"/>
      <c r="N563" s="183"/>
      <c r="O563" s="183"/>
      <c r="P563" s="183"/>
    </row>
    <row r="564" spans="1:16" ht="21.75" customHeight="1">
      <c r="A564" s="367"/>
      <c r="B564" s="368">
        <v>8</v>
      </c>
      <c r="C564" s="369" t="s">
        <v>208</v>
      </c>
      <c r="D564" s="369"/>
      <c r="E564" s="369"/>
      <c r="F564" s="369"/>
      <c r="G564" s="370"/>
      <c r="H564" s="371" t="s">
        <v>37</v>
      </c>
      <c r="I564" s="372">
        <f ca="1">IFERROR(__xludf.DUMMYFUNCTION("IMPORTRANGE(""https://docs.google.com/spreadsheets/d/11923uPwbBZFjjGgGUA6NLw09EwE0CqkOc4q9oUmW1yo/edit?usp=sharing"",""พิจิตร!I459"")"),1100)</f>
        <v>1100</v>
      </c>
      <c r="J564" s="372">
        <f ca="1">IFERROR(__xludf.DUMMYFUNCTION("IMPORTRANGE(""https://docs.google.com/spreadsheets/d/11923uPwbBZFjjGgGUA6NLw09EwE0CqkOc4q9oUmW1yo/edit?usp=sharing"",""พิจิตร!J459"")"),911)</f>
        <v>911</v>
      </c>
      <c r="K564" s="373">
        <f ca="1">IF(I564&gt;0,J564*100/I564,0)</f>
        <v>82.818181818181813</v>
      </c>
      <c r="L564" s="374">
        <f ca="1">IFERROR(__xludf.DUMMYFUNCTION("IMPORTRANGE(""https://docs.google.com/spreadsheets/d/11923uPwbBZFjjGgGUA6NLw09EwE0CqkOc4q9oUmW1yo/edit?usp=sharing"",""พิจิตร!L459"")"),126080)</f>
        <v>126080</v>
      </c>
      <c r="M564" s="374"/>
      <c r="N564" s="374">
        <f ca="1">IFERROR(__xludf.DUMMYFUNCTION("IMPORTRANGE(""https://docs.google.com/spreadsheets/d/11923uPwbBZFjjGgGUA6NLw09EwE0CqkOc4q9oUmW1yo/edit?usp=sharing"",""พิจิตร!M459"")"),64396.19)</f>
        <v>64396.19</v>
      </c>
      <c r="O564" s="374">
        <f t="shared" ref="O564:O568" ca="1" si="122">+IF(L564&gt;0,N564*100/L564,0)</f>
        <v>51.075658312182739</v>
      </c>
      <c r="P564" s="374"/>
    </row>
    <row r="565" spans="1:16" ht="21.75" customHeight="1">
      <c r="A565" s="159"/>
      <c r="B565" s="160"/>
      <c r="C565" s="160" t="s">
        <v>16</v>
      </c>
      <c r="D565" s="279" t="s">
        <v>77</v>
      </c>
      <c r="E565" s="161"/>
      <c r="F565" s="161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IFERROR(__xludf.DUMMYFUNCTION("IMPORTRANGE(""https://docs.google.com/spreadsheets/d/11923uPwbBZFjjGgGUA6NLw09EwE0CqkOc4q9oUmW1yo/edit?usp=sharing"",""พิจิตร!L460"")"),0)</f>
        <v>0</v>
      </c>
      <c r="M565" s="166"/>
      <c r="N565" s="170">
        <f ca="1">IFERROR(__xludf.DUMMYFUNCTION("IMPORTRANGE(""https://docs.google.com/spreadsheets/d/11923uPwbBZFjjGgGUA6NLw09EwE0CqkOc4q9oUmW1yo/edit?usp=sharing"",""พิจิตร!M460"")"),0)</f>
        <v>0</v>
      </c>
      <c r="O565" s="170">
        <f t="shared" ca="1" si="122"/>
        <v>0</v>
      </c>
      <c r="P565" s="170"/>
    </row>
    <row r="566" spans="1:16" ht="21.75" customHeight="1">
      <c r="A566" s="159"/>
      <c r="B566" s="160"/>
      <c r="C566" s="160"/>
      <c r="D566" s="168"/>
      <c r="E566" s="161"/>
      <c r="F566" s="161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IFERROR(__xludf.DUMMYFUNCTION("IMPORTRANGE(""https://docs.google.com/spreadsheets/d/11923uPwbBZFjjGgGUA6NLw09EwE0CqkOc4q9oUmW1yo/edit?usp=sharing"",""พิจิตร!L461"")"),126080)</f>
        <v>126080</v>
      </c>
      <c r="M566" s="167"/>
      <c r="N566" s="170">
        <f ca="1">IFERROR(__xludf.DUMMYFUNCTION("IMPORTRANGE(""https://docs.google.com/spreadsheets/d/11923uPwbBZFjjGgGUA6NLw09EwE0CqkOc4q9oUmW1yo/edit?usp=sharing"",""พิจิตร!M461"")"),64396.19)</f>
        <v>64396.19</v>
      </c>
      <c r="O566" s="170">
        <f t="shared" ca="1" si="122"/>
        <v>51.075658312182739</v>
      </c>
      <c r="P566" s="170"/>
    </row>
    <row r="567" spans="1:16" ht="21.75" customHeight="1">
      <c r="A567" s="159"/>
      <c r="B567" s="160"/>
      <c r="C567" s="160"/>
      <c r="D567" s="168"/>
      <c r="E567" s="161"/>
      <c r="F567" s="161"/>
      <c r="G567" s="375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IFERROR(__xludf.DUMMYFUNCTION("IMPORTRANGE(""https://docs.google.com/spreadsheets/d/11923uPwbBZFjjGgGUA6NLw09EwE0CqkOc4q9oUmW1yo/edit?usp=sharing"",""พิจิตร!L462"")"),0)</f>
        <v>0</v>
      </c>
      <c r="M567" s="170"/>
      <c r="N567" s="170">
        <f ca="1">IFERROR(__xludf.DUMMYFUNCTION("IMPORTRANGE(""https://docs.google.com/spreadsheets/d/11923uPwbBZFjjGgGUA6NLw09EwE0CqkOc4q9oUmW1yo/edit?usp=sharing"",""พิจิตร!M462"")"),0)</f>
        <v>0</v>
      </c>
      <c r="O567" s="170">
        <f t="shared" ca="1" si="122"/>
        <v>0</v>
      </c>
      <c r="P567" s="170"/>
    </row>
    <row r="568" spans="1:16" ht="21.75" customHeight="1">
      <c r="A568" s="159"/>
      <c r="B568" s="160"/>
      <c r="C568" s="160"/>
      <c r="D568" s="168"/>
      <c r="E568" s="161"/>
      <c r="F568" s="161"/>
      <c r="G568" s="375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IFERROR(__xludf.DUMMYFUNCTION("IMPORTRANGE(""https://docs.google.com/spreadsheets/d/11923uPwbBZFjjGgGUA6NLw09EwE0CqkOc4q9oUmW1yo/edit?usp=sharing"",""พิจิตร!L463"")"),126080)</f>
        <v>126080</v>
      </c>
      <c r="M568" s="170"/>
      <c r="N568" s="170">
        <f ca="1">IFERROR(__xludf.DUMMYFUNCTION("IMPORTRANGE(""https://docs.google.com/spreadsheets/d/11923uPwbBZFjjGgGUA6NLw09EwE0CqkOc4q9oUmW1yo/edit?usp=sharing"",""พิจิตร!M463"")"),64396.19)</f>
        <v>64396.19</v>
      </c>
      <c r="O568" s="170">
        <f t="shared" ca="1" si="122"/>
        <v>51.075658312182739</v>
      </c>
      <c r="P568" s="170"/>
    </row>
    <row r="569" spans="1:16" ht="21.75" customHeight="1">
      <c r="A569" s="376"/>
      <c r="B569" s="377"/>
      <c r="C569" s="160"/>
      <c r="D569" s="378"/>
      <c r="E569" s="161"/>
      <c r="F569" s="161"/>
      <c r="G569" s="379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IFERROR(__xludf.DUMMYFUNCTION("IMPORTRANGE(""https://docs.google.com/spreadsheets/d/11923uPwbBZFjjGgGUA6NLw09EwE0CqkOc4q9oUmW1yo/edit?usp=sharing"",""พิจิตร!M464"")"),0)</f>
        <v>0</v>
      </c>
      <c r="O569" s="170"/>
      <c r="P569" s="170"/>
    </row>
    <row r="570" spans="1:16" ht="21.75" customHeight="1">
      <c r="A570" s="376"/>
      <c r="B570" s="377"/>
      <c r="C570" s="160"/>
      <c r="D570" s="378"/>
      <c r="E570" s="161"/>
      <c r="F570" s="161"/>
      <c r="G570" s="379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IFERROR(__xludf.DUMMYFUNCTION("IMPORTRANGE(""https://docs.google.com/spreadsheets/d/11923uPwbBZFjjGgGUA6NLw09EwE0CqkOc4q9oUmW1yo/edit?usp=sharing"",""พิจิตร!M465"")"),0)</f>
        <v>0</v>
      </c>
      <c r="O570" s="170"/>
      <c r="P570" s="170"/>
    </row>
    <row r="571" spans="1:16" ht="21.75" customHeight="1">
      <c r="A571" s="376"/>
      <c r="B571" s="377"/>
      <c r="C571" s="160"/>
      <c r="D571" s="378"/>
      <c r="E571" s="161"/>
      <c r="F571" s="161"/>
      <c r="G571" s="379" t="s">
        <v>133</v>
      </c>
      <c r="H571" s="163" t="s">
        <v>12</v>
      </c>
      <c r="I571" s="189"/>
      <c r="J571" s="189"/>
      <c r="K571" s="225"/>
      <c r="L571" s="170"/>
      <c r="M571" s="170"/>
      <c r="N571" s="380">
        <f ca="1">IFERROR(__xludf.DUMMYFUNCTION("IMPORTRANGE(""https://docs.google.com/spreadsheets/d/11923uPwbBZFjjGgGUA6NLw09EwE0CqkOc4q9oUmW1yo/edit?usp=sharing"",""พิจิตร!M466"")"),57330.19)</f>
        <v>57330.19</v>
      </c>
      <c r="O571" s="170"/>
      <c r="P571" s="170"/>
    </row>
    <row r="572" spans="1:16" ht="21.75" customHeight="1">
      <c r="A572" s="376"/>
      <c r="B572" s="377"/>
      <c r="C572" s="160"/>
      <c r="D572" s="378"/>
      <c r="E572" s="161"/>
      <c r="F572" s="161"/>
      <c r="G572" s="379" t="s">
        <v>134</v>
      </c>
      <c r="H572" s="163" t="s">
        <v>12</v>
      </c>
      <c r="I572" s="189"/>
      <c r="J572" s="189"/>
      <c r="K572" s="225"/>
      <c r="L572" s="170"/>
      <c r="M572" s="170"/>
      <c r="N572" s="380">
        <f ca="1">IFERROR(__xludf.DUMMYFUNCTION("IMPORTRANGE(""https://docs.google.com/spreadsheets/d/11923uPwbBZFjjGgGUA6NLw09EwE0CqkOc4q9oUmW1yo/edit?usp=sharing"",""พิจิตร!M467"")"),7066)</f>
        <v>7066</v>
      </c>
      <c r="O572" s="170"/>
      <c r="P572" s="170"/>
    </row>
    <row r="573" spans="1:16" ht="21.75" customHeight="1">
      <c r="A573" s="177"/>
      <c r="B573" s="178"/>
      <c r="C573" s="178"/>
      <c r="D573" s="197"/>
      <c r="E573" s="196" t="s">
        <v>39</v>
      </c>
      <c r="F573" s="415" t="s">
        <v>209</v>
      </c>
      <c r="G573" s="389"/>
      <c r="H573" s="478" t="s">
        <v>37</v>
      </c>
      <c r="I573" s="422">
        <f ca="1">IFERROR(__xludf.DUMMYFUNCTION("IMPORTRANGE(""https://docs.google.com/spreadsheets/d/11923uPwbBZFjjGgGUA6NLw09EwE0CqkOc4q9oUmW1yo/edit?usp=sharing"",""พิจิตร!I468"")"),1100)</f>
        <v>1100</v>
      </c>
      <c r="J573" s="422">
        <f ca="1">IFERROR(__xludf.DUMMYFUNCTION("IMPORTRANGE(""https://docs.google.com/spreadsheets/d/11923uPwbBZFjjGgGUA6NLw09EwE0CqkOc4q9oUmW1yo/edit?usp=sharing"",""พิจิตร!J468"")"),911)</f>
        <v>911</v>
      </c>
      <c r="K573" s="203">
        <f ca="1">IF(I573&gt;0,J573*100/I573,0)</f>
        <v>82.818181818181813</v>
      </c>
      <c r="L573" s="183"/>
      <c r="M573" s="183"/>
      <c r="N573" s="183"/>
      <c r="O573" s="183"/>
      <c r="P573" s="183"/>
    </row>
    <row r="574" spans="1:16" ht="21.75" customHeight="1">
      <c r="A574" s="177"/>
      <c r="B574" s="178"/>
      <c r="C574" s="178"/>
      <c r="D574" s="197"/>
      <c r="E574" s="197"/>
      <c r="F574" s="196" t="s">
        <v>210</v>
      </c>
      <c r="G574" s="198"/>
      <c r="H574" s="477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>
      <c r="A575" s="177"/>
      <c r="B575" s="178"/>
      <c r="C575" s="178"/>
      <c r="D575" s="197"/>
      <c r="E575" s="196" t="s">
        <v>39</v>
      </c>
      <c r="F575" s="196" t="s">
        <v>211</v>
      </c>
      <c r="G575" s="198"/>
      <c r="H575" s="477" t="s">
        <v>76</v>
      </c>
      <c r="I575" s="204">
        <f ca="1">IFERROR(__xludf.DUMMYFUNCTION("IMPORTRANGE(""https://docs.google.com/spreadsheets/d/11923uPwbBZFjjGgGUA6NLw09EwE0CqkOc4q9oUmW1yo/edit?usp=sharing"",""พิจิตร!I470"")"),0)</f>
        <v>0</v>
      </c>
      <c r="J575" s="199">
        <f ca="1">IFERROR(__xludf.DUMMYFUNCTION("IMPORTRANGE(""https://docs.google.com/spreadsheets/d/11923uPwbBZFjjGgGUA6NLw09EwE0CqkOc4q9oUmW1yo/edit?usp=sharing"",""พิจิตร!J470"")"),6)</f>
        <v>6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>
      <c r="A576" s="177"/>
      <c r="B576" s="178"/>
      <c r="C576" s="178"/>
      <c r="D576" s="197"/>
      <c r="E576" s="197"/>
      <c r="F576" s="196" t="s">
        <v>212</v>
      </c>
      <c r="G576" s="198"/>
      <c r="H576" s="477" t="s">
        <v>37</v>
      </c>
      <c r="I576" s="204">
        <f ca="1">IFERROR(__xludf.DUMMYFUNCTION("IMPORTRANGE(""https://docs.google.com/spreadsheets/d/11923uPwbBZFjjGgGUA6NLw09EwE0CqkOc4q9oUmW1yo/edit?usp=sharing"",""พิจิตร!I471"")"),0)</f>
        <v>0</v>
      </c>
      <c r="J576" s="199">
        <f ca="1">IFERROR(__xludf.DUMMYFUNCTION("IMPORTRANGE(""https://docs.google.com/spreadsheets/d/11923uPwbBZFjjGgGUA6NLw09EwE0CqkOc4q9oUmW1yo/edit?usp=sharing"",""พิจิตร!J471"")"),111)</f>
        <v>111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>
      <c r="A577" s="177"/>
      <c r="B577" s="178"/>
      <c r="C577" s="178"/>
      <c r="D577" s="197"/>
      <c r="E577" s="197"/>
      <c r="F577" s="196" t="s">
        <v>213</v>
      </c>
      <c r="G577" s="198"/>
      <c r="H577" s="477" t="s">
        <v>37</v>
      </c>
      <c r="I577" s="204">
        <f ca="1">IFERROR(__xludf.DUMMYFUNCTION("IMPORTRANGE(""https://docs.google.com/spreadsheets/d/11923uPwbBZFjjGgGUA6NLw09EwE0CqkOc4q9oUmW1yo/edit?usp=sharing"",""พิจิตร!I472"")"),0)</f>
        <v>0</v>
      </c>
      <c r="J577" s="190">
        <f ca="1">IFERROR(__xludf.DUMMYFUNCTION("IMPORTRANGE(""https://docs.google.com/spreadsheets/d/11923uPwbBZFjjGgGUA6NLw09EwE0CqkOc4q9oUmW1yo/edit?usp=sharing"",""พิจิตร!J472"")"),800)</f>
        <v>800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>
      <c r="A578" s="177"/>
      <c r="B578" s="178"/>
      <c r="C578" s="178"/>
      <c r="D578" s="197"/>
      <c r="E578" s="197"/>
      <c r="F578" s="196" t="s">
        <v>214</v>
      </c>
      <c r="G578" s="423"/>
      <c r="H578" s="477" t="s">
        <v>37</v>
      </c>
      <c r="I578" s="204">
        <f ca="1">IFERROR(__xludf.DUMMYFUNCTION("IMPORTRANGE(""https://docs.google.com/spreadsheets/d/11923uPwbBZFjjGgGUA6NLw09EwE0CqkOc4q9oUmW1yo/edit?usp=sharing"",""พิจิตร!I473"")"),0)</f>
        <v>0</v>
      </c>
      <c r="J578" s="199">
        <f ca="1">IFERROR(__xludf.DUMMYFUNCTION("IMPORTRANGE(""https://docs.google.com/spreadsheets/d/11923uPwbBZFjjGgGUA6NLw09EwE0CqkOc4q9oUmW1yo/edit?usp=sharing"",""พิจิตร!J473"")"),0)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>
      <c r="A579" s="177"/>
      <c r="B579" s="178"/>
      <c r="C579" s="178"/>
      <c r="D579" s="197"/>
      <c r="E579" s="197"/>
      <c r="F579" s="196" t="s">
        <v>215</v>
      </c>
      <c r="G579" s="423"/>
      <c r="H579" s="477" t="s">
        <v>37</v>
      </c>
      <c r="I579" s="204">
        <f ca="1">IFERROR(__xludf.DUMMYFUNCTION("IMPORTRANGE(""https://docs.google.com/spreadsheets/d/11923uPwbBZFjjGgGUA6NLw09EwE0CqkOc4q9oUmW1yo/edit?usp=sharing"",""พิจิตร!I474"")"),0)</f>
        <v>0</v>
      </c>
      <c r="J579" s="199">
        <f ca="1">IFERROR(__xludf.DUMMYFUNCTION("IMPORTRANGE(""https://docs.google.com/spreadsheets/d/11923uPwbBZFjjGgGUA6NLw09EwE0CqkOc4q9oUmW1yo/edit?usp=sharing"",""พิจิตร!J474"")"),0)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>
      <c r="A580" s="367"/>
      <c r="B580" s="368">
        <v>9</v>
      </c>
      <c r="C580" s="479" t="s">
        <v>216</v>
      </c>
      <c r="D580" s="369"/>
      <c r="E580" s="369"/>
      <c r="F580" s="369"/>
      <c r="G580" s="370"/>
      <c r="H580" s="371" t="s">
        <v>37</v>
      </c>
      <c r="I580" s="372">
        <f ca="1">IFERROR(__xludf.DUMMYFUNCTION("IMPORTRANGE(""https://docs.google.com/spreadsheets/d/11923uPwbBZFjjGgGUA6NLw09EwE0CqkOc4q9oUmW1yo/edit?usp=sharing"",""พิจิตร!I475"")"),200)</f>
        <v>200</v>
      </c>
      <c r="J580" s="372">
        <f ca="1">IFERROR(__xludf.DUMMYFUNCTION("IMPORTRANGE(""https://docs.google.com/spreadsheets/d/11923uPwbBZFjjGgGUA6NLw09EwE0CqkOc4q9oUmW1yo/edit?usp=sharing"",""พิจิตร!J475"")"),21)</f>
        <v>21</v>
      </c>
      <c r="K580" s="373">
        <f ca="1">IF(I580&gt;0,J580*100/I580,0)</f>
        <v>10.5</v>
      </c>
      <c r="L580" s="374">
        <f ca="1">IFERROR(__xludf.DUMMYFUNCTION("IMPORTRANGE(""https://docs.google.com/spreadsheets/d/11923uPwbBZFjjGgGUA6NLw09EwE0CqkOc4q9oUmW1yo/edit?usp=sharing"",""พิจิตร!L475"")"),352400)</f>
        <v>352400</v>
      </c>
      <c r="M580" s="374"/>
      <c r="N580" s="374">
        <f ca="1">IFERROR(__xludf.DUMMYFUNCTION("IMPORTRANGE(""https://docs.google.com/spreadsheets/d/11923uPwbBZFjjGgGUA6NLw09EwE0CqkOc4q9oUmW1yo/edit?usp=sharing"",""พิจิตร!M475"")"),121002.28)</f>
        <v>121002.28</v>
      </c>
      <c r="O580" s="374">
        <f t="shared" ref="O580:O584" ca="1" si="124">+IF(L580&gt;0,N580*100/L580,0)</f>
        <v>34.336628830874005</v>
      </c>
      <c r="P580" s="374"/>
    </row>
    <row r="581" spans="1:16" ht="21.75" customHeight="1">
      <c r="A581" s="159"/>
      <c r="B581" s="160"/>
      <c r="C581" s="160" t="s">
        <v>16</v>
      </c>
      <c r="D581" s="279" t="s">
        <v>77</v>
      </c>
      <c r="E581" s="161"/>
      <c r="F581" s="161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IFERROR(__xludf.DUMMYFUNCTION("IMPORTRANGE(""https://docs.google.com/spreadsheets/d/11923uPwbBZFjjGgGUA6NLw09EwE0CqkOc4q9oUmW1yo/edit?usp=sharing"",""พิจิตร!L476"")"),0)</f>
        <v>0</v>
      </c>
      <c r="M581" s="166"/>
      <c r="N581" s="170">
        <f ca="1">IFERROR(__xludf.DUMMYFUNCTION("IMPORTRANGE(""https://docs.google.com/spreadsheets/d/11923uPwbBZFjjGgGUA6NLw09EwE0CqkOc4q9oUmW1yo/edit?usp=sharing"",""พิจิตร!M476"")"),0)</f>
        <v>0</v>
      </c>
      <c r="O581" s="170">
        <f t="shared" ca="1" si="124"/>
        <v>0</v>
      </c>
      <c r="P581" s="170"/>
    </row>
    <row r="582" spans="1:16" ht="21.75" customHeight="1">
      <c r="A582" s="159"/>
      <c r="B582" s="160"/>
      <c r="C582" s="160"/>
      <c r="D582" s="168"/>
      <c r="E582" s="161"/>
      <c r="F582" s="161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IFERROR(__xludf.DUMMYFUNCTION("IMPORTRANGE(""https://docs.google.com/spreadsheets/d/11923uPwbBZFjjGgGUA6NLw09EwE0CqkOc4q9oUmW1yo/edit?usp=sharing"",""พิจิตร!L477"")"),352400)</f>
        <v>352400</v>
      </c>
      <c r="M582" s="167"/>
      <c r="N582" s="170">
        <f ca="1">IFERROR(__xludf.DUMMYFUNCTION("IMPORTRANGE(""https://docs.google.com/spreadsheets/d/11923uPwbBZFjjGgGUA6NLw09EwE0CqkOc4q9oUmW1yo/edit?usp=sharing"",""พิจิตร!M477"")"),121002.28)</f>
        <v>121002.28</v>
      </c>
      <c r="O582" s="170">
        <f t="shared" ca="1" si="124"/>
        <v>34.336628830874005</v>
      </c>
      <c r="P582" s="170"/>
    </row>
    <row r="583" spans="1:16" ht="21.75" customHeight="1">
      <c r="A583" s="159"/>
      <c r="B583" s="160"/>
      <c r="C583" s="160"/>
      <c r="D583" s="168"/>
      <c r="E583" s="161"/>
      <c r="F583" s="161"/>
      <c r="G583" s="375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IFERROR(__xludf.DUMMYFUNCTION("IMPORTRANGE(""https://docs.google.com/spreadsheets/d/11923uPwbBZFjjGgGUA6NLw09EwE0CqkOc4q9oUmW1yo/edit?usp=sharing"",""พิจิตร!L478"")"),0)</f>
        <v>0</v>
      </c>
      <c r="M583" s="170"/>
      <c r="N583" s="170">
        <f ca="1">IFERROR(__xludf.DUMMYFUNCTION("IMPORTRANGE(""https://docs.google.com/spreadsheets/d/11923uPwbBZFjjGgGUA6NLw09EwE0CqkOc4q9oUmW1yo/edit?usp=sharing"",""พิจิตร!M478"")"),0)</f>
        <v>0</v>
      </c>
      <c r="O583" s="170">
        <f t="shared" ca="1" si="124"/>
        <v>0</v>
      </c>
      <c r="P583" s="170"/>
    </row>
    <row r="584" spans="1:16" ht="21.75" customHeight="1">
      <c r="A584" s="159"/>
      <c r="B584" s="160"/>
      <c r="C584" s="160"/>
      <c r="D584" s="168"/>
      <c r="E584" s="161"/>
      <c r="F584" s="161"/>
      <c r="G584" s="375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IFERROR(__xludf.DUMMYFUNCTION("IMPORTRANGE(""https://docs.google.com/spreadsheets/d/11923uPwbBZFjjGgGUA6NLw09EwE0CqkOc4q9oUmW1yo/edit?usp=sharing"",""พิจิตร!L479"")"),352400)</f>
        <v>352400</v>
      </c>
      <c r="M584" s="170"/>
      <c r="N584" s="170">
        <f ca="1">IFERROR(__xludf.DUMMYFUNCTION("IMPORTRANGE(""https://docs.google.com/spreadsheets/d/11923uPwbBZFjjGgGUA6NLw09EwE0CqkOc4q9oUmW1yo/edit?usp=sharing"",""พิจิตร!M479"")"),121002.28)</f>
        <v>121002.28</v>
      </c>
      <c r="O584" s="170">
        <f t="shared" ca="1" si="124"/>
        <v>34.336628830874005</v>
      </c>
      <c r="P584" s="170"/>
    </row>
    <row r="585" spans="1:16" ht="21.75" customHeight="1">
      <c r="A585" s="376"/>
      <c r="B585" s="377"/>
      <c r="C585" s="160"/>
      <c r="D585" s="378"/>
      <c r="E585" s="161"/>
      <c r="F585" s="161"/>
      <c r="G585" s="379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IFERROR(__xludf.DUMMYFUNCTION("IMPORTRANGE(""https://docs.google.com/spreadsheets/d/11923uPwbBZFjjGgGUA6NLw09EwE0CqkOc4q9oUmW1yo/edit?usp=sharing"",""พิจิตร!M480"")"),0)</f>
        <v>0</v>
      </c>
      <c r="O585" s="170"/>
      <c r="P585" s="170"/>
    </row>
    <row r="586" spans="1:16" ht="21.75" customHeight="1">
      <c r="A586" s="376"/>
      <c r="B586" s="377"/>
      <c r="C586" s="160"/>
      <c r="D586" s="378"/>
      <c r="E586" s="161"/>
      <c r="F586" s="161"/>
      <c r="G586" s="379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IFERROR(__xludf.DUMMYFUNCTION("IMPORTRANGE(""https://docs.google.com/spreadsheets/d/11923uPwbBZFjjGgGUA6NLw09EwE0CqkOc4q9oUmW1yo/edit?usp=sharing"",""พิจิตร!M481"")"),0)</f>
        <v>0</v>
      </c>
      <c r="O586" s="170"/>
      <c r="P586" s="170"/>
    </row>
    <row r="587" spans="1:16" ht="21.75" customHeight="1">
      <c r="A587" s="376"/>
      <c r="B587" s="377"/>
      <c r="C587" s="160"/>
      <c r="D587" s="378"/>
      <c r="E587" s="161"/>
      <c r="F587" s="161"/>
      <c r="G587" s="379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IFERROR(__xludf.DUMMYFUNCTION("IMPORTRANGE(""https://docs.google.com/spreadsheets/d/11923uPwbBZFjjGgGUA6NLw09EwE0CqkOc4q9oUmW1yo/edit?usp=sharing"",""พิจิตร!M482"")"),61032.28)</f>
        <v>61032.28</v>
      </c>
      <c r="O587" s="170"/>
      <c r="P587" s="170"/>
    </row>
    <row r="588" spans="1:16" ht="21.75" customHeight="1">
      <c r="A588" s="376"/>
      <c r="B588" s="377"/>
      <c r="C588" s="160"/>
      <c r="D588" s="378"/>
      <c r="E588" s="161"/>
      <c r="F588" s="161"/>
      <c r="G588" s="379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IFERROR(__xludf.DUMMYFUNCTION("IMPORTRANGE(""https://docs.google.com/spreadsheets/d/11923uPwbBZFjjGgGUA6NLw09EwE0CqkOc4q9oUmW1yo/edit?usp=sharing"",""พิจิตร!M483"")"),59970)</f>
        <v>59970</v>
      </c>
      <c r="O588" s="170"/>
      <c r="P588" s="170"/>
    </row>
    <row r="589" spans="1:16" ht="21.75" customHeight="1">
      <c r="A589" s="480"/>
      <c r="B589" s="168"/>
      <c r="C589" s="160"/>
      <c r="D589" s="292"/>
      <c r="E589" s="196" t="s">
        <v>217</v>
      </c>
      <c r="F589" s="197"/>
      <c r="G589" s="198"/>
      <c r="H589" s="182" t="s">
        <v>36</v>
      </c>
      <c r="I589" s="342">
        <f ca="1">IFERROR(__xludf.DUMMYFUNCTION("IMPORTRANGE(""https://docs.google.com/spreadsheets/d/11923uPwbBZFjjGgGUA6NLw09EwE0CqkOc4q9oUmW1yo/edit?usp=sharing"",""พิจิตร!I484"")"),200)</f>
        <v>200</v>
      </c>
      <c r="J589" s="189">
        <f ca="1">IFERROR(__xludf.DUMMYFUNCTION("IMPORTRANGE(""https://docs.google.com/spreadsheets/d/11923uPwbBZFjjGgGUA6NLw09EwE0CqkOc4q9oUmW1yo/edit?usp=sharing"",""พิจิตร!J484"")"),159)</f>
        <v>159</v>
      </c>
      <c r="K589" s="165">
        <f t="shared" ref="K589:K596" ca="1" si="125">IF(I589&gt;0,J589*100/I589,0)</f>
        <v>79.5</v>
      </c>
      <c r="L589" s="183"/>
      <c r="M589" s="183"/>
      <c r="N589" s="170"/>
      <c r="O589" s="183"/>
      <c r="P589" s="183"/>
    </row>
    <row r="590" spans="1:16" ht="21.75" customHeight="1">
      <c r="A590" s="480"/>
      <c r="B590" s="168"/>
      <c r="C590" s="160"/>
      <c r="D590" s="292"/>
      <c r="E590" s="197"/>
      <c r="F590" s="197"/>
      <c r="G590" s="198"/>
      <c r="H590" s="182" t="s">
        <v>122</v>
      </c>
      <c r="I590" s="346">
        <f ca="1">IFERROR(__xludf.DUMMYFUNCTION("IMPORTRANGE(""https://docs.google.com/spreadsheets/d/11923uPwbBZFjjGgGUA6NLw09EwE0CqkOc4q9oUmW1yo/edit?usp=sharing"",""พิจิตร!I485"")"),0)</f>
        <v>0</v>
      </c>
      <c r="J590" s="189">
        <f ca="1">IFERROR(__xludf.DUMMYFUNCTION("IMPORTRANGE(""https://docs.google.com/spreadsheets/d/11923uPwbBZFjjGgGUA6NLw09EwE0CqkOc4q9oUmW1yo/edit?usp=sharing"",""พิจิตร!J485"")"),97.42)</f>
        <v>97.42</v>
      </c>
      <c r="K590" s="481">
        <f t="shared" ca="1" si="125"/>
        <v>0</v>
      </c>
      <c r="L590" s="183"/>
      <c r="M590" s="183"/>
      <c r="N590" s="170"/>
      <c r="O590" s="183"/>
      <c r="P590" s="183"/>
    </row>
    <row r="591" spans="1:16" ht="21.75" customHeight="1">
      <c r="A591" s="480"/>
      <c r="B591" s="168"/>
      <c r="C591" s="160"/>
      <c r="D591" s="292"/>
      <c r="E591" s="196" t="s">
        <v>123</v>
      </c>
      <c r="F591" s="197"/>
      <c r="G591" s="198"/>
      <c r="H591" s="182" t="s">
        <v>37</v>
      </c>
      <c r="I591" s="342">
        <f ca="1">IFERROR(__xludf.DUMMYFUNCTION("IMPORTRANGE(""https://docs.google.com/spreadsheets/d/11923uPwbBZFjjGgGUA6NLw09EwE0CqkOc4q9oUmW1yo/edit?usp=sharing"",""พิจิตร!I486"")"),200)</f>
        <v>200</v>
      </c>
      <c r="J591" s="189">
        <f ca="1">IFERROR(__xludf.DUMMYFUNCTION("IMPORTRANGE(""https://docs.google.com/spreadsheets/d/11923uPwbBZFjjGgGUA6NLw09EwE0CqkOc4q9oUmW1yo/edit?usp=sharing"",""พิจิตร!J486"")"),6)</f>
        <v>6</v>
      </c>
      <c r="K591" s="165">
        <f t="shared" ca="1" si="125"/>
        <v>3</v>
      </c>
      <c r="L591" s="183"/>
      <c r="M591" s="183"/>
      <c r="N591" s="183"/>
      <c r="O591" s="183"/>
      <c r="P591" s="183"/>
    </row>
    <row r="592" spans="1:16" ht="21.75" customHeight="1">
      <c r="A592" s="480"/>
      <c r="B592" s="168"/>
      <c r="C592" s="160"/>
      <c r="D592" s="292"/>
      <c r="E592" s="197"/>
      <c r="F592" s="197"/>
      <c r="G592" s="198"/>
      <c r="H592" s="182" t="s">
        <v>122</v>
      </c>
      <c r="I592" s="346">
        <f ca="1">IFERROR(__xludf.DUMMYFUNCTION("IMPORTRANGE(""https://docs.google.com/spreadsheets/d/11923uPwbBZFjjGgGUA6NLw09EwE0CqkOc4q9oUmW1yo/edit?usp=sharing"",""พิจิตร!I487"")"),0)</f>
        <v>0</v>
      </c>
      <c r="J592" s="189">
        <f ca="1">IFERROR(__xludf.DUMMYFUNCTION("IMPORTRANGE(""https://docs.google.com/spreadsheets/d/11923uPwbBZFjjGgGUA6NLw09EwE0CqkOc4q9oUmW1yo/edit?usp=sharing"",""พิจิตร!J487"")"),8.53)</f>
        <v>8.5299999999999994</v>
      </c>
      <c r="K592" s="343">
        <f t="shared" ca="1" si="125"/>
        <v>0</v>
      </c>
      <c r="L592" s="183"/>
      <c r="M592" s="183"/>
      <c r="N592" s="183"/>
      <c r="O592" s="183"/>
      <c r="P592" s="183"/>
    </row>
    <row r="593" spans="1:16" ht="21.75" customHeight="1">
      <c r="A593" s="480"/>
      <c r="B593" s="168"/>
      <c r="C593" s="160"/>
      <c r="D593" s="292"/>
      <c r="E593" s="196" t="s">
        <v>124</v>
      </c>
      <c r="F593" s="197"/>
      <c r="G593" s="198"/>
      <c r="H593" s="182" t="s">
        <v>37</v>
      </c>
      <c r="I593" s="342">
        <f ca="1">IFERROR(__xludf.DUMMYFUNCTION("IMPORTRANGE(""https://docs.google.com/spreadsheets/d/11923uPwbBZFjjGgGUA6NLw09EwE0CqkOc4q9oUmW1yo/edit?usp=sharing"",""พิจิตร!I488"")"),200)</f>
        <v>200</v>
      </c>
      <c r="J593" s="189">
        <f ca="1">IFERROR(__xludf.DUMMYFUNCTION("IMPORTRANGE(""https://docs.google.com/spreadsheets/d/11923uPwbBZFjjGgGUA6NLw09EwE0CqkOc4q9oUmW1yo/edit?usp=sharing"",""พิจิตร!J488"")"),0)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>
      <c r="A594" s="480"/>
      <c r="B594" s="168"/>
      <c r="C594" s="160"/>
      <c r="D594" s="292"/>
      <c r="E594" s="197"/>
      <c r="F594" s="197"/>
      <c r="G594" s="198"/>
      <c r="H594" s="182" t="s">
        <v>122</v>
      </c>
      <c r="I594" s="346">
        <f ca="1">IFERROR(__xludf.DUMMYFUNCTION("IMPORTRANGE(""https://docs.google.com/spreadsheets/d/11923uPwbBZFjjGgGUA6NLw09EwE0CqkOc4q9oUmW1yo/edit?usp=sharing"",""พิจิตร!I489"")"),0)</f>
        <v>0</v>
      </c>
      <c r="J594" s="189">
        <f ca="1">IFERROR(__xludf.DUMMYFUNCTION("IMPORTRANGE(""https://docs.google.com/spreadsheets/d/11923uPwbBZFjjGgGUA6NLw09EwE0CqkOc4q9oUmW1yo/edit?usp=sharing"",""พิจิตร!J489"")"),0)</f>
        <v>0</v>
      </c>
      <c r="K594" s="343">
        <f t="shared" ca="1" si="125"/>
        <v>0</v>
      </c>
      <c r="L594" s="183"/>
      <c r="M594" s="183"/>
      <c r="N594" s="183"/>
      <c r="O594" s="183"/>
      <c r="P594" s="183"/>
    </row>
    <row r="595" spans="1:16" ht="21.75" customHeight="1">
      <c r="A595" s="480"/>
      <c r="B595" s="168"/>
      <c r="C595" s="160"/>
      <c r="D595" s="292"/>
      <c r="E595" s="196" t="s">
        <v>125</v>
      </c>
      <c r="F595" s="197"/>
      <c r="G595" s="198"/>
      <c r="H595" s="182" t="s">
        <v>37</v>
      </c>
      <c r="I595" s="342">
        <f ca="1">IFERROR(__xludf.DUMMYFUNCTION("IMPORTRANGE(""https://docs.google.com/spreadsheets/d/11923uPwbBZFjjGgGUA6NLw09EwE0CqkOc4q9oUmW1yo/edit?usp=sharing"",""พิจิตร!I490"")"),200)</f>
        <v>200</v>
      </c>
      <c r="J595" s="189">
        <f ca="1">IFERROR(__xludf.DUMMYFUNCTION("IMPORTRANGE(""https://docs.google.com/spreadsheets/d/11923uPwbBZFjjGgGUA6NLw09EwE0CqkOc4q9oUmW1yo/edit?usp=sharing"",""พิจิตร!J490"")"),21)</f>
        <v>21</v>
      </c>
      <c r="K595" s="165">
        <f t="shared" ca="1" si="125"/>
        <v>10.5</v>
      </c>
      <c r="L595" s="183"/>
      <c r="M595" s="183"/>
      <c r="N595" s="183"/>
      <c r="O595" s="183"/>
      <c r="P595" s="183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IFERROR(__xludf.DUMMYFUNCTION("IMPORTRANGE(""https://docs.google.com/spreadsheets/d/11923uPwbBZFjjGgGUA6NLw09EwE0CqkOc4q9oUmW1yo/edit?usp=sharing"",""พิจิตร!I491"")"),0)</f>
        <v>0</v>
      </c>
      <c r="J596" s="242">
        <f ca="1">IFERROR(__xludf.DUMMYFUNCTION("IMPORTRANGE(""https://docs.google.com/spreadsheets/d/11923uPwbBZFjjGgGUA6NLw09EwE0CqkOc4q9oUmW1yo/edit?usp=sharing"",""พิจิตร!J491"")"),15.26)</f>
        <v>15.26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6"/>
      <c r="B597" s="407">
        <v>10</v>
      </c>
      <c r="C597" s="408" t="s">
        <v>218</v>
      </c>
      <c r="D597" s="408"/>
      <c r="E597" s="408"/>
      <c r="F597" s="408"/>
      <c r="G597" s="409"/>
      <c r="H597" s="410" t="s">
        <v>122</v>
      </c>
      <c r="I597" s="411">
        <f ca="1">IFERROR(__xludf.DUMMYFUNCTION("IMPORTRANGE(""https://docs.google.com/spreadsheets/d/11923uPwbBZFjjGgGUA6NLw09EwE0CqkOc4q9oUmW1yo/edit?usp=sharing"",""พิจิตร!I492"")"),50)</f>
        <v>50</v>
      </c>
      <c r="J597" s="489">
        <f ca="1">IFERROR(__xludf.DUMMYFUNCTION("IMPORTRANGE(""https://docs.google.com/spreadsheets/d/11923uPwbBZFjjGgGUA6NLw09EwE0CqkOc4q9oUmW1yo/edit?usp=sharing"",""พิจิตร!J492"")"),0)</f>
        <v>0</v>
      </c>
      <c r="K597" s="412">
        <f ca="1">IF(I597&gt;0,J597*100/I597,0)</f>
        <v>0</v>
      </c>
      <c r="L597" s="413">
        <f ca="1">IFERROR(__xludf.DUMMYFUNCTION("IMPORTRANGE(""https://docs.google.com/spreadsheets/d/11923uPwbBZFjjGgGUA6NLw09EwE0CqkOc4q9oUmW1yo/edit?usp=sharing"",""พิจิตร!L492"")"),4550)</f>
        <v>4550</v>
      </c>
      <c r="M597" s="413"/>
      <c r="N597" s="413">
        <f ca="1">IFERROR(__xludf.DUMMYFUNCTION("IMPORTRANGE(""https://docs.google.com/spreadsheets/d/11923uPwbBZFjjGgGUA6NLw09EwE0CqkOc4q9oUmW1yo/edit?usp=sharing"",""พิจิตร!M492"")"),1794)</f>
        <v>1794</v>
      </c>
      <c r="O597" s="413">
        <f t="shared" ref="O597:O601" ca="1" si="126">+IF(L597&gt;0,N597*100/L597,0)</f>
        <v>39.428571428571431</v>
      </c>
      <c r="P597" s="413"/>
    </row>
    <row r="598" spans="1:16" ht="21.75" customHeight="1">
      <c r="A598" s="159"/>
      <c r="B598" s="160"/>
      <c r="C598" s="160" t="s">
        <v>16</v>
      </c>
      <c r="D598" s="279" t="s">
        <v>77</v>
      </c>
      <c r="E598" s="161"/>
      <c r="F598" s="161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IFERROR(__xludf.DUMMYFUNCTION("IMPORTRANGE(""https://docs.google.com/spreadsheets/d/11923uPwbBZFjjGgGUA6NLw09EwE0CqkOc4q9oUmW1yo/edit?usp=sharing"",""พิจิตร!L493"")"),0)</f>
        <v>0</v>
      </c>
      <c r="M598" s="166"/>
      <c r="N598" s="170">
        <f ca="1">IFERROR(__xludf.DUMMYFUNCTION("IMPORTRANGE(""https://docs.google.com/spreadsheets/d/11923uPwbBZFjjGgGUA6NLw09EwE0CqkOc4q9oUmW1yo/edit?usp=sharing"",""พิจิตร!M493"")"),0)</f>
        <v>0</v>
      </c>
      <c r="O598" s="170">
        <f t="shared" ca="1" si="126"/>
        <v>0</v>
      </c>
      <c r="P598" s="170"/>
    </row>
    <row r="599" spans="1:16" ht="21.75" customHeight="1">
      <c r="A599" s="159"/>
      <c r="B599" s="160"/>
      <c r="C599" s="160"/>
      <c r="D599" s="168"/>
      <c r="E599" s="161"/>
      <c r="F599" s="161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IFERROR(__xludf.DUMMYFUNCTION("IMPORTRANGE(""https://docs.google.com/spreadsheets/d/11923uPwbBZFjjGgGUA6NLw09EwE0CqkOc4q9oUmW1yo/edit?usp=sharing"",""พิจิตร!L494"")"),4550)</f>
        <v>4550</v>
      </c>
      <c r="M599" s="167"/>
      <c r="N599" s="170">
        <f ca="1">IFERROR(__xludf.DUMMYFUNCTION("IMPORTRANGE(""https://docs.google.com/spreadsheets/d/11923uPwbBZFjjGgGUA6NLw09EwE0CqkOc4q9oUmW1yo/edit?usp=sharing"",""พิจิตร!M494"")"),1794)</f>
        <v>1794</v>
      </c>
      <c r="O599" s="170">
        <f t="shared" ca="1" si="126"/>
        <v>39.428571428571431</v>
      </c>
      <c r="P599" s="170"/>
    </row>
    <row r="600" spans="1:16" ht="21.75" customHeight="1">
      <c r="A600" s="159"/>
      <c r="B600" s="160"/>
      <c r="C600" s="160"/>
      <c r="D600" s="168"/>
      <c r="E600" s="161"/>
      <c r="F600" s="161"/>
      <c r="G600" s="375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IFERROR(__xludf.DUMMYFUNCTION("IMPORTRANGE(""https://docs.google.com/spreadsheets/d/11923uPwbBZFjjGgGUA6NLw09EwE0CqkOc4q9oUmW1yo/edit?usp=sharing"",""พิจิตร!L495"")"),0)</f>
        <v>0</v>
      </c>
      <c r="M600" s="170"/>
      <c r="N600" s="170">
        <f ca="1">IFERROR(__xludf.DUMMYFUNCTION("IMPORTRANGE(""https://docs.google.com/spreadsheets/d/11923uPwbBZFjjGgGUA6NLw09EwE0CqkOc4q9oUmW1yo/edit?usp=sharing"",""พิจิตร!M495"")"),0)</f>
        <v>0</v>
      </c>
      <c r="O600" s="170">
        <f t="shared" ca="1" si="126"/>
        <v>0</v>
      </c>
      <c r="P600" s="170"/>
    </row>
    <row r="601" spans="1:16" ht="21.75" customHeight="1">
      <c r="A601" s="159"/>
      <c r="B601" s="160"/>
      <c r="C601" s="160"/>
      <c r="D601" s="168"/>
      <c r="E601" s="161"/>
      <c r="F601" s="161"/>
      <c r="G601" s="375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IFERROR(__xludf.DUMMYFUNCTION("IMPORTRANGE(""https://docs.google.com/spreadsheets/d/11923uPwbBZFjjGgGUA6NLw09EwE0CqkOc4q9oUmW1yo/edit?usp=sharing"",""พิจิตร!L496"")"),4550)</f>
        <v>4550</v>
      </c>
      <c r="M601" s="170"/>
      <c r="N601" s="170">
        <f ca="1">IFERROR(__xludf.DUMMYFUNCTION("IMPORTRANGE(""https://docs.google.com/spreadsheets/d/11923uPwbBZFjjGgGUA6NLw09EwE0CqkOc4q9oUmW1yo/edit?usp=sharing"",""พิจิตร!M496"")"),1794)</f>
        <v>1794</v>
      </c>
      <c r="O601" s="170">
        <f t="shared" ca="1" si="126"/>
        <v>39.428571428571431</v>
      </c>
      <c r="P601" s="170"/>
    </row>
    <row r="602" spans="1:16" ht="21.75" customHeight="1">
      <c r="A602" s="376"/>
      <c r="B602" s="377"/>
      <c r="C602" s="160"/>
      <c r="D602" s="378"/>
      <c r="E602" s="161"/>
      <c r="F602" s="161"/>
      <c r="G602" s="379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IFERROR(__xludf.DUMMYFUNCTION("IMPORTRANGE(""https://docs.google.com/spreadsheets/d/11923uPwbBZFjjGgGUA6NLw09EwE0CqkOc4q9oUmW1yo/edit?usp=sharing"",""พิจิตร!M497"")"),0)</f>
        <v>0</v>
      </c>
      <c r="O602" s="170"/>
      <c r="P602" s="170"/>
    </row>
    <row r="603" spans="1:16" ht="21.75" customHeight="1">
      <c r="A603" s="376"/>
      <c r="B603" s="377"/>
      <c r="C603" s="160"/>
      <c r="D603" s="378"/>
      <c r="E603" s="161"/>
      <c r="F603" s="161"/>
      <c r="G603" s="379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IFERROR(__xludf.DUMMYFUNCTION("IMPORTRANGE(""https://docs.google.com/spreadsheets/d/11923uPwbBZFjjGgGUA6NLw09EwE0CqkOc4q9oUmW1yo/edit?usp=sharing"",""พิจิตร!M498"")"),0)</f>
        <v>0</v>
      </c>
      <c r="O603" s="170"/>
      <c r="P603" s="170"/>
    </row>
    <row r="604" spans="1:16" ht="21.75" customHeight="1">
      <c r="A604" s="376"/>
      <c r="B604" s="377"/>
      <c r="C604" s="160"/>
      <c r="D604" s="378"/>
      <c r="E604" s="161"/>
      <c r="F604" s="161"/>
      <c r="G604" s="379" t="s">
        <v>133</v>
      </c>
      <c r="H604" s="163" t="s">
        <v>12</v>
      </c>
      <c r="I604" s="189"/>
      <c r="J604" s="189"/>
      <c r="K604" s="225"/>
      <c r="L604" s="170"/>
      <c r="M604" s="170"/>
      <c r="N604" s="380">
        <f ca="1">IFERROR(__xludf.DUMMYFUNCTION("IMPORTRANGE(""https://docs.google.com/spreadsheets/d/11923uPwbBZFjjGgGUA6NLw09EwE0CqkOc4q9oUmW1yo/edit?usp=sharing"",""พิจิตร!M499"")"),0)</f>
        <v>0</v>
      </c>
      <c r="O604" s="170"/>
      <c r="P604" s="170"/>
    </row>
    <row r="605" spans="1:16" ht="21.75" customHeight="1">
      <c r="A605" s="376"/>
      <c r="B605" s="377"/>
      <c r="C605" s="160"/>
      <c r="D605" s="378"/>
      <c r="E605" s="161"/>
      <c r="F605" s="161"/>
      <c r="G605" s="379" t="s">
        <v>134</v>
      </c>
      <c r="H605" s="163" t="s">
        <v>12</v>
      </c>
      <c r="I605" s="189"/>
      <c r="J605" s="189"/>
      <c r="K605" s="225"/>
      <c r="L605" s="170"/>
      <c r="M605" s="170"/>
      <c r="N605" s="380">
        <f ca="1">IFERROR(__xludf.DUMMYFUNCTION("IMPORTRANGE(""https://docs.google.com/spreadsheets/d/11923uPwbBZFjjGgGUA6NLw09EwE0CqkOc4q9oUmW1yo/edit?usp=sharing"",""พิจิตร!M500"")"),1794)</f>
        <v>1794</v>
      </c>
      <c r="O605" s="170"/>
      <c r="P605" s="170"/>
    </row>
    <row r="606" spans="1:16" ht="21.75" customHeight="1">
      <c r="A606" s="177"/>
      <c r="B606" s="178"/>
      <c r="C606" s="160" t="s">
        <v>16</v>
      </c>
      <c r="D606" s="179" t="s">
        <v>43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>
      <c r="A607" s="177"/>
      <c r="B607" s="178"/>
      <c r="C607" s="178"/>
      <c r="D607" s="184">
        <v>1</v>
      </c>
      <c r="E607" s="185" t="s">
        <v>44</v>
      </c>
      <c r="F607" s="186"/>
      <c r="G607" s="187"/>
      <c r="H607" s="188"/>
      <c r="I607" s="189"/>
      <c r="J607" s="199">
        <f ca="1">IFERROR(__xludf.DUMMYFUNCTION("IMPORTRANGE(""https://docs.google.com/spreadsheets/d/11923uPwbBZFjjGgGUA6NLw09EwE0CqkOc4q9oUmW1yo/edit?usp=sharing"",""พิจิตร!J502"")"),0)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>
      <c r="A608" s="177"/>
      <c r="B608" s="178"/>
      <c r="C608" s="178"/>
      <c r="D608" s="191">
        <v>2</v>
      </c>
      <c r="E608" s="192" t="s">
        <v>45</v>
      </c>
      <c r="F608" s="193"/>
      <c r="G608" s="194"/>
      <c r="H608" s="188"/>
      <c r="I608" s="189"/>
      <c r="J608" s="199">
        <f ca="1">IFERROR(__xludf.DUMMYFUNCTION("IMPORTRANGE(""https://docs.google.com/spreadsheets/d/11923uPwbBZFjjGgGUA6NLw09EwE0CqkOc4q9oUmW1yo/edit?usp=sharing"",""พิจิตร!J503"")"),1)</f>
        <v>1</v>
      </c>
      <c r="K608" s="165"/>
      <c r="L608" s="183" t="s">
        <v>39</v>
      </c>
      <c r="M608" s="183"/>
      <c r="N608" s="183" t="s">
        <v>39</v>
      </c>
      <c r="O608" s="183"/>
      <c r="P608" s="183"/>
    </row>
    <row r="609" spans="1:16" ht="21.75" hidden="1" customHeight="1">
      <c r="A609" s="376"/>
      <c r="B609" s="377"/>
      <c r="C609" s="377"/>
      <c r="D609" s="490"/>
      <c r="E609" s="491" t="s">
        <v>46</v>
      </c>
      <c r="F609" s="492"/>
      <c r="G609" s="382"/>
      <c r="H609" s="188"/>
      <c r="I609" s="189"/>
      <c r="J609" s="189">
        <f ca="1">IFERROR(__xludf.DUMMYFUNCTION("IMPORTRANGE(""https://docs.google.com/spreadsheets/d/11923uPwbBZFjjGgGUA6NLw09EwE0CqkOc4q9oUmW1yo/edit?usp=sharing"",""พิจิตร!J166"")"),0)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>
      <c r="A610" s="376"/>
      <c r="B610" s="377"/>
      <c r="C610" s="377"/>
      <c r="D610" s="490"/>
      <c r="E610" s="491" t="s">
        <v>47</v>
      </c>
      <c r="F610" s="492"/>
      <c r="G610" s="382"/>
      <c r="H610" s="188"/>
      <c r="I610" s="189"/>
      <c r="J610" s="189">
        <f ca="1">IFERROR(__xludf.DUMMYFUNCTION("IMPORTRANGE(""https://docs.google.com/spreadsheets/d/11923uPwbBZFjjGgGUA6NLw09EwE0CqkOc4q9oUmW1yo/edit?usp=sharing"",""พิจิตร!J166"")"),0)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IFERROR(__xludf.DUMMYFUNCTION("IMPORTRANGE(""https://docs.google.com/spreadsheets/d/11923uPwbBZFjjGgGUA6NLw09EwE0CqkOc4q9oUmW1yo/edit?usp=sharing"",""พิจิตร!I506"")"),50)</f>
        <v>50</v>
      </c>
      <c r="J611" s="164">
        <f ca="1">IFERROR(__xludf.DUMMYFUNCTION("IMPORTRANGE(""https://docs.google.com/spreadsheets/d/11923uPwbBZFjjGgGUA6NLw09EwE0CqkOc4q9oUmW1yo/edit?usp=sharing"",""พิจิตร!J506"")"),0)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IFERROR(__xludf.DUMMYFUNCTION("IMPORTRANGE(""https://docs.google.com/spreadsheets/d/11923uPwbBZFjjGgGUA6NLw09EwE0CqkOc4q9oUmW1yo/edit?usp=sharing"",""พิจิตร!I507"")"),0)</f>
        <v>0</v>
      </c>
      <c r="J612" s="199">
        <f ca="1">IFERROR(__xludf.DUMMYFUNCTION("IMPORTRANGE(""https://docs.google.com/spreadsheets/d/11923uPwbBZFjjGgGUA6NLw09EwE0CqkOc4q9oUmW1yo/edit?usp=sharing"",""พิจิตร!J507"")"),0)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IFERROR(__xludf.DUMMYFUNCTION("IMPORTRANGE(""https://docs.google.com/spreadsheets/d/11923uPwbBZFjjGgGUA6NLw09EwE0CqkOc4q9oUmW1yo/edit?usp=sharing"",""พิจิตร!I508"")"),0)</f>
        <v>0</v>
      </c>
      <c r="J613" s="199">
        <f ca="1">IFERROR(__xludf.DUMMYFUNCTION("IMPORTRANGE(""https://docs.google.com/spreadsheets/d/11923uPwbBZFjjGgGUA6NLw09EwE0CqkOc4q9oUmW1yo/edit?usp=sharing"",""พิจิตร!J508"")"),0)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IFERROR(__xludf.DUMMYFUNCTION("IMPORTRANGE(""https://docs.google.com/spreadsheets/d/11923uPwbBZFjjGgGUA6NLw09EwE0CqkOc4q9oUmW1yo/edit?usp=sharing"",""พิจิตร!I509"")"),0)</f>
        <v>0</v>
      </c>
      <c r="J614" s="199">
        <f ca="1">IFERROR(__xludf.DUMMYFUNCTION("IMPORTRANGE(""https://docs.google.com/spreadsheets/d/11923uPwbBZFjjGgGUA6NLw09EwE0CqkOc4q9oUmW1yo/edit?usp=sharing"",""พิจิตร!J509"")"),0)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IFERROR(__xludf.DUMMYFUNCTION("IMPORTRANGE(""https://docs.google.com/spreadsheets/d/11923uPwbBZFjjGgGUA6NLw09EwE0CqkOc4q9oUmW1yo/edit?usp=sharing"",""พิจิตร!I510"")"),0)</f>
        <v>0</v>
      </c>
      <c r="J615" s="199">
        <f ca="1">IFERROR(__xludf.DUMMYFUNCTION("IMPORTRANGE(""https://docs.google.com/spreadsheets/d/11923uPwbBZFjjGgGUA6NLw09EwE0CqkOc4q9oUmW1yo/edit?usp=sharing"",""พิจิตร!J510"")"),0)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IFERROR(__xludf.DUMMYFUNCTION("IMPORTRANGE(""https://docs.google.com/spreadsheets/d/11923uPwbBZFjjGgGUA6NLw09EwE0CqkOc4q9oUmW1yo/edit?usp=sharing"",""พิจิตร!I511"")"),0)</f>
        <v>0</v>
      </c>
      <c r="J616" s="199">
        <f ca="1">IFERROR(__xludf.DUMMYFUNCTION("IMPORTRANGE(""https://docs.google.com/spreadsheets/d/11923uPwbBZFjjGgGUA6NLw09EwE0CqkOc4q9oUmW1yo/edit?usp=sharing"",""พิจิตร!J511"")"),0)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IFERROR(__xludf.DUMMYFUNCTION("IMPORTRANGE(""https://docs.google.com/spreadsheets/d/11923uPwbBZFjjGgGUA6NLw09EwE0CqkOc4q9oUmW1yo/edit?usp=sharing"",""พิจิตร!I512"")"),0)</f>
        <v>0</v>
      </c>
      <c r="J617" s="189">
        <f ca="1">IFERROR(__xludf.DUMMYFUNCTION("IMPORTRANGE(""https://docs.google.com/spreadsheets/d/11923uPwbBZFjjGgGUA6NLw09EwE0CqkOc4q9oUmW1yo/edit?usp=sharing"",""พิจิตร!J512"")"),0)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>
      <c r="A618" s="177"/>
      <c r="B618" s="178"/>
      <c r="C618" s="178"/>
      <c r="D618" s="195"/>
      <c r="E618" s="200"/>
      <c r="F618" s="197"/>
      <c r="G618" s="493" t="s">
        <v>226</v>
      </c>
      <c r="H618" s="182" t="s">
        <v>122</v>
      </c>
      <c r="I618" s="205">
        <f ca="1">IFERROR(__xludf.DUMMYFUNCTION("IMPORTRANGE(""https://docs.google.com/spreadsheets/d/11923uPwbBZFjjGgGUA6NLw09EwE0CqkOc4q9oUmW1yo/edit?usp=sharing"",""พิจิตร!I513"")"),0)</f>
        <v>0</v>
      </c>
      <c r="J618" s="190">
        <f ca="1">IFERROR(__xludf.DUMMYFUNCTION("IMPORTRANGE(""https://docs.google.com/spreadsheets/d/11923uPwbBZFjjGgGUA6NLw09EwE0CqkOc4q9oUmW1yo/edit?usp=sharing"",""พิจิตร!J513"")"),0)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>
      <c r="A619" s="177"/>
      <c r="B619" s="178"/>
      <c r="C619" s="178"/>
      <c r="D619" s="195"/>
      <c r="E619" s="200"/>
      <c r="F619" s="197"/>
      <c r="G619" s="493" t="s">
        <v>227</v>
      </c>
      <c r="H619" s="182" t="s">
        <v>122</v>
      </c>
      <c r="I619" s="205">
        <f ca="1">IFERROR(__xludf.DUMMYFUNCTION("IMPORTRANGE(""https://docs.google.com/spreadsheets/d/11923uPwbBZFjjGgGUA6NLw09EwE0CqkOc4q9oUmW1yo/edit?usp=sharing"",""พิจิตร!I514"")"),0)</f>
        <v>0</v>
      </c>
      <c r="J619" s="190">
        <f ca="1">IFERROR(__xludf.DUMMYFUNCTION("IMPORTRANGE(""https://docs.google.com/spreadsheets/d/11923uPwbBZFjjGgGUA6NLw09EwE0CqkOc4q9oUmW1yo/edit?usp=sharing"",""พิจิตร!J514"")"),0)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IFERROR(__xludf.DUMMYFUNCTION("IMPORTRANGE(""https://docs.google.com/spreadsheets/d/11923uPwbBZFjjGgGUA6NLw09EwE0CqkOc4q9oUmW1yo/edit?usp=sharing"",""พิจิตร!I515"")"),0)</f>
        <v>0</v>
      </c>
      <c r="J620" s="204">
        <f ca="1">IFERROR(__xludf.DUMMYFUNCTION("IMPORTRANGE(""https://docs.google.com/spreadsheets/d/11923uPwbBZFjjGgGUA6NLw09EwE0CqkOc4q9oUmW1yo/edit?usp=sharing"",""พิจิตร!J515"")"),0)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IFERROR(__xludf.DUMMYFUNCTION("IMPORTRANGE(""https://docs.google.com/spreadsheets/d/11923uPwbBZFjjGgGUA6NLw09EwE0CqkOc4q9oUmW1yo/edit?usp=sharing"",""พิจิตร!I516"")"),0)</f>
        <v>0</v>
      </c>
      <c r="J621" s="204">
        <f ca="1">IFERROR(__xludf.DUMMYFUNCTION("IMPORTRANGE(""https://docs.google.com/spreadsheets/d/11923uPwbBZFjjGgGUA6NLw09EwE0CqkOc4q9oUmW1yo/edit?usp=sharing"",""พิจิตร!J516"")"),0)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>
      <c r="A622" s="177"/>
      <c r="B622" s="178"/>
      <c r="C622" s="178"/>
      <c r="D622" s="195"/>
      <c r="E622" s="200"/>
      <c r="F622" s="197"/>
      <c r="G622" s="493" t="s">
        <v>226</v>
      </c>
      <c r="H622" s="182" t="s">
        <v>122</v>
      </c>
      <c r="I622" s="205">
        <f ca="1">IFERROR(__xludf.DUMMYFUNCTION("IMPORTRANGE(""https://docs.google.com/spreadsheets/d/11923uPwbBZFjjGgGUA6NLw09EwE0CqkOc4q9oUmW1yo/edit?usp=sharing"",""พิจิตร!I517"")"),0)</f>
        <v>0</v>
      </c>
      <c r="J622" s="190">
        <f ca="1">IFERROR(__xludf.DUMMYFUNCTION("IMPORTRANGE(""https://docs.google.com/spreadsheets/d/11923uPwbBZFjjGgGUA6NLw09EwE0CqkOc4q9oUmW1yo/edit?usp=sharing"",""พิจิตร!J517"")"),0)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>
      <c r="A623" s="177"/>
      <c r="B623" s="178"/>
      <c r="C623" s="178"/>
      <c r="D623" s="195"/>
      <c r="E623" s="200"/>
      <c r="F623" s="197"/>
      <c r="G623" s="493" t="s">
        <v>227</v>
      </c>
      <c r="H623" s="182" t="s">
        <v>122</v>
      </c>
      <c r="I623" s="205">
        <f ca="1">IFERROR(__xludf.DUMMYFUNCTION("IMPORTRANGE(""https://docs.google.com/spreadsheets/d/11923uPwbBZFjjGgGUA6NLw09EwE0CqkOc4q9oUmW1yo/edit?usp=sharing"",""พิจิตร!I518"")"),0)</f>
        <v>0</v>
      </c>
      <c r="J623" s="190">
        <f ca="1">IFERROR(__xludf.DUMMYFUNCTION("IMPORTRANGE(""https://docs.google.com/spreadsheets/d/11923uPwbBZFjjGgGUA6NLw09EwE0CqkOc4q9oUmW1yo/edit?usp=sharing"",""พิจิตร!J518"")"),0)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IFERROR(__xludf.DUMMYFUNCTION("IMPORTRANGE(""https://docs.google.com/spreadsheets/d/11923uPwbBZFjjGgGUA6NLw09EwE0CqkOc4q9oUmW1yo/edit?usp=sharing"",""พิจิตร!I519"")"),0)</f>
        <v>0</v>
      </c>
      <c r="J624" s="189">
        <f ca="1">IFERROR(__xludf.DUMMYFUNCTION("IMPORTRANGE(""https://docs.google.com/spreadsheets/d/11923uPwbBZFjjGgGUA6NLw09EwE0CqkOc4q9oUmW1yo/edit?usp=sharing"",""พิจิตร!J519"")"),0)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>
      <c r="A625" s="177"/>
      <c r="B625" s="178"/>
      <c r="C625" s="178"/>
      <c r="D625" s="195"/>
      <c r="E625" s="200"/>
      <c r="F625" s="197"/>
      <c r="G625" s="493" t="s">
        <v>230</v>
      </c>
      <c r="H625" s="182" t="s">
        <v>122</v>
      </c>
      <c r="I625" s="205">
        <f ca="1">IFERROR(__xludf.DUMMYFUNCTION("IMPORTRANGE(""https://docs.google.com/spreadsheets/d/11923uPwbBZFjjGgGUA6NLw09EwE0CqkOc4q9oUmW1yo/edit?usp=sharing"",""พิจิตร!I520"")"),0)</f>
        <v>0</v>
      </c>
      <c r="J625" s="190">
        <f ca="1">IFERROR(__xludf.DUMMYFUNCTION("IMPORTRANGE(""https://docs.google.com/spreadsheets/d/11923uPwbBZFjjGgGUA6NLw09EwE0CqkOc4q9oUmW1yo/edit?usp=sharing"",""พิจิตร!J520"")"),0)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>
      <c r="A626" s="177"/>
      <c r="B626" s="178"/>
      <c r="C626" s="178"/>
      <c r="D626" s="195"/>
      <c r="E626" s="200"/>
      <c r="F626" s="197"/>
      <c r="G626" s="493" t="s">
        <v>231</v>
      </c>
      <c r="H626" s="182" t="s">
        <v>122</v>
      </c>
      <c r="I626" s="205">
        <f ca="1">IFERROR(__xludf.DUMMYFUNCTION("IMPORTRANGE(""https://docs.google.com/spreadsheets/d/11923uPwbBZFjjGgGUA6NLw09EwE0CqkOc4q9oUmW1yo/edit?usp=sharing"",""พิจิตร!I521"")"),0)</f>
        <v>0</v>
      </c>
      <c r="J626" s="190">
        <f ca="1">IFERROR(__xludf.DUMMYFUNCTION("IMPORTRANGE(""https://docs.google.com/spreadsheets/d/11923uPwbBZFjjGgGUA6NLw09EwE0CqkOc4q9oUmW1yo/edit?usp=sharing"",""พิจิตร!J521"")"),0)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0"/>
      <c r="D628" s="168"/>
      <c r="E628" s="161"/>
      <c r="F628" s="161"/>
      <c r="G628" s="162"/>
      <c r="H628" s="502" t="s">
        <v>12</v>
      </c>
      <c r="I628" s="342">
        <f ca="1">IFERROR(__xludf.DUMMYFUNCTION("IMPORTRANGE(""https://docs.google.com/spreadsheets/d/11923uPwbBZFjjGgGUA6NLw09EwE0CqkOc4q9oUmW1yo/edit?usp=sharing"",""พิจิตร!I523"")"),2520250)</f>
        <v>2520250</v>
      </c>
      <c r="J628" s="342">
        <f ca="1">IFERROR(__xludf.DUMMYFUNCTION("IMPORTRANGE(""https://docs.google.com/spreadsheets/d/11923uPwbBZFjjGgGUA6NLw09EwE0CqkOc4q9oUmW1yo/edit?usp=sharing"",""พิจิตร!J523"")"),670000)</f>
        <v>670000</v>
      </c>
      <c r="K628" s="343">
        <f t="shared" ref="K628:K635" ca="1" si="129">IF(I628&gt;0,J628*100/I628,0)</f>
        <v>26.584664219819462</v>
      </c>
      <c r="L628" s="343"/>
      <c r="M628" s="343"/>
      <c r="N628" s="343"/>
      <c r="O628" s="170"/>
      <c r="P628" s="170"/>
    </row>
    <row r="629" spans="1:16" ht="21.75" customHeight="1">
      <c r="A629" s="480"/>
      <c r="B629" s="160"/>
      <c r="C629" s="160"/>
      <c r="D629" s="168"/>
      <c r="E629" s="161"/>
      <c r="F629" s="161"/>
      <c r="G629" s="162"/>
      <c r="H629" s="502" t="s">
        <v>37</v>
      </c>
      <c r="I629" s="342">
        <f ca="1">IFERROR(__xludf.DUMMYFUNCTION("IMPORTRANGE(""https://docs.google.com/spreadsheets/d/11923uPwbBZFjjGgGUA6NLw09EwE0CqkOc4q9oUmW1yo/edit?usp=sharing"",""พิจิตร!I524"")"),93)</f>
        <v>93</v>
      </c>
      <c r="J629" s="342">
        <f ca="1">IFERROR(__xludf.DUMMYFUNCTION("IMPORTRANGE(""https://docs.google.com/spreadsheets/d/11923uPwbBZFjjGgGUA6NLw09EwE0CqkOc4q9oUmW1yo/edit?usp=sharing"",""พิจิตร!J524"")"),23)</f>
        <v>23</v>
      </c>
      <c r="K629" s="343">
        <f t="shared" ca="1" si="129"/>
        <v>24.731182795698924</v>
      </c>
      <c r="L629" s="343"/>
      <c r="M629" s="343"/>
      <c r="N629" s="343"/>
      <c r="O629" s="170"/>
      <c r="P629" s="170"/>
    </row>
    <row r="630" spans="1:16" ht="21.75" customHeight="1">
      <c r="A630" s="480"/>
      <c r="B630" s="501" t="s">
        <v>234</v>
      </c>
      <c r="C630" s="160"/>
      <c r="D630" s="168"/>
      <c r="E630" s="161"/>
      <c r="F630" s="161"/>
      <c r="G630" s="162"/>
      <c r="H630" s="502" t="s">
        <v>12</v>
      </c>
      <c r="I630" s="342">
        <f ca="1">IFERROR(__xludf.DUMMYFUNCTION("IMPORTRANGE(""https://docs.google.com/spreadsheets/d/11923uPwbBZFjjGgGUA6NLw09EwE0CqkOc4q9oUmW1yo/edit?usp=sharing"",""พิจิตร!I525"")"),510790.7)</f>
        <v>510790.7</v>
      </c>
      <c r="J630" s="342">
        <f ca="1">IFERROR(__xludf.DUMMYFUNCTION("IMPORTRANGE(""https://docs.google.com/spreadsheets/d/11923uPwbBZFjjGgGUA6NLw09EwE0CqkOc4q9oUmW1yo/edit?usp=sharing"",""พิจิตร!J525"")"),54329.33)</f>
        <v>54329.33</v>
      </c>
      <c r="K630" s="343">
        <f t="shared" ca="1" si="129"/>
        <v>10.63631933784229</v>
      </c>
      <c r="L630" s="343"/>
      <c r="M630" s="343"/>
      <c r="N630" s="343"/>
      <c r="O630" s="170"/>
      <c r="P630" s="170"/>
    </row>
    <row r="631" spans="1:16" ht="21.75" customHeight="1">
      <c r="A631" s="480"/>
      <c r="B631" s="160"/>
      <c r="C631" s="160"/>
      <c r="D631" s="168"/>
      <c r="E631" s="161"/>
      <c r="F631" s="161"/>
      <c r="G631" s="162"/>
      <c r="H631" s="502" t="s">
        <v>37</v>
      </c>
      <c r="I631" s="342">
        <f ca="1">IFERROR(__xludf.DUMMYFUNCTION("IMPORTRANGE(""https://docs.google.com/spreadsheets/d/11923uPwbBZFjjGgGUA6NLw09EwE0CqkOc4q9oUmW1yo/edit?usp=sharing"",""พิจิตร!I526"")"),29)</f>
        <v>29</v>
      </c>
      <c r="J631" s="342">
        <f ca="1">IFERROR(__xludf.DUMMYFUNCTION("IMPORTRANGE(""https://docs.google.com/spreadsheets/d/11923uPwbBZFjjGgGUA6NLw09EwE0CqkOc4q9oUmW1yo/edit?usp=sharing"",""พิจิตร!J526"")"),15)</f>
        <v>15</v>
      </c>
      <c r="K631" s="343">
        <f t="shared" ca="1" si="129"/>
        <v>51.724137931034484</v>
      </c>
      <c r="L631" s="343"/>
      <c r="M631" s="343"/>
      <c r="N631" s="343"/>
      <c r="O631" s="170"/>
      <c r="P631" s="170"/>
    </row>
    <row r="632" spans="1:16" ht="21.75" customHeight="1">
      <c r="A632" s="480"/>
      <c r="B632" s="501" t="s">
        <v>235</v>
      </c>
      <c r="C632" s="160"/>
      <c r="D632" s="168"/>
      <c r="E632" s="161"/>
      <c r="F632" s="161"/>
      <c r="G632" s="162"/>
      <c r="H632" s="502" t="s">
        <v>12</v>
      </c>
      <c r="I632" s="342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42">
        <f ca="1">IFERROR(__xludf.DUMMYFUNCTION("IMPORTRANGE(""https://docs.google.com/spreadsheets/d/11923uPwbBZFjjGgGUA6NLw09EwE0CqkOc4q9oUmW1yo/edit?usp=sharing"",""พิจิตร!J527"")"),2703492.77)</f>
        <v>2703492.77</v>
      </c>
      <c r="K632" s="343">
        <f t="shared" ca="1" si="129"/>
        <v>44.024708585694434</v>
      </c>
      <c r="L632" s="343"/>
      <c r="M632" s="343"/>
      <c r="N632" s="343"/>
      <c r="O632" s="170"/>
      <c r="P632" s="170"/>
    </row>
    <row r="633" spans="1:16" ht="21.75" customHeight="1">
      <c r="A633" s="480"/>
      <c r="B633" s="501"/>
      <c r="C633" s="160"/>
      <c r="D633" s="168"/>
      <c r="E633" s="161"/>
      <c r="F633" s="161"/>
      <c r="G633" s="162"/>
      <c r="H633" s="502" t="s">
        <v>37</v>
      </c>
      <c r="I633" s="342">
        <f ca="1">IFERROR(__xludf.DUMMYFUNCTION("IMPORTRANGE(""https://docs.google.com/spreadsheets/d/11923uPwbBZFjjGgGUA6NLw09EwE0CqkOc4q9oUmW1yo/edit?usp=sharing"",""พิจิตร!I528"")"),482)</f>
        <v>482</v>
      </c>
      <c r="J633" s="342">
        <f ca="1">IFERROR(__xludf.DUMMYFUNCTION("IMPORTRANGE(""https://docs.google.com/spreadsheets/d/11923uPwbBZFjjGgGUA6NLw09EwE0CqkOc4q9oUmW1yo/edit?usp=sharing"",""พิจิตร!J528"")"),396)</f>
        <v>396</v>
      </c>
      <c r="K633" s="343">
        <f t="shared" ca="1" si="129"/>
        <v>82.157676348547724</v>
      </c>
      <c r="L633" s="343"/>
      <c r="M633" s="343"/>
      <c r="N633" s="343"/>
      <c r="O633" s="170"/>
      <c r="P633" s="170"/>
    </row>
    <row r="634" spans="1:16" ht="21.75" customHeight="1">
      <c r="A634" s="480"/>
      <c r="B634" s="501" t="s">
        <v>236</v>
      </c>
      <c r="C634" s="160"/>
      <c r="D634" s="168"/>
      <c r="E634" s="161"/>
      <c r="F634" s="161"/>
      <c r="G634" s="162"/>
      <c r="H634" s="502" t="s">
        <v>12</v>
      </c>
      <c r="I634" s="342">
        <f ca="1">IFERROR(__xludf.DUMMYFUNCTION("IMPORTRANGE(""https://docs.google.com/spreadsheets/d/11923uPwbBZFjjGgGUA6NLw09EwE0CqkOc4q9oUmW1yo/edit?usp=sharing"",""พิจิตร!I529"")"),2320000)</f>
        <v>2320000</v>
      </c>
      <c r="J634" s="342">
        <f ca="1">IFERROR(__xludf.DUMMYFUNCTION("IMPORTRANGE(""https://docs.google.com/spreadsheets/d/11923uPwbBZFjjGgGUA6NLw09EwE0CqkOc4q9oUmW1yo/edit?usp=sharing"",""พิจิตร!J529"")"),480000)</f>
        <v>480000</v>
      </c>
      <c r="K634" s="343">
        <f t="shared" ca="1" si="129"/>
        <v>20.689655172413794</v>
      </c>
      <c r="L634" s="343"/>
      <c r="M634" s="343"/>
      <c r="N634" s="343"/>
      <c r="O634" s="170"/>
      <c r="P634" s="170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IFERROR(__xludf.DUMMYFUNCTION("IMPORTRANGE(""https://docs.google.com/spreadsheets/d/11923uPwbBZFjjGgGUA6NLw09EwE0CqkOc4q9oUmW1yo/edit?usp=sharing"",""พิจิตร!I530"")"),87)</f>
        <v>87</v>
      </c>
      <c r="J635" s="506">
        <f ca="1">IFERROR(__xludf.DUMMYFUNCTION("IMPORTRANGE(""https://docs.google.com/spreadsheets/d/11923uPwbBZFjjGgGUA6NLw09EwE0CqkOc4q9oUmW1yo/edit?usp=sharing"",""พิจิตร!J530"")"),16)</f>
        <v>16</v>
      </c>
      <c r="K635" s="488">
        <f t="shared" ca="1" si="129"/>
        <v>18.390804597701148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3"/>
      <c r="H636" s="509"/>
      <c r="I636" s="509"/>
      <c r="J636" s="509"/>
      <c r="K636" s="510"/>
      <c r="L636" s="511">
        <f ca="1">SUM(L637,L638)</f>
        <v>21330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>
      <c r="A637" s="513"/>
      <c r="B637" s="514"/>
      <c r="C637" s="515" t="s">
        <v>16</v>
      </c>
      <c r="D637" s="594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21330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21330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6"/>
      <c r="M641" s="522"/>
      <c r="N641" s="523">
        <v>0</v>
      </c>
      <c r="O641" s="526"/>
      <c r="P641" s="526"/>
    </row>
    <row r="642" spans="1:16" ht="21.75" customHeight="1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6"/>
      <c r="M642" s="522"/>
      <c r="N642" s="523">
        <v>0</v>
      </c>
      <c r="O642" s="526"/>
      <c r="P642" s="526"/>
    </row>
    <row r="643" spans="1:16" ht="21.75" customHeight="1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6"/>
      <c r="M643" s="522"/>
      <c r="N643" s="523">
        <v>0</v>
      </c>
      <c r="O643" s="526"/>
      <c r="P643" s="526"/>
    </row>
    <row r="644" spans="1:16" ht="21.75" customHeight="1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7"/>
      <c r="J644" s="524"/>
      <c r="K644" s="525"/>
      <c r="L644" s="526"/>
      <c r="M644" s="522"/>
      <c r="N644" s="523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5" t="s">
        <v>16</v>
      </c>
      <c r="D645" s="595" t="s">
        <v>242</v>
      </c>
      <c r="E645" s="565"/>
      <c r="F645" s="565"/>
      <c r="G645" s="565"/>
      <c r="H645" s="519"/>
      <c r="I645" s="519"/>
      <c r="J645" s="519"/>
      <c r="K645" s="520"/>
      <c r="L645" s="530"/>
      <c r="M645" s="522"/>
      <c r="N645" s="530"/>
      <c r="O645" s="520"/>
      <c r="P645" s="520"/>
    </row>
    <row r="646" spans="1:16" ht="21.75" customHeight="1">
      <c r="A646" s="528"/>
      <c r="B646" s="529"/>
      <c r="C646" s="529"/>
      <c r="D646" s="531">
        <v>1</v>
      </c>
      <c r="E646" s="596" t="s">
        <v>44</v>
      </c>
      <c r="F646" s="565"/>
      <c r="G646" s="565"/>
      <c r="H646" s="524"/>
      <c r="I646" s="532"/>
      <c r="J646" s="533">
        <f ca="1">IFERROR(__xludf.DUMMYFUNCTION("IMPORTRANGE(""https://docs.google.com/spreadsheets/d/11923uPwbBZFjjGgGUA6NLw09EwE0CqkOc4q9oUmW1yo/edit?usp=sharing"",""พิจิตร!J541"")"),0)</f>
        <v>0</v>
      </c>
      <c r="K646" s="520"/>
      <c r="L646" s="530"/>
      <c r="M646" s="522"/>
      <c r="N646" s="534"/>
      <c r="O646" s="520"/>
      <c r="P646" s="520"/>
    </row>
    <row r="647" spans="1:16" ht="21.75" customHeight="1">
      <c r="A647" s="528"/>
      <c r="B647" s="529"/>
      <c r="C647" s="529"/>
      <c r="D647" s="535">
        <v>2</v>
      </c>
      <c r="E647" s="597" t="s">
        <v>243</v>
      </c>
      <c r="F647" s="565"/>
      <c r="G647" s="565"/>
      <c r="H647" s="524"/>
      <c r="I647" s="532"/>
      <c r="J647" s="533">
        <f ca="1">IFERROR(__xludf.DUMMYFUNCTION("IMPORTRANGE(""https://docs.google.com/spreadsheets/d/11923uPwbBZFjjGgGUA6NLw09EwE0CqkOc4q9oUmW1yo/edit?usp=sharing"",""พิจิตร!J542"")"),0)</f>
        <v>0</v>
      </c>
      <c r="K647" s="520"/>
      <c r="L647" s="530"/>
      <c r="M647" s="522"/>
      <c r="N647" s="530"/>
      <c r="O647" s="520"/>
      <c r="P647" s="520"/>
    </row>
    <row r="648" spans="1:16" ht="21.75" customHeight="1">
      <c r="A648" s="513"/>
      <c r="B648" s="514"/>
      <c r="C648" s="514"/>
      <c r="D648" s="514"/>
      <c r="E648" s="514"/>
      <c r="F648" s="578" t="s">
        <v>244</v>
      </c>
      <c r="G648" s="565"/>
      <c r="H648" s="517" t="s">
        <v>122</v>
      </c>
      <c r="I648" s="536">
        <f ca="1">IFERROR(__xludf.DUMMYFUNCTION("IMPORTRANGE(""https://docs.google.com/spreadsheets/d/11923uPwbBZFjjGgGUA6NLw09EwE0CqkOc4q9oUmW1yo/edit?usp=sharing"",""พิจิตร!I543"")"),0)</f>
        <v>0</v>
      </c>
      <c r="J648" s="537">
        <f ca="1">IFERROR(__xludf.DUMMYFUNCTION("IMPORTRANGE(""https://docs.google.com/spreadsheets/d/11923uPwbBZFjjGgGUA6NLw09EwE0CqkOc4q9oUmW1yo/edit?usp=sharing"",""พิจิตร!J543"")"),0)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IFERROR(__xludf.DUMMYFUNCTION("IMPORTRANGE(""https://docs.google.com/spreadsheets/d/11923uPwbBZFjjGgGUA6NLw09EwE0CqkOc4q9oUmW1yo/edit?usp=sharing"",""พิจิตร!L543"")"),0)</f>
        <v>0</v>
      </c>
      <c r="M648" s="522"/>
      <c r="N648" s="539">
        <f ca="1">IFERROR(__xludf.DUMMYFUNCTION("IMPORTRANGE(""https://docs.google.com/spreadsheets/d/11923uPwbBZFjjGgGUA6NLw09EwE0CqkOc4q9oUmW1yo/edit?usp=sharing"",""พิจิตร!M543"")"),0)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>
      <c r="A649" s="513"/>
      <c r="B649" s="514"/>
      <c r="C649" s="514"/>
      <c r="D649" s="514"/>
      <c r="E649" s="514"/>
      <c r="F649" s="578" t="s">
        <v>245</v>
      </c>
      <c r="G649" s="565"/>
      <c r="H649" s="517" t="s">
        <v>37</v>
      </c>
      <c r="I649" s="536">
        <f ca="1">IFERROR(__xludf.DUMMYFUNCTION("IMPORTRANGE(""https://docs.google.com/spreadsheets/d/11923uPwbBZFjjGgGUA6NLw09EwE0CqkOc4q9oUmW1yo/edit?usp=sharing"",""พิจิตร!I544"")"),0)</f>
        <v>0</v>
      </c>
      <c r="J649" s="537">
        <f ca="1">IFERROR(__xludf.DUMMYFUNCTION("IMPORTRANGE(""https://docs.google.com/spreadsheets/d/11923uPwbBZFjjGgGUA6NLw09EwE0CqkOc4q9oUmW1yo/edit?usp=sharing"",""พิจิตร!J544"")"),0)</f>
        <v>0</v>
      </c>
      <c r="K649" s="538">
        <f t="shared" ca="1" si="131"/>
        <v>0</v>
      </c>
      <c r="L649" s="523">
        <f ca="1">IFERROR(__xludf.DUMMYFUNCTION("IMPORTRANGE(""https://docs.google.com/spreadsheets/d/11923uPwbBZFjjGgGUA6NLw09EwE0CqkOc4q9oUmW1yo/edit?usp=sharing"",""พิจิตร!L544"")"),0)</f>
        <v>0</v>
      </c>
      <c r="M649" s="522"/>
      <c r="N649" s="539">
        <f ca="1">IFERROR(__xludf.DUMMYFUNCTION("IMPORTRANGE(""https://docs.google.com/spreadsheets/d/11923uPwbBZFjjGgGUA6NLw09EwE0CqkOc4q9oUmW1yo/edit?usp=sharing"",""พิจิตร!M544"")"),0)</f>
        <v>0</v>
      </c>
      <c r="O649" s="538">
        <f t="shared" ca="1" si="132"/>
        <v>0</v>
      </c>
      <c r="P649" s="538"/>
    </row>
    <row r="650" spans="1:16" ht="21.75" customHeight="1">
      <c r="A650" s="513"/>
      <c r="B650" s="514"/>
      <c r="C650" s="514"/>
      <c r="D650" s="514"/>
      <c r="E650" s="514"/>
      <c r="F650" s="578" t="s">
        <v>246</v>
      </c>
      <c r="G650" s="565"/>
      <c r="H650" s="517" t="s">
        <v>122</v>
      </c>
      <c r="I650" s="536">
        <f ca="1">IFERROR(__xludf.DUMMYFUNCTION("IMPORTRANGE(""https://docs.google.com/spreadsheets/d/11923uPwbBZFjjGgGUA6NLw09EwE0CqkOc4q9oUmW1yo/edit?usp=sharing"",""พิจิตร!I545"")"),200)</f>
        <v>200</v>
      </c>
      <c r="J650" s="537">
        <f ca="1">IFERROR(__xludf.DUMMYFUNCTION("IMPORTRANGE(""https://docs.google.com/spreadsheets/d/11923uPwbBZFjjGgGUA6NLw09EwE0CqkOc4q9oUmW1yo/edit?usp=sharing"",""พิจิตร!J545"")"),0)</f>
        <v>0</v>
      </c>
      <c r="K650" s="538">
        <f t="shared" ca="1" si="131"/>
        <v>0</v>
      </c>
      <c r="L650" s="523">
        <f ca="1">IFERROR(__xludf.DUMMYFUNCTION("IMPORTRANGE(""https://docs.google.com/spreadsheets/d/11923uPwbBZFjjGgGUA6NLw09EwE0CqkOc4q9oUmW1yo/edit?usp=sharing"",""พิจิตร!L545"")"),1000)</f>
        <v>1000</v>
      </c>
      <c r="M650" s="522"/>
      <c r="N650" s="539">
        <f ca="1">IFERROR(__xludf.DUMMYFUNCTION("IMPORTRANGE(""https://docs.google.com/spreadsheets/d/11923uPwbBZFjjGgGUA6NLw09EwE0CqkOc4q9oUmW1yo/edit?usp=sharing"",""พิจิตร!M545"")"),0)</f>
        <v>0</v>
      </c>
      <c r="O650" s="538">
        <f t="shared" ca="1" si="132"/>
        <v>0</v>
      </c>
      <c r="P650" s="538"/>
    </row>
    <row r="651" spans="1:16" ht="21.75" customHeight="1">
      <c r="A651" s="513"/>
      <c r="B651" s="514"/>
      <c r="C651" s="514"/>
      <c r="D651" s="514"/>
      <c r="E651" s="514"/>
      <c r="F651" s="578" t="s">
        <v>247</v>
      </c>
      <c r="G651" s="565"/>
      <c r="H651" s="517" t="s">
        <v>122</v>
      </c>
      <c r="I651" s="536">
        <f ca="1">IFERROR(__xludf.DUMMYFUNCTION("IMPORTRANGE(""https://docs.google.com/spreadsheets/d/11923uPwbBZFjjGgGUA6NLw09EwE0CqkOc4q9oUmW1yo/edit?usp=sharing"",""พิจิตร!I546"")"),90)</f>
        <v>90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IFERROR(__xludf.DUMMYFUNCTION("IMPORTRANGE(""https://docs.google.com/spreadsheets/d/11923uPwbBZFjjGgGUA6NLw09EwE0CqkOc4q9oUmW1yo/edit?usp=sharing"",""พิจิตร!L546"")"),2250)</f>
        <v>2250</v>
      </c>
      <c r="M651" s="522"/>
      <c r="N651" s="539">
        <f ca="1">IFERROR(__xludf.DUMMYFUNCTION("IMPORTRANGE(""https://docs.google.com/spreadsheets/d/11923uPwbBZFjjGgGUA6NLw09EwE0CqkOc4q9oUmW1yo/edit?usp=sharing"",""พิจิตร!M546"")"),0)</f>
        <v>0</v>
      </c>
      <c r="O651" s="538">
        <f t="shared" ca="1" si="132"/>
        <v>0</v>
      </c>
      <c r="P651" s="538"/>
    </row>
    <row r="652" spans="1:16" ht="21.75" customHeight="1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IFERROR(__xludf.DUMMYFUNCTION("IMPORTRANGE(""https://docs.google.com/spreadsheets/d/11923uPwbBZFjjGgGUA6NLw09EwE0CqkOc4q9oUmW1yo/edit?usp=sharing"",""พิจิตร!J547"")"),0)</f>
        <v>0</v>
      </c>
      <c r="K652" s="538"/>
      <c r="L652" s="530"/>
      <c r="M652" s="522"/>
      <c r="N652" s="530"/>
      <c r="O652" s="520"/>
      <c r="P652" s="520"/>
    </row>
    <row r="653" spans="1:16" ht="21.75" customHeight="1">
      <c r="A653" s="513"/>
      <c r="B653" s="514"/>
      <c r="C653" s="514"/>
      <c r="D653" s="514"/>
      <c r="E653" s="514"/>
      <c r="F653" s="514"/>
      <c r="G653" s="514"/>
      <c r="H653" s="517" t="s">
        <v>122</v>
      </c>
      <c r="I653" s="540"/>
      <c r="J653" s="533">
        <f ca="1">IFERROR(__xludf.DUMMYFUNCTION("IMPORTRANGE(""https://docs.google.com/spreadsheets/d/11923uPwbBZFjjGgGUA6NLw09EwE0CqkOc4q9oUmW1yo/edit?usp=sharing"",""พิจิตร!J548"")"),0)</f>
        <v>0</v>
      </c>
      <c r="K653" s="538"/>
      <c r="L653" s="530"/>
      <c r="M653" s="522"/>
      <c r="N653" s="530"/>
      <c r="O653" s="520"/>
      <c r="P653" s="520"/>
    </row>
    <row r="654" spans="1:16" ht="21.75" customHeight="1">
      <c r="A654" s="513"/>
      <c r="B654" s="514"/>
      <c r="C654" s="514"/>
      <c r="D654" s="514"/>
      <c r="E654" s="514"/>
      <c r="F654" s="514"/>
      <c r="G654" s="516" t="s">
        <v>249</v>
      </c>
      <c r="H654" s="519"/>
      <c r="I654" s="540"/>
      <c r="J654" s="541"/>
      <c r="K654" s="538"/>
      <c r="L654" s="530"/>
      <c r="M654" s="522"/>
      <c r="N654" s="530"/>
      <c r="O654" s="520"/>
      <c r="P654" s="520"/>
    </row>
    <row r="655" spans="1:16" ht="21.75" customHeight="1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IFERROR(__xludf.DUMMYFUNCTION("IMPORTRANGE(""https://docs.google.com/spreadsheets/d/11923uPwbBZFjjGgGUA6NLw09EwE0CqkOc4q9oUmW1yo/edit?usp=sharing"",""พิจิตร!J550"")"),0)</f>
        <v>0</v>
      </c>
      <c r="K655" s="538"/>
      <c r="L655" s="530"/>
      <c r="M655" s="522"/>
      <c r="N655" s="530"/>
      <c r="O655" s="520"/>
      <c r="P655" s="520"/>
    </row>
    <row r="656" spans="1:16" ht="21.75" customHeight="1">
      <c r="A656" s="513"/>
      <c r="B656" s="514"/>
      <c r="C656" s="514"/>
      <c r="D656" s="514"/>
      <c r="E656" s="514"/>
      <c r="F656" s="514"/>
      <c r="G656" s="514"/>
      <c r="H656" s="517" t="s">
        <v>36</v>
      </c>
      <c r="I656" s="540"/>
      <c r="J656" s="533">
        <f ca="1">IFERROR(__xludf.DUMMYFUNCTION("IMPORTRANGE(""https://docs.google.com/spreadsheets/d/11923uPwbBZFjjGgGUA6NLw09EwE0CqkOc4q9oUmW1yo/edit?usp=sharing"",""พิจิตร!J551"")"),0)</f>
        <v>0</v>
      </c>
      <c r="K656" s="538"/>
      <c r="L656" s="530"/>
      <c r="M656" s="522"/>
      <c r="N656" s="530"/>
      <c r="O656" s="520"/>
      <c r="P656" s="520"/>
    </row>
    <row r="657" spans="1:16" ht="21.75" customHeight="1">
      <c r="A657" s="513"/>
      <c r="B657" s="514"/>
      <c r="C657" s="514"/>
      <c r="D657" s="514"/>
      <c r="E657" s="514"/>
      <c r="F657" s="514"/>
      <c r="G657" s="514"/>
      <c r="H657" s="517" t="s">
        <v>122</v>
      </c>
      <c r="I657" s="540"/>
      <c r="J657" s="533">
        <f ca="1">IFERROR(__xludf.DUMMYFUNCTION("IMPORTRANGE(""https://docs.google.com/spreadsheets/d/11923uPwbBZFjjGgGUA6NLw09EwE0CqkOc4q9oUmW1yo/edit?usp=sharing"",""พิจิตร!J552"")"),0)</f>
        <v>0</v>
      </c>
      <c r="K657" s="538"/>
      <c r="L657" s="530"/>
      <c r="M657" s="522"/>
      <c r="N657" s="530"/>
      <c r="O657" s="520"/>
      <c r="P657" s="520"/>
    </row>
    <row r="658" spans="1:16" ht="21.75" customHeight="1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IFERROR(__xludf.DUMMYFUNCTION("IMPORTRANGE(""https://docs.google.com/spreadsheets/d/11923uPwbBZFjjGgGUA6NLw09EwE0CqkOc4q9oUmW1yo/edit?usp=sharing"",""พิจิตร!J553"")"),0)</f>
        <v>0</v>
      </c>
      <c r="K658" s="538"/>
      <c r="L658" s="530"/>
      <c r="M658" s="522"/>
      <c r="N658" s="530"/>
      <c r="O658" s="520"/>
      <c r="P658" s="520"/>
    </row>
    <row r="659" spans="1:16" ht="21.75" customHeight="1">
      <c r="A659" s="513"/>
      <c r="B659" s="514"/>
      <c r="C659" s="514"/>
      <c r="D659" s="514"/>
      <c r="E659" s="514"/>
      <c r="F659" s="514"/>
      <c r="G659" s="514"/>
      <c r="H659" s="517" t="s">
        <v>36</v>
      </c>
      <c r="I659" s="540"/>
      <c r="J659" s="533">
        <f ca="1">IFERROR(__xludf.DUMMYFUNCTION("IMPORTRANGE(""https://docs.google.com/spreadsheets/d/11923uPwbBZFjjGgGUA6NLw09EwE0CqkOc4q9oUmW1yo/edit?usp=sharing"",""พิจิตร!J554"")"),0)</f>
        <v>0</v>
      </c>
      <c r="K659" s="538"/>
      <c r="L659" s="530"/>
      <c r="M659" s="522"/>
      <c r="N659" s="530"/>
      <c r="O659" s="520"/>
      <c r="P659" s="520"/>
    </row>
    <row r="660" spans="1:16" ht="21.75" customHeight="1">
      <c r="A660" s="513"/>
      <c r="B660" s="514"/>
      <c r="C660" s="514"/>
      <c r="D660" s="514"/>
      <c r="E660" s="514"/>
      <c r="F660" s="514"/>
      <c r="G660" s="514"/>
      <c r="H660" s="517" t="s">
        <v>122</v>
      </c>
      <c r="I660" s="540"/>
      <c r="J660" s="533">
        <f ca="1">IFERROR(__xludf.DUMMYFUNCTION("IMPORTRANGE(""https://docs.google.com/spreadsheets/d/11923uPwbBZFjjGgGUA6NLw09EwE0CqkOc4q9oUmW1yo/edit?usp=sharing"",""พิจิตร!J555"")"),0)</f>
        <v>0</v>
      </c>
      <c r="K660" s="538"/>
      <c r="L660" s="530"/>
      <c r="M660" s="522"/>
      <c r="N660" s="530"/>
      <c r="O660" s="520"/>
      <c r="P660" s="520"/>
    </row>
    <row r="661" spans="1:16" ht="21.75" customHeight="1">
      <c r="A661" s="513"/>
      <c r="B661" s="514"/>
      <c r="C661" s="514"/>
      <c r="D661" s="514"/>
      <c r="E661" s="514"/>
      <c r="F661" s="578" t="s">
        <v>252</v>
      </c>
      <c r="G661" s="565"/>
      <c r="H661" s="517" t="s">
        <v>37</v>
      </c>
      <c r="I661" s="540"/>
      <c r="J661" s="537">
        <f ca="1">IFERROR(__xludf.DUMMYFUNCTION("IMPORTRANGE(""https://docs.google.com/spreadsheets/d/11923uPwbBZFjjGgGUA6NLw09EwE0CqkOc4q9oUmW1yo/edit?usp=sharing"",""พิจิตร!J556"")"),0)</f>
        <v>0</v>
      </c>
      <c r="K661" s="538"/>
      <c r="L661" s="523">
        <f ca="1">IFERROR(__xludf.DUMMYFUNCTION("IMPORTRANGE(""https://docs.google.com/spreadsheets/d/11923uPwbBZFjjGgGUA6NLw09EwE0CqkOc4q9oUmW1yo/edit?usp=sharing"",""พิจิตร!L556"")"),16000)</f>
        <v>16000</v>
      </c>
      <c r="M661" s="522"/>
      <c r="N661" s="539">
        <f ca="1">IFERROR(__xludf.DUMMYFUNCTION("IMPORTRANGE(""https://docs.google.com/spreadsheets/d/11923uPwbBZFjjGgGUA6NLw09EwE0CqkOc4q9oUmW1yo/edit?usp=sharing"",""พิจิตร!M556"")"),0)</f>
        <v>0</v>
      </c>
      <c r="O661" s="538">
        <f ca="1">IF(L661&gt;0,N661*100/L661,0)</f>
        <v>0</v>
      </c>
      <c r="P661" s="538"/>
    </row>
    <row r="662" spans="1:16" ht="21.75" customHeight="1">
      <c r="A662" s="513"/>
      <c r="B662" s="514"/>
      <c r="C662" s="514"/>
      <c r="D662" s="514"/>
      <c r="E662" s="514"/>
      <c r="F662" s="514"/>
      <c r="G662" s="514"/>
      <c r="H662" s="517" t="s">
        <v>36</v>
      </c>
      <c r="I662" s="540"/>
      <c r="J662" s="537">
        <f ca="1">IFERROR(__xludf.DUMMYFUNCTION("IMPORTRANGE(""https://docs.google.com/spreadsheets/d/11923uPwbBZFjjGgGUA6NLw09EwE0CqkOc4q9oUmW1yo/edit?usp=sharing"",""พิจิตร!J557"")"),0)</f>
        <v>0</v>
      </c>
      <c r="K662" s="538"/>
      <c r="L662" s="530"/>
      <c r="M662" s="522"/>
      <c r="N662" s="530"/>
      <c r="O662" s="520"/>
      <c r="P662" s="520"/>
    </row>
    <row r="663" spans="1:16" ht="21.75" customHeight="1">
      <c r="A663" s="513"/>
      <c r="B663" s="514"/>
      <c r="C663" s="514"/>
      <c r="D663" s="514"/>
      <c r="E663" s="514"/>
      <c r="F663" s="514"/>
      <c r="G663" s="514"/>
      <c r="H663" s="517" t="s">
        <v>122</v>
      </c>
      <c r="I663" s="536">
        <f ca="1">IFERROR(__xludf.DUMMYFUNCTION("IMPORTRANGE(""https://docs.google.com/spreadsheets/d/11923uPwbBZFjjGgGUA6NLw09EwE0CqkOc4q9oUmW1yo/edit?usp=sharing"",""พิจิตร!I558"")"),400)</f>
        <v>400</v>
      </c>
      <c r="J663" s="537">
        <f ca="1">IFERROR(__xludf.DUMMYFUNCTION("IMPORTRANGE(""https://docs.google.com/spreadsheets/d/11923uPwbBZFjjGgGUA6NLw09EwE0CqkOc4q9oUmW1yo/edit?usp=sharing"",""พิจิตร!J558"")"),0)</f>
        <v>0</v>
      </c>
      <c r="K663" s="538">
        <f ca="1">IF(I663&gt;0,J663*100/I663,0)</f>
        <v>0</v>
      </c>
      <c r="L663" s="530"/>
      <c r="M663" s="522"/>
      <c r="N663" s="530"/>
      <c r="O663" s="520"/>
      <c r="P663" s="520"/>
    </row>
    <row r="664" spans="1:16" ht="21.75" customHeight="1">
      <c r="A664" s="513"/>
      <c r="B664" s="514"/>
      <c r="C664" s="514"/>
      <c r="D664" s="514"/>
      <c r="E664" s="514"/>
      <c r="F664" s="578" t="s">
        <v>253</v>
      </c>
      <c r="G664" s="565"/>
      <c r="H664" s="519"/>
      <c r="I664" s="540"/>
      <c r="J664" s="541"/>
      <c r="K664" s="538"/>
      <c r="L664" s="530"/>
      <c r="M664" s="522"/>
      <c r="N664" s="534"/>
      <c r="O664" s="520"/>
      <c r="P664" s="520"/>
    </row>
    <row r="665" spans="1:16" ht="21.75" customHeight="1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IFERROR(__xludf.DUMMYFUNCTION("IMPORTRANGE(""https://docs.google.com/spreadsheets/d/11923uPwbBZFjjGgGUA6NLw09EwE0CqkOc4q9oUmW1yo/edit?usp=sharing"",""พิจิตร!I560"")"),3)</f>
        <v>3</v>
      </c>
      <c r="J665" s="537">
        <f ca="1">IFERROR(__xludf.DUMMYFUNCTION("IMPORTRANGE(""https://docs.google.com/spreadsheets/d/11923uPwbBZFjjGgGUA6NLw09EwE0CqkOc4q9oUmW1yo/edit?usp=sharing"",""พิจิตร!J560"")"),0)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IFERROR(__xludf.DUMMYFUNCTION("IMPORTRANGE(""https://docs.google.com/spreadsheets/d/11923uPwbBZFjjGgGUA6NLw09EwE0CqkOc4q9oUmW1yo/edit?usp=sharing"",""พิจิตร!L560"")"),360)</f>
        <v>360</v>
      </c>
      <c r="M665" s="522"/>
      <c r="N665" s="539">
        <f ca="1">IFERROR(__xludf.DUMMYFUNCTION("IMPORTRANGE(""https://docs.google.com/spreadsheets/d/11923uPwbBZFjjGgGUA6NLw09EwE0CqkOc4q9oUmW1yo/edit?usp=sharing"",""พิจิตร!M560"")"),0)</f>
        <v>0</v>
      </c>
      <c r="O665" s="538">
        <f ca="1">IF(L665&gt;0,N665*100/L665,0)</f>
        <v>0</v>
      </c>
      <c r="P665" s="538"/>
    </row>
    <row r="666" spans="1:16" ht="21.75" customHeight="1">
      <c r="A666" s="513"/>
      <c r="B666" s="514"/>
      <c r="C666" s="514"/>
      <c r="D666" s="514"/>
      <c r="E666" s="514"/>
      <c r="F666" s="514"/>
      <c r="G666" s="514"/>
      <c r="H666" s="517" t="s">
        <v>36</v>
      </c>
      <c r="I666" s="540"/>
      <c r="J666" s="537">
        <f ca="1">IFERROR(__xludf.DUMMYFUNCTION("IMPORTRANGE(""https://docs.google.com/spreadsheets/d/11923uPwbBZFjjGgGUA6NLw09EwE0CqkOc4q9oUmW1yo/edit?usp=sharing"",""พิจิตร!J561"")"),0)</f>
        <v>0</v>
      </c>
      <c r="K666" s="538"/>
      <c r="L666" s="530"/>
      <c r="M666" s="522"/>
      <c r="N666" s="530"/>
      <c r="O666" s="520"/>
      <c r="P666" s="520"/>
    </row>
    <row r="667" spans="1:16" ht="21.75" customHeight="1">
      <c r="A667" s="513"/>
      <c r="B667" s="514"/>
      <c r="C667" s="514"/>
      <c r="D667" s="514"/>
      <c r="E667" s="514"/>
      <c r="F667" s="514"/>
      <c r="G667" s="514"/>
      <c r="H667" s="517" t="s">
        <v>122</v>
      </c>
      <c r="I667" s="540"/>
      <c r="J667" s="537">
        <f ca="1">IFERROR(__xludf.DUMMYFUNCTION("IMPORTRANGE(""https://docs.google.com/spreadsheets/d/11923uPwbBZFjjGgGUA6NLw09EwE0CqkOc4q9oUmW1yo/edit?usp=sharing"",""พิจิตร!J562"")"),0)</f>
        <v>0</v>
      </c>
      <c r="K667" s="538"/>
      <c r="L667" s="530"/>
      <c r="M667" s="522"/>
      <c r="N667" s="530"/>
      <c r="O667" s="520"/>
      <c r="P667" s="520"/>
    </row>
    <row r="668" spans="1:16" ht="21.75" customHeight="1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IFERROR(__xludf.DUMMYFUNCTION("IMPORTRANGE(""https://docs.google.com/spreadsheets/d/11923uPwbBZFjjGgGUA6NLw09EwE0CqkOc4q9oUmW1yo/edit?usp=sharing"",""พิจิตร!I563"")"),1)</f>
        <v>1</v>
      </c>
      <c r="J668" s="537">
        <f ca="1">IFERROR(__xludf.DUMMYFUNCTION("IMPORTRANGE(""https://docs.google.com/spreadsheets/d/11923uPwbBZFjjGgGUA6NLw09EwE0CqkOc4q9oUmW1yo/edit?usp=sharing"",""พิจิตร!J563"")"),0)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IFERROR(__xludf.DUMMYFUNCTION("IMPORTRANGE(""https://docs.google.com/spreadsheets/d/11923uPwbBZFjjGgGUA6NLw09EwE0CqkOc4q9oUmW1yo/edit?usp=sharing"",""พิจิตร!L563"")"),1720)</f>
        <v>1720</v>
      </c>
      <c r="M668" s="522"/>
      <c r="N668" s="539">
        <f ca="1">IFERROR(__xludf.DUMMYFUNCTION("IMPORTRANGE(""https://docs.google.com/spreadsheets/d/11923uPwbBZFjjGgGUA6NLw09EwE0CqkOc4q9oUmW1yo/edit?usp=sharing"",""พิจิตร!M563"")"),0)</f>
        <v>0</v>
      </c>
      <c r="O668" s="538">
        <f ca="1">IF(L668&gt;0,N668*100/L668,0)</f>
        <v>0</v>
      </c>
      <c r="P668" s="538"/>
    </row>
    <row r="669" spans="1:16" ht="21.75" customHeight="1">
      <c r="A669" s="513"/>
      <c r="B669" s="514"/>
      <c r="C669" s="514"/>
      <c r="D669" s="514"/>
      <c r="E669" s="514"/>
      <c r="F669" s="514"/>
      <c r="G669" s="514"/>
      <c r="H669" s="517" t="s">
        <v>36</v>
      </c>
      <c r="I669" s="540"/>
      <c r="J669" s="537">
        <f ca="1">IFERROR(__xludf.DUMMYFUNCTION("IMPORTRANGE(""https://docs.google.com/spreadsheets/d/11923uPwbBZFjjGgGUA6NLw09EwE0CqkOc4q9oUmW1yo/edit?usp=sharing"",""พิจิตร!J564"")"),0)</f>
        <v>0</v>
      </c>
      <c r="K669" s="538"/>
      <c r="L669" s="530"/>
      <c r="M669" s="522"/>
      <c r="N669" s="530"/>
      <c r="O669" s="520"/>
      <c r="P669" s="520"/>
    </row>
    <row r="670" spans="1:16" ht="21.75" customHeight="1">
      <c r="A670" s="513"/>
      <c r="B670" s="514"/>
      <c r="C670" s="514"/>
      <c r="D670" s="514"/>
      <c r="E670" s="514"/>
      <c r="F670" s="514"/>
      <c r="G670" s="514"/>
      <c r="H670" s="517" t="s">
        <v>122</v>
      </c>
      <c r="I670" s="540"/>
      <c r="J670" s="537">
        <f ca="1">IFERROR(__xludf.DUMMYFUNCTION("IMPORTRANGE(""https://docs.google.com/spreadsheets/d/11923uPwbBZFjjGgGUA6NLw09EwE0CqkOc4q9oUmW1yo/edit?usp=sharing"",""พิจิตร!J565"")"),0)</f>
        <v>0</v>
      </c>
      <c r="K670" s="538"/>
      <c r="L670" s="530"/>
      <c r="M670" s="522"/>
      <c r="N670" s="530"/>
      <c r="O670" s="520"/>
      <c r="P670" s="520"/>
    </row>
    <row r="671" spans="1:16" ht="21.75" customHeight="1">
      <c r="A671" s="513"/>
      <c r="B671" s="514"/>
      <c r="C671" s="514"/>
      <c r="D671" s="514"/>
      <c r="E671" s="514"/>
      <c r="F671" s="578" t="s">
        <v>256</v>
      </c>
      <c r="G671" s="565"/>
      <c r="H671" s="517" t="s">
        <v>122</v>
      </c>
      <c r="I671" s="536">
        <f ca="1">IFERROR(__xludf.DUMMYFUNCTION("IMPORTRANGE(""https://docs.google.com/spreadsheets/d/11923uPwbBZFjjGgGUA6NLw09EwE0CqkOc4q9oUmW1yo/edit?usp=sharing"",""พิจิตร!I566"")"),0)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IFERROR(__xludf.DUMMYFUNCTION("IMPORTRANGE(""https://docs.google.com/spreadsheets/d/11923uPwbBZFjjGgGUA6NLw09EwE0CqkOc4q9oUmW1yo/edit?usp=sharing"",""พิจิตร!L566"")"),0)</f>
        <v>0</v>
      </c>
      <c r="M671" s="522"/>
      <c r="N671" s="539">
        <f ca="1">IFERROR(__xludf.DUMMYFUNCTION("IMPORTRANGE(""https://docs.google.com/spreadsheets/d/11923uPwbBZFjjGgGUA6NLw09EwE0CqkOc4q9oUmW1yo/edit?usp=sharing"",""พิจิตร!M566"")"),0)</f>
        <v>0</v>
      </c>
      <c r="O671" s="538">
        <f ca="1">IF(L671&gt;0,N671*100/L671,0)</f>
        <v>0</v>
      </c>
      <c r="P671" s="538"/>
    </row>
    <row r="672" spans="1:16" ht="21.75" customHeight="1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IFERROR(__xludf.DUMMYFUNCTION("IMPORTRANGE(""https://docs.google.com/spreadsheets/d/11923uPwbBZFjjGgGUA6NLw09EwE0CqkOc4q9oUmW1yo/edit?usp=sharing"",""พิจิตร!J567"")"),0)</f>
        <v>0</v>
      </c>
      <c r="K672" s="538"/>
      <c r="L672" s="530"/>
      <c r="M672" s="522"/>
      <c r="N672" s="530"/>
      <c r="O672" s="520"/>
      <c r="P672" s="520"/>
    </row>
    <row r="673" spans="1:16" ht="21.75" customHeight="1">
      <c r="A673" s="513"/>
      <c r="B673" s="514"/>
      <c r="C673" s="514"/>
      <c r="D673" s="514"/>
      <c r="E673" s="514"/>
      <c r="F673" s="514"/>
      <c r="G673" s="514"/>
      <c r="H673" s="517" t="s">
        <v>36</v>
      </c>
      <c r="I673" s="540"/>
      <c r="J673" s="533">
        <f ca="1">IFERROR(__xludf.DUMMYFUNCTION("IMPORTRANGE(""https://docs.google.com/spreadsheets/d/11923uPwbBZFjjGgGUA6NLw09EwE0CqkOc4q9oUmW1yo/edit?usp=sharing"",""พิจิตร!J568"")"),0)</f>
        <v>0</v>
      </c>
      <c r="K673" s="538"/>
      <c r="L673" s="530"/>
      <c r="M673" s="522"/>
      <c r="N673" s="530"/>
      <c r="O673" s="520"/>
      <c r="P673" s="520"/>
    </row>
    <row r="674" spans="1:16" ht="21.75" customHeight="1">
      <c r="A674" s="513"/>
      <c r="B674" s="514"/>
      <c r="C674" s="514"/>
      <c r="D674" s="514"/>
      <c r="E674" s="514"/>
      <c r="F674" s="514"/>
      <c r="G674" s="514"/>
      <c r="H674" s="517" t="s">
        <v>122</v>
      </c>
      <c r="I674" s="540"/>
      <c r="J674" s="533">
        <f ca="1">IFERROR(__xludf.DUMMYFUNCTION("IMPORTRANGE(""https://docs.google.com/spreadsheets/d/11923uPwbBZFjjGgGUA6NLw09EwE0CqkOc4q9oUmW1yo/edit?usp=sharing"",""พิจิตร!J569"")"),0)</f>
        <v>0</v>
      </c>
      <c r="K674" s="538"/>
      <c r="L674" s="530"/>
      <c r="M674" s="522"/>
      <c r="N674" s="530"/>
      <c r="O674" s="520"/>
      <c r="P674" s="520"/>
    </row>
    <row r="675" spans="1:16" ht="21.75" customHeight="1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IFERROR(__xludf.DUMMYFUNCTION("IMPORTRANGE(""https://docs.google.com/spreadsheets/d/11923uPwbBZFjjGgGUA6NLw09EwE0CqkOc4q9oUmW1yo/edit?usp=sharing"",""พิจิตร!J570"")"),0)</f>
        <v>0</v>
      </c>
      <c r="K675" s="538"/>
      <c r="L675" s="530"/>
      <c r="M675" s="522"/>
      <c r="N675" s="530"/>
      <c r="O675" s="520"/>
      <c r="P675" s="520"/>
    </row>
    <row r="676" spans="1:16" ht="21.75" customHeight="1">
      <c r="A676" s="513"/>
      <c r="B676" s="514"/>
      <c r="C676" s="514"/>
      <c r="D676" s="514"/>
      <c r="E676" s="514"/>
      <c r="F676" s="514"/>
      <c r="G676" s="514"/>
      <c r="H676" s="517" t="s">
        <v>36</v>
      </c>
      <c r="I676" s="540"/>
      <c r="J676" s="533">
        <f ca="1">IFERROR(__xludf.DUMMYFUNCTION("IMPORTRANGE(""https://docs.google.com/spreadsheets/d/11923uPwbBZFjjGgGUA6NLw09EwE0CqkOc4q9oUmW1yo/edit?usp=sharing"",""พิจิตร!J571"")"),0)</f>
        <v>0</v>
      </c>
      <c r="K676" s="538"/>
      <c r="L676" s="530"/>
      <c r="M676" s="522"/>
      <c r="N676" s="530"/>
      <c r="O676" s="520"/>
      <c r="P676" s="520"/>
    </row>
    <row r="677" spans="1:16" ht="21.75" customHeight="1">
      <c r="A677" s="542"/>
      <c r="B677" s="543" t="s">
        <v>259</v>
      </c>
      <c r="C677" s="544"/>
      <c r="D677" s="544"/>
      <c r="E677" s="544"/>
      <c r="F677" s="544"/>
      <c r="G677" s="544"/>
      <c r="H677" s="545" t="s">
        <v>122</v>
      </c>
      <c r="I677" s="546"/>
      <c r="J677" s="547">
        <f ca="1">IFERROR(__xludf.DUMMYFUNCTION("IMPORTRANGE(""https://docs.google.com/spreadsheets/d/11923uPwbBZFjjGgGUA6NLw09EwE0CqkOc4q9oUmW1yo/edit?usp=sharing"",""พิจิตร!J572"")"),0)</f>
        <v>0</v>
      </c>
      <c r="K677" s="548"/>
      <c r="L677" s="549"/>
      <c r="M677" s="550"/>
      <c r="N677" s="549"/>
      <c r="O677" s="548"/>
      <c r="P677" s="548"/>
    </row>
    <row r="678" spans="1:16" ht="21.75" customHeight="1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Itsariyabhorn Boonphokha</cp:lastModifiedBy>
  <dcterms:modified xsi:type="dcterms:W3CDTF">2022-05-09T08:12:43Z</dcterms:modified>
</cp:coreProperties>
</file>