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รวมใต้" sheetId="1" r:id="rId4"/>
    <sheet state="visible" name="กระบี่" sheetId="2" r:id="rId5"/>
    <sheet state="visible" name="ชุมพร" sheetId="3" r:id="rId6"/>
    <sheet state="visible" name="ตรัง" sheetId="4" r:id="rId7"/>
    <sheet state="visible" name="นครศรีธรรมราช" sheetId="5" r:id="rId8"/>
    <sheet state="visible" name="นราธิวาส" sheetId="6" r:id="rId9"/>
    <sheet state="visible" name="ปัตตานี" sheetId="7" r:id="rId10"/>
    <sheet state="visible" name="พังงา" sheetId="8" r:id="rId11"/>
    <sheet state="visible" name="พัทลุง" sheetId="9" r:id="rId12"/>
    <sheet state="visible" name="ภูเก็ต" sheetId="10" r:id="rId13"/>
    <sheet state="visible" name="ยะลา" sheetId="11" r:id="rId14"/>
    <sheet state="visible" name="ระนอง" sheetId="12" r:id="rId15"/>
    <sheet state="visible" name="สงขลา" sheetId="13" r:id="rId16"/>
    <sheet state="visible" name="สตูล" sheetId="14" r:id="rId17"/>
    <sheet state="visible" name="สุราษฎร์ธานี" sheetId="15" r:id="rId18"/>
  </sheets>
  <definedNames/>
  <calcPr/>
</workbook>
</file>

<file path=xl/sharedStrings.xml><?xml version="1.0" encoding="utf-8"?>
<sst xmlns="http://schemas.openxmlformats.org/spreadsheetml/2006/main" count="18750" uniqueCount="269">
  <si>
    <t>รายละเอียดแผนงาน/โครงการ ผลผลิต/กิจกรรม ปีงบประมาณ พ.ศ. 2565</t>
  </si>
  <si>
    <t>ภาคใต้</t>
  </si>
  <si>
    <t>ข้อมูล ณ วันที่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</si>
  <si>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</si>
  <si>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</si>
  <si>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</si>
  <si>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</si>
  <si>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</si>
  <si>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</si>
  <si>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</si>
  <si>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</si>
  <si>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</si>
  <si>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</si>
  <si>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</si>
  <si>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</si>
  <si>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</si>
  <si>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</si>
  <si>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</si>
  <si>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</si>
  <si>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</si>
  <si>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</si>
  <si>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</si>
  <si>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</si>
  <si>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</si>
  <si>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</si>
  <si>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</si>
  <si>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</si>
  <si>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</si>
  <si>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</si>
  <si>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</si>
  <si>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</si>
  <si>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</si>
  <si>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</si>
  <si>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</si>
  <si>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</si>
  <si>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</si>
  <si>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</si>
  <si>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</si>
  <si>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</si>
  <si>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</si>
  <si>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</si>
  <si>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</si>
  <si>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</si>
  <si>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</si>
  <si>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</si>
  <si>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</si>
  <si>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</si>
  <si>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</si>
  <si>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</si>
  <si>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</si>
  <si>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</si>
  <si>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</si>
  <si>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</si>
  <si>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</si>
  <si>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</si>
  <si>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</si>
  <si>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</si>
  <si>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</si>
  <si>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</si>
  <si>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</si>
  <si>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</si>
  <si>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</si>
  <si>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</si>
  <si>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</si>
  <si>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</si>
  <si>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</si>
  <si>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</si>
  <si>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</si>
  <si>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</si>
  <si>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</si>
  <si>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</si>
  <si>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</si>
  <si>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</si>
  <si>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</si>
  <si>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</si>
  <si>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</si>
  <si>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</si>
  <si>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</si>
  <si>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</si>
  <si>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</si>
  <si>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</si>
  <si>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</si>
  <si>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</si>
  <si>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</si>
  <si>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</si>
  <si>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</si>
  <si>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</si>
  <si>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</si>
  <si>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</si>
  <si>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</si>
  <si>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</si>
  <si>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</si>
  <si>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</si>
  <si>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</si>
  <si>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</si>
  <si>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</si>
  <si>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</si>
  <si>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</si>
  <si>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</si>
  <si>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</si>
  <si>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</si>
  <si>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</si>
  <si>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</si>
  <si>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</si>
  <si>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</si>
  <si>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</si>
  <si>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</si>
  <si>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</si>
  <si>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</si>
  <si>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</si>
  <si>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</si>
  <si>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</si>
  <si>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</si>
  <si>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</si>
  <si>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</si>
  <si>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</si>
  <si>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</si>
  <si>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</si>
  <si>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</si>
  <si>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</si>
  <si>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</si>
  <si>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</si>
  <si>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</si>
  <si>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</si>
  <si>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</si>
  <si>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</si>
  <si>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</si>
  <si>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</si>
  <si>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</si>
  <si>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</si>
  <si>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</si>
  <si>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</si>
  <si>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</si>
  <si>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</si>
  <si>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</si>
  <si>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</si>
  <si>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</si>
  <si>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</si>
  <si>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</si>
  <si>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</si>
  <si>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</si>
  <si>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</si>
  <si>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</si>
  <si>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</si>
  <si>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</si>
  <si>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</si>
  <si>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</si>
  <si>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</si>
  <si>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</si>
  <si>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</si>
  <si>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</si>
  <si>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</si>
  <si>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</si>
  <si>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</si>
  <si>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</si>
  <si>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</si>
  <si>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</si>
  <si>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</si>
  <si>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</si>
  <si>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</si>
  <si>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</si>
  <si>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</si>
  <si>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</si>
  <si>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</si>
  <si>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</si>
  <si>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</si>
  <si>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</si>
  <si>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</si>
  <si>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</si>
  <si>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</si>
  <si>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</si>
  <si>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</si>
  <si>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</si>
  <si>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</si>
  <si>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</si>
  <si>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</si>
  <si>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</si>
  <si>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</si>
  <si>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</si>
  <si>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</si>
  <si>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</si>
  <si>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</si>
  <si>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</si>
  <si>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</si>
  <si>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</si>
  <si>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</si>
  <si>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</si>
  <si>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</si>
  <si>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</si>
  <si>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</si>
  <si>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</si>
  <si>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</si>
  <si>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</si>
  <si>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</si>
  <si>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</si>
  <si>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</si>
  <si>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</si>
  <si>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</si>
  <si>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</si>
  <si>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</si>
  <si>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</si>
  <si>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</si>
  <si>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</si>
  <si>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</si>
  <si>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</si>
  <si>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</si>
  <si>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</si>
  <si>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</si>
  <si>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</si>
  <si>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</si>
  <si>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</si>
  <si>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</si>
  <si>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</si>
  <si>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</si>
  <si>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</si>
  <si>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</si>
  <si>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</si>
  <si>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</si>
  <si>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</si>
  <si>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</si>
  <si>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</si>
  <si>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</si>
  <si>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</si>
  <si>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</si>
  <si>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</si>
  <si>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</si>
  <si>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</si>
  <si>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</si>
  <si>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</si>
  <si>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</si>
  <si>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</si>
  <si>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</si>
  <si>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</si>
  <si>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</si>
  <si>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</si>
  <si>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</si>
  <si>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</si>
  <si>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</si>
  <si>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</si>
  <si>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</si>
  <si>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</si>
  <si>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ชุมพร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</si>
  <si>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</si>
  <si>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ตรัง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</si>
  <si>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</si>
  <si>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นครศรีธรรมราช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</si>
  <si>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</si>
  <si>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นราธิวาส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</si>
  <si>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</si>
  <si>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 xml:space="preserve"> - ส.ป.ก.จังหวัด  (งบดำเนินงาน 71,000 งบลงทุน 904,000)</t>
  </si>
  <si>
    <t>สำนักงานการปฏิรูปที่ดินจังหวัด ปัตตานี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</si>
  <si>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</si>
  <si>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พังงา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</si>
  <si>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</si>
  <si>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พัทลุง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</si>
  <si>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</si>
  <si>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 xml:space="preserve"> - ส.ป.ก.จังหวัด  (งบดำเนินงาน 105,900 งบลงทุน 103,000)</t>
  </si>
  <si>
    <t>สำนักงานการปฏิรูปที่ดินจังหวัด ภูเก็ต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</si>
  <si>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</si>
  <si>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ยะลา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</si>
  <si>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</si>
  <si>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ระนอง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</si>
  <si>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</si>
  <si>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สงขลา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</si>
  <si>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</si>
  <si>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สตูล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</si>
  <si>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</si>
  <si>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สุราษฎร์ธานี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</si>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</sst>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????_-;_-@"/>
  </numFmts>
  <fonts count="20">
    <font>
      <sz val="11.0"/>
      <color theme="1"/>
      <name val="Arial"/>
    </font>
    <font>
      <b/>
      <sz val="15.0"/>
      <color theme="1"/>
      <name val="Calibri"/>
    </font>
    <font>
      <sz val="15.0"/>
      <color theme="1"/>
      <name val="Calibri"/>
    </font>
    <font>
      <b/>
      <sz val="15.0"/>
      <color theme="0"/>
      <name val="Calibri"/>
    </font>
    <font/>
    <font>
      <b/>
      <sz val="15.0"/>
      <color rgb="FF000000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sz val="15.0"/>
      <color rgb="FF000000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sz val="15.0"/>
      <color rgb="FFFF0000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sz val="15.0"/>
      <color theme="0"/>
      <name val="Calibri"/>
    </font>
  </fonts>
  <fills count="32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hair">
        <color rgb="FF000000"/>
      </bottom>
    </border>
    <border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right style="thin">
        <color rgb="FF000000"/>
      </right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</border>
    <border>
      <top style="hair">
        <color rgb="FF000000"/>
      </top>
    </border>
    <border>
      <right style="thin">
        <color rgb="FF000000"/>
      </right>
      <top style="hair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/>
      <right/>
      <top style="hair">
        <color rgb="FF000000"/>
      </top>
      <bottom style="hair">
        <color rgb="FF000000"/>
      </bottom>
    </border>
    <border>
      <left/>
      <right style="thin">
        <color rgb="FF000000"/>
      </right>
      <top style="hair">
        <color rgb="FF000000"/>
      </top>
      <bottom style="hair">
        <color rgb="FF000000"/>
      </bottom>
    </border>
    <border>
      <left/>
      <right/>
      <top style="hair">
        <color rgb="FF000000"/>
      </top>
    </border>
    <border>
      <left/>
      <right style="thin">
        <color rgb="FF000000"/>
      </right>
      <top style="hair">
        <color rgb="FF000000"/>
      </top>
    </border>
    <border>
      <left style="thin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/>
      <top style="medium">
        <color rgb="FF000000"/>
      </top>
      <bottom style="hair">
        <color rgb="FF000000"/>
      </bottom>
    </border>
    <border>
      <left/>
      <right/>
      <top style="medium">
        <color rgb="FF000000"/>
      </top>
      <bottom style="hair">
        <color rgb="FF000000"/>
      </bottom>
    </border>
    <border>
      <left/>
      <right style="thin">
        <color rgb="FF000000"/>
      </right>
      <top style="medium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</border>
    <border>
      <left style="thin">
        <color rgb="FF000000"/>
      </left>
      <right/>
      <top/>
      <bottom style="hair">
        <color rgb="FF000000"/>
      </bottom>
    </border>
    <border>
      <left/>
      <right/>
      <top/>
      <bottom style="hair">
        <color rgb="FF000000"/>
      </bottom>
    </border>
    <border>
      <left/>
      <right style="thin">
        <color rgb="FF000000"/>
      </right>
      <top/>
      <bottom style="hair">
        <color rgb="FF000000"/>
      </bottom>
    </border>
    <border>
      <left style="thin">
        <color rgb="FF000000"/>
      </left>
      <right style="thin">
        <color rgb="FF000000"/>
      </right>
      <top/>
      <bottom style="hair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/>
      <right/>
      <top style="hair">
        <color rgb="FF000000"/>
      </top>
      <bottom style="thin">
        <color rgb="FF000000"/>
      </bottom>
    </border>
    <border>
      <left/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/>
      <top style="hair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5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 readingOrder="0" vertical="center"/>
    </xf>
    <xf borderId="0" fillId="2" fontId="1" numFmtId="0" xfId="0" applyAlignment="1" applyFill="1" applyFont="1">
      <alignment horizontal="center" vertical="center"/>
    </xf>
    <xf borderId="0" fillId="2" fontId="2" numFmtId="164" xfId="0" applyAlignment="1" applyFont="1" applyNumberFormat="1">
      <alignment horizontal="center" shrinkToFit="0" vertical="center" wrapText="1"/>
    </xf>
    <xf borderId="0" fillId="2" fontId="2" numFmtId="165" xfId="0" applyAlignment="1" applyFont="1" applyNumberFormat="1">
      <alignment shrinkToFit="0" vertical="center" wrapText="1"/>
    </xf>
    <xf borderId="0" fillId="2" fontId="2" numFmtId="164" xfId="0" applyAlignment="1" applyFont="1" applyNumberFormat="1">
      <alignment shrinkToFit="0" vertical="center" wrapText="1"/>
    </xf>
    <xf borderId="1" fillId="3" fontId="3" numFmtId="0" xfId="0" applyAlignment="1" applyBorder="1" applyFill="1" applyFont="1">
      <alignment horizontal="center" vertical="center"/>
    </xf>
    <xf borderId="2" fillId="0" fontId="4" numFmtId="0" xfId="0" applyBorder="1" applyFont="1"/>
    <xf borderId="3" fillId="0" fontId="4" numFmtId="0" xfId="0" applyBorder="1" applyFont="1"/>
    <xf borderId="4" fillId="3" fontId="3" numFmtId="0" xfId="0" applyAlignment="1" applyBorder="1" applyFont="1">
      <alignment horizontal="center" vertical="center"/>
    </xf>
    <xf borderId="5" fillId="4" fontId="1" numFmtId="0" xfId="0" applyAlignment="1" applyBorder="1" applyFill="1" applyFont="1">
      <alignment horizontal="center" readingOrder="0" vertical="center"/>
    </xf>
    <xf borderId="6" fillId="0" fontId="4" numFmtId="0" xfId="0" applyBorder="1" applyFont="1"/>
    <xf borderId="7" fillId="0" fontId="4" numFmtId="0" xfId="0" applyBorder="1" applyFont="1"/>
    <xf borderId="5" fillId="5" fontId="1" numFmtId="165" xfId="0" applyAlignment="1" applyBorder="1" applyFill="1" applyFont="1" applyNumberFormat="1">
      <alignment horizontal="center" readingOrder="0" shrinkToFit="0" vertical="center" wrapText="1"/>
    </xf>
    <xf borderId="5" fillId="6" fontId="1" numFmtId="165" xfId="0" applyAlignment="1" applyBorder="1" applyFill="1" applyFont="1" applyNumberFormat="1">
      <alignment horizontal="center" readingOrder="0" vertical="center"/>
    </xf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12" fillId="4" fontId="1" numFmtId="165" xfId="0" applyAlignment="1" applyBorder="1" applyFont="1" applyNumberFormat="1">
      <alignment horizontal="center" vertical="center"/>
    </xf>
    <xf borderId="12" fillId="4" fontId="1" numFmtId="164" xfId="0" applyAlignment="1" applyBorder="1" applyFont="1" applyNumberFormat="1">
      <alignment horizontal="center" shrinkToFit="0" vertical="center" wrapText="1"/>
    </xf>
    <xf borderId="12" fillId="5" fontId="1" numFmtId="165" xfId="0" applyAlignment="1" applyBorder="1" applyFont="1" applyNumberFormat="1">
      <alignment horizontal="center" readingOrder="0" shrinkToFit="0" vertical="center" wrapText="1"/>
    </xf>
    <xf borderId="12" fillId="7" fontId="1" numFmtId="165" xfId="0" applyAlignment="1" applyBorder="1" applyFill="1" applyFont="1" applyNumberFormat="1">
      <alignment horizontal="center" readingOrder="0" shrinkToFit="0" vertical="center" wrapText="1"/>
    </xf>
    <xf borderId="12" fillId="6" fontId="1" numFmtId="165" xfId="0" applyAlignment="1" applyBorder="1" applyFont="1" applyNumberFormat="1">
      <alignment horizontal="center" readingOrder="0" vertical="center"/>
    </xf>
    <xf borderId="12" fillId="5" fontId="1" numFmtId="165" xfId="0" applyAlignment="1" applyBorder="1" applyFont="1" applyNumberFormat="1">
      <alignment horizontal="center" readingOrder="0" vertical="center"/>
    </xf>
    <xf borderId="12" fillId="7" fontId="1" numFmtId="165" xfId="0" applyAlignment="1" applyBorder="1" applyFont="1" applyNumberFormat="1">
      <alignment horizontal="center" readingOrder="0" vertical="center"/>
    </xf>
    <xf borderId="5" fillId="8" fontId="5" numFmtId="0" xfId="0" applyAlignment="1" applyBorder="1" applyFill="1" applyFont="1">
      <alignment horizontal="left" readingOrder="0" shrinkToFit="0" wrapText="0"/>
    </xf>
    <xf borderId="12" fillId="8" fontId="5" numFmtId="0" xfId="0" applyAlignment="1" applyBorder="1" applyFont="1">
      <alignment shrinkToFit="0" wrapText="0"/>
    </xf>
    <xf borderId="12" fillId="8" fontId="5" numFmtId="166" xfId="0" applyAlignment="1" applyBorder="1" applyFont="1" applyNumberFormat="1">
      <alignment shrinkToFit="0" wrapText="0"/>
    </xf>
    <xf borderId="12" fillId="8" fontId="5" numFmtId="165" xfId="0" applyAlignment="1" applyBorder="1" applyFont="1" applyNumberFormat="1">
      <alignment shrinkToFit="0" wrapText="0"/>
    </xf>
    <xf borderId="12" fillId="8" fontId="5" numFmtId="165" xfId="0" applyAlignment="1" applyBorder="1" applyFont="1" applyNumberFormat="1">
      <alignment horizontal="center" readingOrder="0" shrinkToFit="0" wrapText="0"/>
    </xf>
    <xf borderId="12" fillId="8" fontId="5" numFmtId="165" xfId="0" applyAlignment="1" applyBorder="1" applyFont="1" applyNumberFormat="1">
      <alignment horizontal="right" readingOrder="0"/>
    </xf>
    <xf borderId="13" fillId="9" fontId="1" numFmtId="0" xfId="0" applyAlignment="1" applyBorder="1" applyFill="1" applyFont="1">
      <alignment shrinkToFit="0" wrapText="0"/>
    </xf>
    <xf borderId="14" fillId="9" fontId="1" numFmtId="0" xfId="0" applyAlignment="1" applyBorder="1" applyFont="1">
      <alignment shrinkToFit="0" wrapText="0"/>
    </xf>
    <xf borderId="14" fillId="9" fontId="1" numFmtId="0" xfId="0" applyAlignment="1" applyBorder="1" applyFont="1">
      <alignment horizontal="left" readingOrder="0" shrinkToFit="0" wrapText="0"/>
    </xf>
    <xf borderId="14" fillId="9" fontId="6" numFmtId="0" xfId="0" applyAlignment="1" applyBorder="1" applyFont="1">
      <alignment horizontal="left" readingOrder="0" shrinkToFit="0" wrapText="0"/>
    </xf>
    <xf borderId="14" fillId="0" fontId="4" numFmtId="0" xfId="0" applyBorder="1" applyFont="1"/>
    <xf borderId="15" fillId="9" fontId="1" numFmtId="0" xfId="0" applyAlignment="1" applyBorder="1" applyFont="1">
      <alignment horizontal="center" readingOrder="0"/>
    </xf>
    <xf borderId="16" fillId="9" fontId="1" numFmtId="166" xfId="0" applyAlignment="1" applyBorder="1" applyFont="1" applyNumberFormat="1">
      <alignment horizontal="right"/>
    </xf>
    <xf borderId="16" fillId="9" fontId="1" numFmtId="165" xfId="0" applyAlignment="1" applyBorder="1" applyFont="1" applyNumberFormat="1">
      <alignment horizontal="right"/>
    </xf>
    <xf borderId="16" fillId="9" fontId="1" numFmtId="165" xfId="0" applyAlignment="1" applyBorder="1" applyFont="1" applyNumberFormat="1">
      <alignment shrinkToFit="0" wrapText="0"/>
    </xf>
    <xf borderId="17" fillId="9" fontId="1" numFmtId="0" xfId="0" applyAlignment="1" applyBorder="1" applyFont="1">
      <alignment shrinkToFit="0" wrapText="0"/>
    </xf>
    <xf borderId="18" fillId="9" fontId="1" numFmtId="0" xfId="0" applyAlignment="1" applyBorder="1" applyFont="1">
      <alignment shrinkToFit="0" wrapText="0"/>
    </xf>
    <xf borderId="18" fillId="9" fontId="1" numFmtId="0" xfId="0" applyAlignment="1" applyBorder="1" applyFont="1">
      <alignment horizontal="left" readingOrder="0" shrinkToFit="0" wrapText="0"/>
    </xf>
    <xf borderId="19" fillId="9" fontId="1" numFmtId="0" xfId="0" applyAlignment="1" applyBorder="1" applyFont="1">
      <alignment horizontal="center" readingOrder="0"/>
    </xf>
    <xf borderId="20" fillId="9" fontId="1" numFmtId="166" xfId="0" applyAlignment="1" applyBorder="1" applyFont="1" applyNumberFormat="1">
      <alignment horizontal="right"/>
    </xf>
    <xf borderId="20" fillId="9" fontId="1" numFmtId="165" xfId="0" applyAlignment="1" applyBorder="1" applyFont="1" applyNumberFormat="1">
      <alignment horizontal="right"/>
    </xf>
    <xf borderId="20" fillId="9" fontId="1" numFmtId="165" xfId="0" applyAlignment="1" applyBorder="1" applyFont="1" applyNumberFormat="1">
      <alignment shrinkToFit="0" wrapText="0"/>
    </xf>
    <xf borderId="17" fillId="2" fontId="1" numFmtId="0" xfId="0" applyAlignment="1" applyBorder="1" applyFont="1">
      <alignment shrinkToFit="0" wrapText="0"/>
    </xf>
    <xf borderId="18" fillId="2" fontId="1" numFmtId="0" xfId="0" applyAlignment="1" applyBorder="1" applyFont="1">
      <alignment shrinkToFit="0" wrapText="0"/>
    </xf>
    <xf borderId="18" fillId="2" fontId="1" numFmtId="0" xfId="0" applyAlignment="1" applyBorder="1" applyFont="1">
      <alignment horizontal="left" readingOrder="0" shrinkToFit="0" wrapText="0"/>
    </xf>
    <xf borderId="18" fillId="2" fontId="7" numFmtId="0" xfId="0" applyAlignment="1" applyBorder="1" applyFont="1">
      <alignment horizontal="left" readingOrder="0" shrinkToFit="0" wrapText="0"/>
    </xf>
    <xf borderId="18" fillId="0" fontId="4" numFmtId="0" xfId="0" applyBorder="1" applyFont="1"/>
    <xf borderId="20" fillId="2" fontId="2" numFmtId="0" xfId="0" applyAlignment="1" applyBorder="1" applyFont="1">
      <alignment horizontal="left" readingOrder="0" shrinkToFit="0" wrapText="0"/>
    </xf>
    <xf borderId="20" fillId="2" fontId="2" numFmtId="0" xfId="0" applyAlignment="1" applyBorder="1" applyFont="1">
      <alignment horizontal="center" readingOrder="0"/>
    </xf>
    <xf borderId="20" fillId="2" fontId="2" numFmtId="166" xfId="0" applyAlignment="1" applyBorder="1" applyFont="1" applyNumberFormat="1">
      <alignment horizontal="right"/>
    </xf>
    <xf borderId="20" fillId="2" fontId="2" numFmtId="165" xfId="0" applyAlignment="1" applyBorder="1" applyFont="1" applyNumberFormat="1">
      <alignment horizontal="right"/>
    </xf>
    <xf borderId="20" fillId="2" fontId="1" numFmtId="165" xfId="0" applyAlignment="1" applyBorder="1" applyFont="1" applyNumberFormat="1">
      <alignment horizontal="left" readingOrder="0" shrinkToFit="0" wrapText="0"/>
    </xf>
    <xf borderId="18" fillId="2" fontId="2" numFmtId="0" xfId="0" applyAlignment="1" applyBorder="1" applyFont="1">
      <alignment shrinkToFit="0" wrapText="0"/>
    </xf>
    <xf borderId="18" fillId="2" fontId="2" numFmtId="0" xfId="0" applyAlignment="1" applyBorder="1" applyFont="1">
      <alignment horizontal="left" shrinkToFit="0" wrapText="0"/>
    </xf>
    <xf borderId="20" fillId="2" fontId="2" numFmtId="165" xfId="0" applyAlignment="1" applyBorder="1" applyFont="1" applyNumberFormat="1">
      <alignment horizontal="left" readingOrder="0" shrinkToFit="0" wrapText="0"/>
    </xf>
    <xf borderId="20" fillId="2" fontId="2" numFmtId="165" xfId="0" applyAlignment="1" applyBorder="1" applyFont="1" applyNumberFormat="1">
      <alignment shrinkToFit="0" wrapText="0"/>
    </xf>
    <xf borderId="21" fillId="2" fontId="1" numFmtId="0" xfId="0" applyAlignment="1" applyBorder="1" applyFont="1">
      <alignment shrinkToFit="0" wrapText="0"/>
    </xf>
    <xf borderId="22" fillId="2" fontId="1" numFmtId="0" xfId="0" applyAlignment="1" applyBorder="1" applyFont="1">
      <alignment shrinkToFit="0" wrapText="0"/>
    </xf>
    <xf borderId="22" fillId="2" fontId="2" numFmtId="0" xfId="0" applyAlignment="1" applyBorder="1" applyFont="1">
      <alignment shrinkToFit="0" wrapText="0"/>
    </xf>
    <xf borderId="23" fillId="2" fontId="2" numFmtId="0" xfId="0" applyAlignment="1" applyBorder="1" applyFont="1">
      <alignment horizontal="left" readingOrder="0" shrinkToFit="0" wrapText="0"/>
    </xf>
    <xf borderId="23" fillId="2" fontId="2" numFmtId="0" xfId="0" applyAlignment="1" applyBorder="1" applyFont="1">
      <alignment horizontal="center" readingOrder="0"/>
    </xf>
    <xf borderId="23" fillId="2" fontId="2" numFmtId="166" xfId="0" applyAlignment="1" applyBorder="1" applyFont="1" applyNumberFormat="1">
      <alignment horizontal="right"/>
    </xf>
    <xf borderId="23" fillId="2" fontId="2" numFmtId="165" xfId="0" applyAlignment="1" applyBorder="1" applyFont="1" applyNumberFormat="1">
      <alignment horizontal="right"/>
    </xf>
    <xf borderId="23" fillId="2" fontId="2" numFmtId="165" xfId="0" applyAlignment="1" applyBorder="1" applyFont="1" applyNumberFormat="1">
      <alignment shrinkToFit="0" wrapText="0"/>
    </xf>
    <xf borderId="20" fillId="2" fontId="2" numFmtId="165" xfId="0" applyAlignment="1" applyBorder="1" applyFont="1" applyNumberFormat="1">
      <alignment readingOrder="0" shrinkToFit="0" wrapText="0"/>
    </xf>
    <xf borderId="23" fillId="2" fontId="2" numFmtId="165" xfId="0" applyAlignment="1" applyBorder="1" applyFont="1" applyNumberFormat="1">
      <alignment readingOrder="0" shrinkToFit="0" wrapText="0"/>
    </xf>
    <xf borderId="12" fillId="10" fontId="1" numFmtId="0" xfId="0" applyAlignment="1" applyBorder="1" applyFill="1" applyFont="1">
      <alignment vertical="center"/>
    </xf>
    <xf borderId="12" fillId="10" fontId="1" numFmtId="166" xfId="0" applyAlignment="1" applyBorder="1" applyFont="1" applyNumberFormat="1">
      <alignment vertical="center"/>
    </xf>
    <xf borderId="12" fillId="10" fontId="1" numFmtId="165" xfId="0" applyAlignment="1" applyBorder="1" applyFont="1" applyNumberFormat="1">
      <alignment vertical="center"/>
    </xf>
    <xf borderId="12" fillId="10" fontId="1" numFmtId="165" xfId="0" applyAlignment="1" applyBorder="1" applyFont="1" applyNumberFormat="1">
      <alignment horizontal="right" shrinkToFit="0" vertical="center" wrapText="1"/>
    </xf>
    <xf borderId="5" fillId="11" fontId="5" numFmtId="0" xfId="0" applyAlignment="1" applyBorder="1" applyFill="1" applyFont="1">
      <alignment horizontal="left" readingOrder="0" shrinkToFit="0" wrapText="0"/>
    </xf>
    <xf borderId="12" fillId="11" fontId="8" numFmtId="0" xfId="0" applyAlignment="1" applyBorder="1" applyFont="1">
      <alignment horizontal="left" shrinkToFit="0" wrapText="0"/>
    </xf>
    <xf borderId="12" fillId="11" fontId="8" numFmtId="166" xfId="0" applyAlignment="1" applyBorder="1" applyFont="1" applyNumberFormat="1">
      <alignment horizontal="left" shrinkToFit="0" wrapText="0"/>
    </xf>
    <xf borderId="12" fillId="11" fontId="8" numFmtId="165" xfId="0" applyAlignment="1" applyBorder="1" applyFont="1" applyNumberFormat="1">
      <alignment horizontal="left" shrinkToFit="0" wrapText="0"/>
    </xf>
    <xf borderId="12" fillId="11" fontId="8" numFmtId="165" xfId="0" applyAlignment="1" applyBorder="1" applyFont="1" applyNumberFormat="1">
      <alignment shrinkToFit="0" wrapText="0"/>
    </xf>
    <xf borderId="13" fillId="12" fontId="5" numFmtId="0" xfId="0" applyAlignment="1" applyBorder="1" applyFill="1" applyFont="1">
      <alignment shrinkToFit="0" wrapText="0"/>
    </xf>
    <xf borderId="14" fillId="12" fontId="5" numFmtId="0" xfId="0" applyAlignment="1" applyBorder="1" applyFont="1">
      <alignment horizontal="left" readingOrder="0" shrinkToFit="0" wrapText="0"/>
    </xf>
    <xf borderId="15" fillId="12" fontId="5" numFmtId="0" xfId="0" applyAlignment="1" applyBorder="1" applyFont="1">
      <alignment horizontal="center"/>
    </xf>
    <xf borderId="16" fillId="12" fontId="5" numFmtId="166" xfId="0" applyAlignment="1" applyBorder="1" applyFont="1" applyNumberFormat="1">
      <alignment horizontal="right"/>
    </xf>
    <xf borderId="16" fillId="12" fontId="5" numFmtId="165" xfId="0" applyAlignment="1" applyBorder="1" applyFont="1" applyNumberFormat="1">
      <alignment horizontal="right"/>
    </xf>
    <xf borderId="16" fillId="12" fontId="5" numFmtId="165" xfId="0" applyAlignment="1" applyBorder="1" applyFont="1" applyNumberFormat="1">
      <alignment shrinkToFit="0" wrapText="0"/>
    </xf>
    <xf borderId="17" fillId="13" fontId="5" numFmtId="0" xfId="0" applyAlignment="1" applyBorder="1" applyFill="1" applyFont="1">
      <alignment shrinkToFit="0" wrapText="0"/>
    </xf>
    <xf borderId="18" fillId="13" fontId="5" numFmtId="0" xfId="0" applyAlignment="1" applyBorder="1" applyFont="1">
      <alignment horizontal="left" readingOrder="0" shrinkToFit="0" wrapText="0"/>
    </xf>
    <xf borderId="18" fillId="13" fontId="5" numFmtId="0" xfId="0" applyAlignment="1" applyBorder="1" applyFont="1">
      <alignment shrinkToFit="0" wrapText="0"/>
    </xf>
    <xf borderId="19" fillId="13" fontId="5" numFmtId="0" xfId="0" applyAlignment="1" applyBorder="1" applyFont="1">
      <alignment horizontal="center"/>
    </xf>
    <xf borderId="20" fillId="13" fontId="5" numFmtId="166" xfId="0" applyAlignment="1" applyBorder="1" applyFont="1" applyNumberFormat="1">
      <alignment horizontal="right"/>
    </xf>
    <xf borderId="20" fillId="13" fontId="5" numFmtId="165" xfId="0" applyAlignment="1" applyBorder="1" applyFont="1" applyNumberFormat="1">
      <alignment horizontal="right"/>
    </xf>
    <xf borderId="20" fillId="13" fontId="5" numFmtId="165" xfId="0" applyAlignment="1" applyBorder="1" applyFont="1" applyNumberFormat="1">
      <alignment shrinkToFit="0" wrapText="0"/>
    </xf>
    <xf borderId="17" fillId="14" fontId="1" numFmtId="0" xfId="0" applyAlignment="1" applyBorder="1" applyFill="1" applyFont="1">
      <alignment shrinkToFit="0" wrapText="0"/>
    </xf>
    <xf borderId="18" fillId="14" fontId="1" numFmtId="0" xfId="0" applyAlignment="1" applyBorder="1" applyFont="1">
      <alignment shrinkToFit="0" wrapText="0"/>
    </xf>
    <xf borderId="18" fillId="14" fontId="1" numFmtId="0" xfId="0" applyAlignment="1" applyBorder="1" applyFont="1">
      <alignment horizontal="left" readingOrder="0" shrinkToFit="0" wrapText="0"/>
    </xf>
    <xf borderId="18" fillId="14" fontId="9" numFmtId="0" xfId="0" applyAlignment="1" applyBorder="1" applyFont="1">
      <alignment horizontal="left" readingOrder="0" shrinkToFit="0" wrapText="0"/>
    </xf>
    <xf borderId="19" fillId="14" fontId="1" numFmtId="0" xfId="0" applyAlignment="1" applyBorder="1" applyFont="1">
      <alignment horizontal="center" readingOrder="0"/>
    </xf>
    <xf borderId="20" fillId="14" fontId="1" numFmtId="166" xfId="0" applyAlignment="1" applyBorder="1" applyFont="1" applyNumberFormat="1">
      <alignment horizontal="right"/>
    </xf>
    <xf borderId="20" fillId="14" fontId="1" numFmtId="165" xfId="0" applyAlignment="1" applyBorder="1" applyFont="1" applyNumberFormat="1">
      <alignment horizontal="right"/>
    </xf>
    <xf borderId="20" fillId="14" fontId="1" numFmtId="165" xfId="0" applyAlignment="1" applyBorder="1" applyFont="1" applyNumberFormat="1">
      <alignment shrinkToFit="0" wrapText="0"/>
    </xf>
    <xf borderId="17" fillId="15" fontId="1" numFmtId="0" xfId="0" applyAlignment="1" applyBorder="1" applyFill="1" applyFont="1">
      <alignment shrinkToFit="0" wrapText="0"/>
    </xf>
    <xf borderId="18" fillId="15" fontId="1" numFmtId="0" xfId="0" applyAlignment="1" applyBorder="1" applyFont="1">
      <alignment shrinkToFit="0" wrapText="0"/>
    </xf>
    <xf borderId="18" fillId="15" fontId="1" numFmtId="0" xfId="0" applyAlignment="1" applyBorder="1" applyFont="1">
      <alignment horizontal="left" readingOrder="0" shrinkToFit="0" wrapText="0"/>
    </xf>
    <xf borderId="18" fillId="15" fontId="10" numFmtId="0" xfId="0" applyAlignment="1" applyBorder="1" applyFont="1">
      <alignment horizontal="left" readingOrder="0" shrinkToFit="0" wrapText="0"/>
    </xf>
    <xf borderId="20" fillId="15" fontId="2" numFmtId="0" xfId="0" applyAlignment="1" applyBorder="1" applyFont="1">
      <alignment horizontal="left" readingOrder="0" shrinkToFit="0" wrapText="0"/>
    </xf>
    <xf borderId="20" fillId="0" fontId="2" numFmtId="0" xfId="0" applyAlignment="1" applyBorder="1" applyFont="1">
      <alignment horizontal="center" readingOrder="0"/>
    </xf>
    <xf borderId="20" fillId="0" fontId="2" numFmtId="166" xfId="0" applyAlignment="1" applyBorder="1" applyFont="1" applyNumberFormat="1">
      <alignment horizontal="right"/>
    </xf>
    <xf borderId="20" fillId="0" fontId="2" numFmtId="165" xfId="0" applyAlignment="1" applyBorder="1" applyFont="1" applyNumberFormat="1">
      <alignment horizontal="right"/>
    </xf>
    <xf borderId="20" fillId="15" fontId="1" numFmtId="165" xfId="0" applyAlignment="1" applyBorder="1" applyFont="1" applyNumberFormat="1">
      <alignment shrinkToFit="0" wrapText="0"/>
    </xf>
    <xf borderId="20" fillId="15" fontId="1" numFmtId="165" xfId="0" applyAlignment="1" applyBorder="1" applyFont="1" applyNumberFormat="1">
      <alignment horizontal="left" readingOrder="0" shrinkToFit="0" wrapText="0"/>
    </xf>
    <xf borderId="18" fillId="15" fontId="2" numFmtId="0" xfId="0" applyAlignment="1" applyBorder="1" applyFont="1">
      <alignment shrinkToFit="0" wrapText="0"/>
    </xf>
    <xf borderId="18" fillId="15" fontId="2" numFmtId="0" xfId="0" applyAlignment="1" applyBorder="1" applyFont="1">
      <alignment horizontal="left" shrinkToFit="0" wrapText="0"/>
    </xf>
    <xf borderId="23" fillId="10" fontId="11" numFmtId="165" xfId="0" applyAlignment="1" applyBorder="1" applyFont="1" applyNumberFormat="1">
      <alignment shrinkToFit="0" wrapText="0"/>
    </xf>
    <xf borderId="20" fillId="15" fontId="2" numFmtId="165" xfId="0" applyAlignment="1" applyBorder="1" applyFont="1" applyNumberFormat="1">
      <alignment horizontal="left" readingOrder="0" shrinkToFit="0" wrapText="0"/>
    </xf>
    <xf borderId="20" fillId="15" fontId="2" numFmtId="165" xfId="0" applyAlignment="1" applyBorder="1" applyFont="1" applyNumberFormat="1">
      <alignment shrinkToFit="0" wrapText="0"/>
    </xf>
    <xf borderId="21" fillId="15" fontId="1" numFmtId="0" xfId="0" applyAlignment="1" applyBorder="1" applyFont="1">
      <alignment shrinkToFit="0" wrapText="0"/>
    </xf>
    <xf borderId="22" fillId="15" fontId="1" numFmtId="0" xfId="0" applyAlignment="1" applyBorder="1" applyFont="1">
      <alignment shrinkToFit="0" wrapText="0"/>
    </xf>
    <xf borderId="22" fillId="15" fontId="2" numFmtId="0" xfId="0" applyAlignment="1" applyBorder="1" applyFont="1">
      <alignment shrinkToFit="0" wrapText="0"/>
    </xf>
    <xf borderId="23" fillId="15" fontId="2" numFmtId="0" xfId="0" applyAlignment="1" applyBorder="1" applyFont="1">
      <alignment horizontal="left" readingOrder="0" shrinkToFit="0" wrapText="0"/>
    </xf>
    <xf borderId="23" fillId="0" fontId="2" numFmtId="0" xfId="0" applyAlignment="1" applyBorder="1" applyFont="1">
      <alignment horizontal="center" readingOrder="0"/>
    </xf>
    <xf borderId="23" fillId="0" fontId="2" numFmtId="166" xfId="0" applyAlignment="1" applyBorder="1" applyFont="1" applyNumberFormat="1">
      <alignment horizontal="right"/>
    </xf>
    <xf borderId="23" fillId="0" fontId="2" numFmtId="165" xfId="0" applyAlignment="1" applyBorder="1" applyFont="1" applyNumberFormat="1">
      <alignment horizontal="right"/>
    </xf>
    <xf borderId="23" fillId="15" fontId="2" numFmtId="165" xfId="0" applyAlignment="1" applyBorder="1" applyFont="1" applyNumberFormat="1">
      <alignment shrinkToFit="0" wrapText="0"/>
    </xf>
    <xf borderId="12" fillId="16" fontId="1" numFmtId="0" xfId="0" applyAlignment="1" applyBorder="1" applyFill="1" applyFont="1">
      <alignment readingOrder="0" shrinkToFit="0" wrapText="0"/>
    </xf>
    <xf borderId="12" fillId="16" fontId="1" numFmtId="0" xfId="0" applyAlignment="1" applyBorder="1" applyFont="1">
      <alignment horizontal="left" readingOrder="0" shrinkToFit="0" wrapText="0"/>
    </xf>
    <xf borderId="12" fillId="16" fontId="1" numFmtId="0" xfId="0" applyAlignment="1" applyBorder="1" applyFont="1">
      <alignment horizontal="center"/>
    </xf>
    <xf borderId="12" fillId="16" fontId="1" numFmtId="166" xfId="0" applyAlignment="1" applyBorder="1" applyFont="1" applyNumberFormat="1">
      <alignment horizontal="right"/>
    </xf>
    <xf borderId="12" fillId="16" fontId="1" numFmtId="165" xfId="0" applyAlignment="1" applyBorder="1" applyFont="1" applyNumberFormat="1">
      <alignment horizontal="right"/>
    </xf>
    <xf borderId="12" fillId="16" fontId="1" numFmtId="165" xfId="0" applyAlignment="1" applyBorder="1" applyFont="1" applyNumberFormat="1">
      <alignment shrinkToFit="0" wrapText="0"/>
    </xf>
    <xf borderId="13" fillId="17" fontId="1" numFmtId="0" xfId="0" applyAlignment="1" applyBorder="1" applyFill="1" applyFont="1">
      <alignment shrinkToFit="0" wrapText="0"/>
    </xf>
    <xf borderId="14" fillId="17" fontId="1" numFmtId="0" xfId="0" applyAlignment="1" applyBorder="1" applyFont="1">
      <alignment horizontal="left" readingOrder="0" shrinkToFit="0" wrapText="0"/>
    </xf>
    <xf borderId="15" fillId="17" fontId="1" numFmtId="0" xfId="0" applyAlignment="1" applyBorder="1" applyFont="1">
      <alignment horizontal="center"/>
    </xf>
    <xf borderId="16" fillId="17" fontId="1" numFmtId="166" xfId="0" applyAlignment="1" applyBorder="1" applyFont="1" applyNumberFormat="1">
      <alignment horizontal="right"/>
    </xf>
    <xf borderId="16" fillId="17" fontId="1" numFmtId="165" xfId="0" applyAlignment="1" applyBorder="1" applyFont="1" applyNumberFormat="1">
      <alignment horizontal="right"/>
    </xf>
    <xf borderId="16" fillId="17" fontId="1" numFmtId="165" xfId="0" applyAlignment="1" applyBorder="1" applyFont="1" applyNumberFormat="1">
      <alignment shrinkToFit="0" wrapText="0"/>
    </xf>
    <xf borderId="17" fillId="18" fontId="1" numFmtId="0" xfId="0" applyAlignment="1" applyBorder="1" applyFill="1" applyFont="1">
      <alignment shrinkToFit="0" wrapText="0"/>
    </xf>
    <xf borderId="18" fillId="18" fontId="1" numFmtId="0" xfId="0" applyAlignment="1" applyBorder="1" applyFont="1">
      <alignment horizontal="left" readingOrder="0" shrinkToFit="0" wrapText="0"/>
    </xf>
    <xf borderId="19" fillId="18" fontId="1" numFmtId="0" xfId="0" applyAlignment="1" applyBorder="1" applyFont="1">
      <alignment horizontal="center"/>
    </xf>
    <xf borderId="20" fillId="18" fontId="1" numFmtId="166" xfId="0" applyAlignment="1" applyBorder="1" applyFont="1" applyNumberFormat="1">
      <alignment horizontal="right"/>
    </xf>
    <xf borderId="20" fillId="18" fontId="1" numFmtId="165" xfId="0" applyAlignment="1" applyBorder="1" applyFont="1" applyNumberFormat="1">
      <alignment horizontal="right"/>
    </xf>
    <xf borderId="20" fillId="18" fontId="1" numFmtId="165" xfId="0" applyAlignment="1" applyBorder="1" applyFont="1" applyNumberFormat="1">
      <alignment shrinkToFit="0" wrapText="0"/>
    </xf>
    <xf borderId="17" fillId="19" fontId="1" numFmtId="0" xfId="0" applyAlignment="1" applyBorder="1" applyFill="1" applyFont="1">
      <alignment shrinkToFit="0" wrapText="0"/>
    </xf>
    <xf borderId="18" fillId="19" fontId="1" numFmtId="0" xfId="0" applyAlignment="1" applyBorder="1" applyFont="1">
      <alignment shrinkToFit="0" wrapText="0"/>
    </xf>
    <xf borderId="18" fillId="19" fontId="1" numFmtId="0" xfId="0" applyAlignment="1" applyBorder="1" applyFont="1">
      <alignment horizontal="left" readingOrder="0" shrinkToFit="0" wrapText="0"/>
    </xf>
    <xf borderId="18" fillId="19" fontId="12" numFmtId="0" xfId="0" applyAlignment="1" applyBorder="1" applyFont="1">
      <alignment horizontal="left" readingOrder="0" shrinkToFit="0" wrapText="0"/>
    </xf>
    <xf borderId="19" fillId="19" fontId="1" numFmtId="0" xfId="0" applyAlignment="1" applyBorder="1" applyFont="1">
      <alignment horizontal="center" readingOrder="0"/>
    </xf>
    <xf borderId="20" fillId="19" fontId="1" numFmtId="166" xfId="0" applyAlignment="1" applyBorder="1" applyFont="1" applyNumberFormat="1">
      <alignment horizontal="right"/>
    </xf>
    <xf borderId="20" fillId="19" fontId="1" numFmtId="165" xfId="0" applyAlignment="1" applyBorder="1" applyFont="1" applyNumberFormat="1">
      <alignment horizontal="right"/>
    </xf>
    <xf borderId="20" fillId="19" fontId="1" numFmtId="165" xfId="0" applyAlignment="1" applyBorder="1" applyFont="1" applyNumberFormat="1">
      <alignment shrinkToFit="0" wrapText="0"/>
    </xf>
    <xf borderId="24" fillId="20" fontId="1" numFmtId="164" xfId="0" applyAlignment="1" applyBorder="1" applyFill="1" applyFont="1" applyNumberFormat="1">
      <alignment vertical="center"/>
    </xf>
    <xf borderId="25" fillId="20" fontId="1" numFmtId="164" xfId="0" applyAlignment="1" applyBorder="1" applyFont="1" applyNumberFormat="1">
      <alignment vertical="center"/>
    </xf>
    <xf borderId="26" fillId="20" fontId="2" numFmtId="0" xfId="0" applyAlignment="1" applyBorder="1" applyFont="1">
      <alignment vertical="center"/>
    </xf>
    <xf borderId="27" fillId="20" fontId="2" numFmtId="0" xfId="0" applyAlignment="1" applyBorder="1" applyFont="1">
      <alignment horizontal="left" vertical="center"/>
    </xf>
    <xf borderId="27" fillId="20" fontId="2" numFmtId="166" xfId="0" applyAlignment="1" applyBorder="1" applyFont="1" applyNumberFormat="1">
      <alignment horizontal="left" vertical="center"/>
    </xf>
    <xf borderId="27" fillId="20" fontId="2" numFmtId="165" xfId="0" applyAlignment="1" applyBorder="1" applyFont="1" applyNumberFormat="1">
      <alignment horizontal="left" vertical="center"/>
    </xf>
    <xf borderId="27" fillId="20" fontId="2" numFmtId="165" xfId="0" applyAlignment="1" applyBorder="1" applyFont="1" applyNumberFormat="1">
      <alignment vertical="center"/>
    </xf>
    <xf borderId="24" fillId="21" fontId="1" numFmtId="164" xfId="0" applyAlignment="1" applyBorder="1" applyFill="1" applyFont="1" applyNumberFormat="1">
      <alignment vertical="center"/>
    </xf>
    <xf borderId="25" fillId="21" fontId="1" numFmtId="0" xfId="0" applyAlignment="1" applyBorder="1" applyFont="1">
      <alignment vertical="center"/>
    </xf>
    <xf borderId="25" fillId="21" fontId="1" numFmtId="164" xfId="0" applyAlignment="1" applyBorder="1" applyFont="1" applyNumberFormat="1">
      <alignment vertical="center"/>
    </xf>
    <xf borderId="26" fillId="21" fontId="1" numFmtId="0" xfId="0" applyAlignment="1" applyBorder="1" applyFont="1">
      <alignment vertical="center"/>
    </xf>
    <xf borderId="28" fillId="21" fontId="1" numFmtId="0" xfId="0" applyAlignment="1" applyBorder="1" applyFont="1">
      <alignment horizontal="left" vertical="center"/>
    </xf>
    <xf borderId="28" fillId="21" fontId="1" numFmtId="166" xfId="0" applyAlignment="1" applyBorder="1" applyFont="1" applyNumberFormat="1">
      <alignment horizontal="left" vertical="center"/>
    </xf>
    <xf borderId="28" fillId="21" fontId="1" numFmtId="165" xfId="0" applyAlignment="1" applyBorder="1" applyFont="1" applyNumberFormat="1">
      <alignment horizontal="left" vertical="center"/>
    </xf>
    <xf borderId="28" fillId="21" fontId="1" numFmtId="165" xfId="0" applyAlignment="1" applyBorder="1" applyFont="1" applyNumberFormat="1">
      <alignment horizontal="center" vertical="center"/>
    </xf>
    <xf borderId="28" fillId="21" fontId="2" numFmtId="165" xfId="0" applyAlignment="1" applyBorder="1" applyFont="1" applyNumberFormat="1">
      <alignment vertical="center"/>
    </xf>
    <xf borderId="29" fillId="9" fontId="1" numFmtId="167" xfId="0" applyAlignment="1" applyBorder="1" applyFont="1" applyNumberFormat="1">
      <alignment vertical="center"/>
    </xf>
    <xf borderId="30" fillId="9" fontId="1" numFmtId="0" xfId="0" applyAlignment="1" applyBorder="1" applyFont="1">
      <alignment vertical="center"/>
    </xf>
    <xf borderId="30" fillId="9" fontId="1" numFmtId="164" xfId="0" applyAlignment="1" applyBorder="1" applyFont="1" applyNumberFormat="1">
      <alignment vertical="center"/>
    </xf>
    <xf borderId="19" fillId="9" fontId="1" numFmtId="0" xfId="0" applyAlignment="1" applyBorder="1" applyFont="1">
      <alignment horizontal="center" shrinkToFit="0" vertical="center" wrapText="1"/>
    </xf>
    <xf borderId="19" fillId="9" fontId="1" numFmtId="166" xfId="0" applyAlignment="1" applyBorder="1" applyFont="1" applyNumberFormat="1">
      <alignment horizontal="right" shrinkToFit="0" vertical="center" wrapText="1"/>
    </xf>
    <xf borderId="19" fillId="9" fontId="1" numFmtId="165" xfId="0" applyAlignment="1" applyBorder="1" applyFont="1" applyNumberFormat="1">
      <alignment horizontal="right" shrinkToFit="0" vertical="center" wrapText="1"/>
    </xf>
    <xf borderId="19" fillId="9" fontId="1" numFmtId="165" xfId="0" applyAlignment="1" applyBorder="1" applyFont="1" applyNumberFormat="1">
      <alignment readingOrder="0" vertical="center"/>
    </xf>
    <xf borderId="19" fillId="9" fontId="1" numFmtId="165" xfId="0" applyAlignment="1" applyBorder="1" applyFont="1" applyNumberFormat="1">
      <alignment vertical="center"/>
    </xf>
    <xf borderId="13" fillId="2" fontId="1" numFmtId="167" xfId="0" applyAlignment="1" applyBorder="1" applyFont="1" applyNumberFormat="1">
      <alignment shrinkToFit="0" wrapText="0"/>
    </xf>
    <xf borderId="14" fillId="2" fontId="1" numFmtId="0" xfId="0" applyAlignment="1" applyBorder="1" applyFont="1">
      <alignment shrinkToFit="0" wrapText="0"/>
    </xf>
    <xf borderId="14" fillId="2" fontId="1" numFmtId="0" xfId="0" applyAlignment="1" applyBorder="1" applyFont="1">
      <alignment horizontal="left" readingOrder="0" shrinkToFit="0" wrapText="0"/>
    </xf>
    <xf borderId="14" fillId="2" fontId="13" numFmtId="0" xfId="0" applyAlignment="1" applyBorder="1" applyFont="1">
      <alignment horizontal="left" readingOrder="0" shrinkToFit="0" wrapText="0"/>
    </xf>
    <xf borderId="15" fillId="2" fontId="1" numFmtId="164" xfId="0" applyAlignment="1" applyBorder="1" applyFont="1" applyNumberFormat="1">
      <alignment horizontal="center" readingOrder="0"/>
    </xf>
    <xf borderId="16" fillId="2" fontId="1" numFmtId="166" xfId="0" applyAlignment="1" applyBorder="1" applyFont="1" applyNumberFormat="1">
      <alignment horizontal="right"/>
    </xf>
    <xf borderId="16" fillId="2" fontId="1" numFmtId="165" xfId="0" applyAlignment="1" applyBorder="1" applyFont="1" applyNumberFormat="1">
      <alignment horizontal="right"/>
    </xf>
    <xf borderId="16" fillId="2" fontId="1" numFmtId="165" xfId="0" applyAlignment="1" applyBorder="1" applyFont="1" applyNumberFormat="1">
      <alignment shrinkToFit="0" wrapText="0"/>
    </xf>
    <xf borderId="17" fillId="2" fontId="1" numFmtId="167" xfId="0" applyAlignment="1" applyBorder="1" applyFont="1" applyNumberFormat="1">
      <alignment shrinkToFit="0" wrapText="0"/>
    </xf>
    <xf borderId="19" fillId="2" fontId="1" numFmtId="164" xfId="0" applyAlignment="1" applyBorder="1" applyFont="1" applyNumberFormat="1">
      <alignment horizontal="center" readingOrder="0"/>
    </xf>
    <xf borderId="20" fillId="2" fontId="1" numFmtId="166" xfId="0" applyAlignment="1" applyBorder="1" applyFont="1" applyNumberFormat="1">
      <alignment horizontal="right"/>
    </xf>
    <xf borderId="20" fillId="2" fontId="1" numFmtId="165" xfId="0" applyAlignment="1" applyBorder="1" applyFont="1" applyNumberFormat="1">
      <alignment horizontal="right"/>
    </xf>
    <xf borderId="20" fillId="2" fontId="1" numFmtId="165" xfId="0" applyAlignment="1" applyBorder="1" applyFont="1" applyNumberFormat="1">
      <alignment shrinkToFit="0" wrapText="0"/>
    </xf>
    <xf borderId="29" fillId="2" fontId="1" numFmtId="167" xfId="0" applyAlignment="1" applyBorder="1" applyFont="1" applyNumberFormat="1">
      <alignment vertical="center"/>
    </xf>
    <xf borderId="30" fillId="2" fontId="1" numFmtId="0" xfId="0" applyAlignment="1" applyBorder="1" applyFont="1">
      <alignment vertical="center"/>
    </xf>
    <xf quotePrefix="1" borderId="30" fillId="2" fontId="14" numFmtId="0" xfId="0" applyAlignment="1" applyBorder="1" applyFont="1">
      <alignment vertical="center"/>
    </xf>
    <xf borderId="30" fillId="2" fontId="2" numFmtId="0" xfId="0" applyAlignment="1" applyBorder="1" applyFont="1">
      <alignment vertical="center"/>
    </xf>
    <xf borderId="31" fillId="2" fontId="2" numFmtId="0" xfId="0" applyAlignment="1" applyBorder="1" applyFont="1">
      <alignment vertical="center"/>
    </xf>
    <xf borderId="19" fillId="0" fontId="2" numFmtId="164" xfId="0" applyAlignment="1" applyBorder="1" applyFont="1" applyNumberFormat="1">
      <alignment horizontal="center" shrinkToFit="0" vertical="center" wrapText="1"/>
    </xf>
    <xf borderId="19" fillId="0" fontId="2" numFmtId="166" xfId="0" applyAlignment="1" applyBorder="1" applyFont="1" applyNumberFormat="1">
      <alignment horizontal="right" shrinkToFit="0" vertical="center" wrapText="1"/>
    </xf>
    <xf borderId="19" fillId="0" fontId="2" numFmtId="165" xfId="0" applyAlignment="1" applyBorder="1" applyFont="1" applyNumberFormat="1">
      <alignment horizontal="right" shrinkToFit="0" vertical="center" wrapText="1"/>
    </xf>
    <xf borderId="19" fillId="2" fontId="1" numFmtId="165" xfId="0" applyAlignment="1" applyBorder="1" applyFont="1" applyNumberFormat="1">
      <alignment readingOrder="0" vertical="center"/>
    </xf>
    <xf borderId="19" fillId="2" fontId="1" numFmtId="165" xfId="0" applyAlignment="1" applyBorder="1" applyFont="1" applyNumberFormat="1">
      <alignment vertical="center"/>
    </xf>
    <xf borderId="30" fillId="2" fontId="1" numFmtId="164" xfId="0" applyAlignment="1" applyBorder="1" applyFont="1" applyNumberFormat="1">
      <alignment vertical="center"/>
    </xf>
    <xf borderId="19" fillId="2" fontId="2" numFmtId="165" xfId="0" applyAlignment="1" applyBorder="1" applyFont="1" applyNumberFormat="1">
      <alignment readingOrder="0" vertical="center"/>
    </xf>
    <xf borderId="19" fillId="10" fontId="11" numFmtId="165" xfId="0" applyAlignment="1" applyBorder="1" applyFont="1" applyNumberFormat="1">
      <alignment readingOrder="0" vertical="center"/>
    </xf>
    <xf borderId="19" fillId="10" fontId="11" numFmtId="165" xfId="0" applyAlignment="1" applyBorder="1" applyFont="1" applyNumberFormat="1">
      <alignment vertical="center"/>
    </xf>
    <xf borderId="19" fillId="2" fontId="2" numFmtId="165" xfId="0" applyAlignment="1" applyBorder="1" applyFont="1" applyNumberFormat="1">
      <alignment vertical="center"/>
    </xf>
    <xf borderId="31" fillId="2" fontId="2" numFmtId="0" xfId="0" applyAlignment="1" applyBorder="1" applyFont="1">
      <alignment horizontal="left" vertical="center"/>
    </xf>
    <xf borderId="17" fillId="15" fontId="1" numFmtId="167" xfId="0" applyAlignment="1" applyBorder="1" applyFont="1" applyNumberFormat="1">
      <alignment shrinkToFit="0" wrapText="0"/>
    </xf>
    <xf borderId="20" fillId="0" fontId="2" numFmtId="164" xfId="0" applyAlignment="1" applyBorder="1" applyFont="1" applyNumberFormat="1">
      <alignment horizontal="center" readingOrder="0"/>
    </xf>
    <xf borderId="21" fillId="15" fontId="1" numFmtId="167" xfId="0" applyAlignment="1" applyBorder="1" applyFont="1" applyNumberFormat="1">
      <alignment shrinkToFit="0" wrapText="0"/>
    </xf>
    <xf borderId="22" fillId="15" fontId="1" numFmtId="164" xfId="0" applyAlignment="1" applyBorder="1" applyFont="1" applyNumberFormat="1">
      <alignment shrinkToFit="0" wrapText="0"/>
    </xf>
    <xf borderId="23" fillId="0" fontId="2" numFmtId="164" xfId="0" applyAlignment="1" applyBorder="1" applyFont="1" applyNumberFormat="1">
      <alignment horizontal="center" readingOrder="0"/>
    </xf>
    <xf borderId="17" fillId="0" fontId="1" numFmtId="164" xfId="0" applyAlignment="1" applyBorder="1" applyFont="1" applyNumberFormat="1">
      <alignment vertical="center"/>
    </xf>
    <xf borderId="18" fillId="0" fontId="1" numFmtId="164" xfId="0" applyAlignment="1" applyBorder="1" applyFont="1" applyNumberFormat="1">
      <alignment vertical="center"/>
    </xf>
    <xf quotePrefix="1" borderId="30" fillId="22" fontId="15" numFmtId="0" xfId="0" applyAlignment="1" applyBorder="1" applyFill="1" applyFont="1">
      <alignment vertical="center"/>
    </xf>
    <xf borderId="30" fillId="22" fontId="2" numFmtId="0" xfId="0" applyAlignment="1" applyBorder="1" applyFont="1">
      <alignment vertical="center"/>
    </xf>
    <xf borderId="31" fillId="22" fontId="2" numFmtId="0" xfId="0" applyAlignment="1" applyBorder="1" applyFont="1">
      <alignment vertical="center"/>
    </xf>
    <xf borderId="19" fillId="0" fontId="2" numFmtId="0" xfId="0" applyAlignment="1" applyBorder="1" applyFont="1">
      <alignment horizontal="center" shrinkToFit="0" vertical="center" wrapText="1"/>
    </xf>
    <xf borderId="19" fillId="0" fontId="2" numFmtId="165" xfId="0" applyAlignment="1" applyBorder="1" applyFont="1" applyNumberFormat="1">
      <alignment vertical="center"/>
    </xf>
    <xf borderId="30" fillId="23" fontId="2" numFmtId="0" xfId="0" applyAlignment="1" applyBorder="1" applyFill="1" applyFont="1">
      <alignment horizontal="right" vertical="center"/>
    </xf>
    <xf quotePrefix="1" borderId="30" fillId="23" fontId="2" numFmtId="0" xfId="0" applyAlignment="1" applyBorder="1" applyFont="1">
      <alignment vertical="center"/>
    </xf>
    <xf borderId="30" fillId="23" fontId="2" numFmtId="0" xfId="0" applyAlignment="1" applyBorder="1" applyFont="1">
      <alignment vertical="center"/>
    </xf>
    <xf borderId="31" fillId="23" fontId="2" numFmtId="0" xfId="0" applyAlignment="1" applyBorder="1" applyFont="1">
      <alignment vertical="center"/>
    </xf>
    <xf borderId="19" fillId="2" fontId="2" numFmtId="0" xfId="0" applyAlignment="1" applyBorder="1" applyFont="1">
      <alignment horizontal="center" shrinkToFit="0" vertical="center" wrapText="1"/>
    </xf>
    <xf borderId="19" fillId="2" fontId="2" numFmtId="166" xfId="0" applyAlignment="1" applyBorder="1" applyFont="1" applyNumberFormat="1">
      <alignment horizontal="right" shrinkToFit="0" vertical="center" wrapText="1"/>
    </xf>
    <xf borderId="19" fillId="4" fontId="2" numFmtId="166" xfId="0" applyAlignment="1" applyBorder="1" applyFont="1" applyNumberFormat="1">
      <alignment horizontal="right" readingOrder="0" shrinkToFit="0" vertical="center" wrapText="1"/>
    </xf>
    <xf borderId="30" fillId="10" fontId="2" numFmtId="0" xfId="0" applyAlignment="1" applyBorder="1" applyFont="1">
      <alignment horizontal="right" vertical="center"/>
    </xf>
    <xf quotePrefix="1" borderId="30" fillId="10" fontId="2" numFmtId="0" xfId="0" applyAlignment="1" applyBorder="1" applyFont="1">
      <alignment vertical="center"/>
    </xf>
    <xf borderId="30" fillId="10" fontId="2" numFmtId="0" xfId="0" applyAlignment="1" applyBorder="1" applyFont="1">
      <alignment vertical="center"/>
    </xf>
    <xf borderId="31" fillId="10" fontId="2" numFmtId="0" xfId="0" applyAlignment="1" applyBorder="1" applyFont="1">
      <alignment vertical="center"/>
    </xf>
    <xf borderId="18" fillId="0" fontId="1" numFmtId="164" xfId="0" applyAlignment="1" applyBorder="1" applyFont="1" applyNumberFormat="1">
      <alignment horizontal="left" vertical="center"/>
    </xf>
    <xf quotePrefix="1" borderId="18" fillId="0" fontId="2" numFmtId="0" xfId="0" applyAlignment="1" applyBorder="1" applyFont="1">
      <alignment vertical="center"/>
    </xf>
    <xf borderId="18" fillId="0" fontId="2" numFmtId="0" xfId="0" applyAlignment="1" applyBorder="1" applyFont="1">
      <alignment vertical="center"/>
    </xf>
    <xf borderId="20" fillId="0" fontId="2" numFmtId="0" xfId="0" applyAlignment="1" applyBorder="1" applyFont="1">
      <alignment vertical="center"/>
    </xf>
    <xf borderId="19" fillId="4" fontId="2" numFmtId="166" xfId="0" applyAlignment="1" applyBorder="1" applyFont="1" applyNumberFormat="1">
      <alignment horizontal="right" shrinkToFit="0" vertical="center" wrapText="1"/>
    </xf>
    <xf borderId="18" fillId="0" fontId="2" numFmtId="0" xfId="0" applyAlignment="1" applyBorder="1" applyFont="1">
      <alignment horizontal="right" vertical="center"/>
    </xf>
    <xf borderId="19" fillId="0" fontId="1" numFmtId="0" xfId="0" applyAlignment="1" applyBorder="1" applyFont="1">
      <alignment horizontal="center" shrinkToFit="0" vertical="center" wrapText="1"/>
    </xf>
    <xf borderId="19" fillId="2" fontId="1" numFmtId="166" xfId="0" applyAlignment="1" applyBorder="1" applyFont="1" applyNumberFormat="1">
      <alignment horizontal="right" shrinkToFit="0" vertical="center" wrapText="1"/>
    </xf>
    <xf borderId="19" fillId="0" fontId="1" numFmtId="165" xfId="0" applyAlignment="1" applyBorder="1" applyFont="1" applyNumberFormat="1">
      <alignment horizontal="right" shrinkToFit="0" vertical="center" wrapText="1"/>
    </xf>
    <xf borderId="19" fillId="0" fontId="2" numFmtId="166" xfId="0" applyAlignment="1" applyBorder="1" applyFont="1" applyNumberFormat="1">
      <alignment horizontal="right" readingOrder="0" shrinkToFit="0" vertical="center" wrapText="1"/>
    </xf>
    <xf borderId="19" fillId="2" fontId="2" numFmtId="166" xfId="0" applyAlignment="1" applyBorder="1" applyFont="1" applyNumberFormat="1">
      <alignment horizontal="right" readingOrder="0" shrinkToFit="0" vertical="center" wrapText="1"/>
    </xf>
    <xf quotePrefix="1" borderId="18" fillId="0" fontId="2" numFmtId="0" xfId="0" applyAlignment="1" applyBorder="1" applyFont="1">
      <alignment readingOrder="0" vertical="center"/>
    </xf>
    <xf borderId="30" fillId="7" fontId="2" numFmtId="0" xfId="0" applyAlignment="1" applyBorder="1" applyFont="1">
      <alignment horizontal="right" vertical="center"/>
    </xf>
    <xf quotePrefix="1" borderId="30" fillId="7" fontId="2" numFmtId="0" xfId="0" applyAlignment="1" applyBorder="1" applyFont="1">
      <alignment vertical="center"/>
    </xf>
    <xf borderId="30" fillId="7" fontId="2" numFmtId="0" xfId="0" applyAlignment="1" applyBorder="1" applyFont="1">
      <alignment vertical="center"/>
    </xf>
    <xf borderId="31" fillId="7" fontId="2" numFmtId="0" xfId="0" applyAlignment="1" applyBorder="1" applyFont="1">
      <alignment vertical="center"/>
    </xf>
    <xf borderId="30" fillId="4" fontId="2" numFmtId="166" xfId="0" applyAlignment="1" applyBorder="1" applyFont="1" applyNumberFormat="1">
      <alignment horizontal="right" vertical="center"/>
    </xf>
    <xf borderId="29" fillId="21" fontId="1" numFmtId="164" xfId="0" applyAlignment="1" applyBorder="1" applyFont="1" applyNumberFormat="1">
      <alignment vertical="center"/>
    </xf>
    <xf borderId="30" fillId="21" fontId="1" numFmtId="0" xfId="0" applyAlignment="1" applyBorder="1" applyFont="1">
      <alignment shrinkToFit="0" vertical="center" wrapText="1"/>
    </xf>
    <xf borderId="30" fillId="21" fontId="1" numFmtId="164" xfId="0" applyAlignment="1" applyBorder="1" applyFont="1" applyNumberFormat="1">
      <alignment shrinkToFit="0" vertical="center" wrapText="1"/>
    </xf>
    <xf borderId="30" fillId="21" fontId="2" numFmtId="0" xfId="0" applyAlignment="1" applyBorder="1" applyFont="1">
      <alignment shrinkToFit="0" vertical="center" wrapText="1"/>
    </xf>
    <xf borderId="31" fillId="21" fontId="2" numFmtId="0" xfId="0" applyAlignment="1" applyBorder="1" applyFont="1">
      <alignment shrinkToFit="0" vertical="center" wrapText="1"/>
    </xf>
    <xf borderId="19" fillId="21" fontId="2" numFmtId="0" xfId="0" applyAlignment="1" applyBorder="1" applyFont="1">
      <alignment horizontal="center" shrinkToFit="0" vertical="center" wrapText="1"/>
    </xf>
    <xf borderId="19" fillId="21" fontId="2" numFmtId="166" xfId="0" applyAlignment="1" applyBorder="1" applyFont="1" applyNumberFormat="1">
      <alignment horizontal="right" shrinkToFit="0" vertical="center" wrapText="1"/>
    </xf>
    <xf borderId="19" fillId="21" fontId="2" numFmtId="165" xfId="0" applyAlignment="1" applyBorder="1" applyFont="1" applyNumberFormat="1">
      <alignment horizontal="right" shrinkToFit="0" vertical="center" wrapText="1"/>
    </xf>
    <xf borderId="19" fillId="21" fontId="2" numFmtId="165" xfId="0" applyAlignment="1" applyBorder="1" applyFont="1" applyNumberFormat="1">
      <alignment shrinkToFit="0" vertical="center" wrapText="1"/>
    </xf>
    <xf borderId="19" fillId="21" fontId="2" numFmtId="165" xfId="0" applyAlignment="1" applyBorder="1" applyFont="1" applyNumberFormat="1">
      <alignment vertical="center"/>
    </xf>
    <xf borderId="31" fillId="9" fontId="1" numFmtId="0" xfId="0" applyAlignment="1" applyBorder="1" applyFont="1">
      <alignment vertical="center"/>
    </xf>
    <xf borderId="19" fillId="9" fontId="1" numFmtId="165" xfId="0" applyAlignment="1" applyBorder="1" applyFont="1" applyNumberFormat="1">
      <alignment readingOrder="0" shrinkToFit="0" vertical="center" wrapText="1"/>
    </xf>
    <xf borderId="19" fillId="9" fontId="1" numFmtId="165" xfId="0" applyAlignment="1" applyBorder="1" applyFont="1" applyNumberFormat="1">
      <alignment shrinkToFit="0" vertical="center" wrapText="1"/>
    </xf>
    <xf borderId="19" fillId="2" fontId="2" numFmtId="165" xfId="0" applyAlignment="1" applyBorder="1" applyFont="1" applyNumberFormat="1">
      <alignment horizontal="right" shrinkToFit="0" vertical="center" wrapText="1"/>
    </xf>
    <xf quotePrefix="1" borderId="20" fillId="0" fontId="2" numFmtId="0" xfId="0" applyAlignment="1" applyBorder="1" applyFont="1">
      <alignment shrinkToFit="0" vertical="center" wrapText="1"/>
    </xf>
    <xf quotePrefix="1" borderId="20" fillId="0" fontId="2" numFmtId="0" xfId="0" applyAlignment="1" applyBorder="1" applyFont="1">
      <alignment vertical="center"/>
    </xf>
    <xf borderId="30" fillId="2" fontId="2" numFmtId="166" xfId="0" applyAlignment="1" applyBorder="1" applyFont="1" applyNumberFormat="1">
      <alignment horizontal="right" vertical="center"/>
    </xf>
    <xf borderId="30" fillId="21" fontId="1" numFmtId="0" xfId="0" applyAlignment="1" applyBorder="1" applyFont="1">
      <alignment vertical="center"/>
    </xf>
    <xf borderId="30" fillId="21" fontId="1" numFmtId="167" xfId="0" applyAlignment="1" applyBorder="1" applyFont="1" applyNumberFormat="1">
      <alignment vertical="center"/>
    </xf>
    <xf borderId="30" fillId="21" fontId="2" numFmtId="0" xfId="0" applyAlignment="1" applyBorder="1" applyFont="1">
      <alignment vertical="center"/>
    </xf>
    <xf borderId="31" fillId="21" fontId="2" numFmtId="0" xfId="0" applyAlignment="1" applyBorder="1" applyFont="1">
      <alignment vertical="center"/>
    </xf>
    <xf borderId="30" fillId="9" fontId="1" numFmtId="167" xfId="0" applyAlignment="1" applyBorder="1" applyFont="1" applyNumberFormat="1">
      <alignment vertical="center"/>
    </xf>
    <xf quotePrefix="1" borderId="30" fillId="22" fontId="16" numFmtId="0" xfId="0" applyAlignment="1" applyBorder="1" applyFont="1">
      <alignment readingOrder="0" vertical="center"/>
    </xf>
    <xf borderId="21" fillId="0" fontId="1" numFmtId="164" xfId="0" applyAlignment="1" applyBorder="1" applyFont="1" applyNumberFormat="1">
      <alignment vertical="center"/>
    </xf>
    <xf borderId="22" fillId="0" fontId="1" numFmtId="164" xfId="0" applyAlignment="1" applyBorder="1" applyFont="1" applyNumberFormat="1">
      <alignment vertical="center"/>
    </xf>
    <xf borderId="32" fillId="7" fontId="2" numFmtId="0" xfId="0" applyAlignment="1" applyBorder="1" applyFont="1">
      <alignment horizontal="right" vertical="center"/>
    </xf>
    <xf quotePrefix="1" borderId="32" fillId="7" fontId="2" numFmtId="0" xfId="0" applyAlignment="1" applyBorder="1" applyFont="1">
      <alignment vertical="center"/>
    </xf>
    <xf borderId="32" fillId="7" fontId="2" numFmtId="0" xfId="0" applyAlignment="1" applyBorder="1" applyFont="1">
      <alignment vertical="center"/>
    </xf>
    <xf borderId="33" fillId="7" fontId="2" numFmtId="0" xfId="0" applyAlignment="1" applyBorder="1" applyFont="1">
      <alignment vertical="center"/>
    </xf>
    <xf borderId="34" fillId="2" fontId="2" numFmtId="0" xfId="0" applyAlignment="1" applyBorder="1" applyFont="1">
      <alignment horizontal="center" shrinkToFit="0" vertical="center" wrapText="1"/>
    </xf>
    <xf borderId="34" fillId="2" fontId="2" numFmtId="166" xfId="0" applyAlignment="1" applyBorder="1" applyFont="1" applyNumberFormat="1">
      <alignment horizontal="right" shrinkToFit="0" vertical="center" wrapText="1"/>
    </xf>
    <xf borderId="32" fillId="2" fontId="2" numFmtId="166" xfId="0" applyAlignment="1" applyBorder="1" applyFont="1" applyNumberFormat="1">
      <alignment horizontal="right" vertical="center"/>
    </xf>
    <xf borderId="34" fillId="2" fontId="2" numFmtId="165" xfId="0" applyAlignment="1" applyBorder="1" applyFont="1" applyNumberFormat="1">
      <alignment horizontal="right" shrinkToFit="0" vertical="center" wrapText="1"/>
    </xf>
    <xf borderId="34" fillId="2" fontId="2" numFmtId="165" xfId="0" applyAlignment="1" applyBorder="1" applyFont="1" applyNumberFormat="1">
      <alignment vertical="center"/>
    </xf>
    <xf borderId="34" fillId="0" fontId="2" numFmtId="165" xfId="0" applyAlignment="1" applyBorder="1" applyFont="1" applyNumberFormat="1">
      <alignment vertical="center"/>
    </xf>
    <xf borderId="35" fillId="7" fontId="1" numFmtId="164" xfId="0" applyAlignment="1" applyBorder="1" applyFont="1" applyNumberFormat="1">
      <alignment vertical="center"/>
    </xf>
    <xf borderId="36" fillId="7" fontId="1" numFmtId="164" xfId="0" applyAlignment="1" applyBorder="1" applyFont="1" applyNumberFormat="1">
      <alignment vertical="center"/>
    </xf>
    <xf borderId="36" fillId="7" fontId="2" numFmtId="0" xfId="0" applyAlignment="1" applyBorder="1" applyFont="1">
      <alignment vertical="center"/>
    </xf>
    <xf borderId="37" fillId="7" fontId="2" numFmtId="0" xfId="0" applyAlignment="1" applyBorder="1" applyFont="1">
      <alignment vertical="center"/>
    </xf>
    <xf borderId="38" fillId="7" fontId="2" numFmtId="0" xfId="0" applyAlignment="1" applyBorder="1" applyFont="1">
      <alignment horizontal="left" vertical="center"/>
    </xf>
    <xf borderId="38" fillId="7" fontId="2" numFmtId="166" xfId="0" applyAlignment="1" applyBorder="1" applyFont="1" applyNumberFormat="1">
      <alignment horizontal="left" vertical="center"/>
    </xf>
    <xf borderId="38" fillId="7" fontId="2" numFmtId="165" xfId="0" applyAlignment="1" applyBorder="1" applyFont="1" applyNumberFormat="1">
      <alignment horizontal="left" vertical="center"/>
    </xf>
    <xf borderId="38" fillId="7" fontId="2" numFmtId="165" xfId="0" applyAlignment="1" applyBorder="1" applyFont="1" applyNumberFormat="1">
      <alignment vertical="center"/>
    </xf>
    <xf borderId="29" fillId="24" fontId="1" numFmtId="164" xfId="0" applyAlignment="1" applyBorder="1" applyFill="1" applyFont="1" applyNumberFormat="1">
      <alignment vertical="center"/>
    </xf>
    <xf borderId="30" fillId="24" fontId="1" numFmtId="164" xfId="0" applyAlignment="1" applyBorder="1" applyFont="1" applyNumberFormat="1">
      <alignment vertical="center"/>
    </xf>
    <xf borderId="30" fillId="24" fontId="1" numFmtId="0" xfId="0" applyAlignment="1" applyBorder="1" applyFont="1">
      <alignment vertical="center"/>
    </xf>
    <xf borderId="31" fillId="24" fontId="1" numFmtId="0" xfId="0" applyAlignment="1" applyBorder="1" applyFont="1">
      <alignment vertical="center"/>
    </xf>
    <xf borderId="19" fillId="24" fontId="1" numFmtId="0" xfId="0" applyAlignment="1" applyBorder="1" applyFont="1">
      <alignment horizontal="center" vertical="center"/>
    </xf>
    <xf borderId="19" fillId="24" fontId="1" numFmtId="166" xfId="0" applyAlignment="1" applyBorder="1" applyFont="1" applyNumberFormat="1">
      <alignment horizontal="center" vertical="center"/>
    </xf>
    <xf borderId="19" fillId="24" fontId="1" numFmtId="165" xfId="0" applyAlignment="1" applyBorder="1" applyFont="1" applyNumberFormat="1">
      <alignment horizontal="center" vertical="center"/>
    </xf>
    <xf borderId="19" fillId="24" fontId="2" numFmtId="165" xfId="0" applyAlignment="1" applyBorder="1" applyFont="1" applyNumberFormat="1">
      <alignment horizontal="right" shrinkToFit="0" vertical="center" wrapText="1"/>
    </xf>
    <xf borderId="29" fillId="22" fontId="1" numFmtId="164" xfId="0" applyAlignment="1" applyBorder="1" applyFont="1" applyNumberFormat="1">
      <alignment vertical="center"/>
    </xf>
    <xf borderId="30" fillId="22" fontId="1" numFmtId="0" xfId="0" applyAlignment="1" applyBorder="1" applyFont="1">
      <alignment vertical="center"/>
    </xf>
    <xf borderId="30" fillId="22" fontId="1" numFmtId="164" xfId="0" applyAlignment="1" applyBorder="1" applyFont="1" applyNumberFormat="1">
      <alignment vertical="center"/>
    </xf>
    <xf borderId="31" fillId="22" fontId="1" numFmtId="0" xfId="0" applyAlignment="1" applyBorder="1" applyFont="1">
      <alignment vertical="center"/>
    </xf>
    <xf borderId="19" fillId="22" fontId="1" numFmtId="0" xfId="0" applyAlignment="1" applyBorder="1" applyFont="1">
      <alignment horizontal="center" shrinkToFit="0" vertical="center" wrapText="1"/>
    </xf>
    <xf borderId="19" fillId="22" fontId="1" numFmtId="166" xfId="0" applyAlignment="1" applyBorder="1" applyFont="1" applyNumberFormat="1">
      <alignment horizontal="right" shrinkToFit="0" vertical="center" wrapText="1"/>
    </xf>
    <xf borderId="19" fillId="22" fontId="1" numFmtId="165" xfId="0" applyAlignment="1" applyBorder="1" applyFont="1" applyNumberFormat="1">
      <alignment horizontal="right" shrinkToFit="0" vertical="center" wrapText="1"/>
    </xf>
    <xf borderId="19" fillId="22" fontId="1" numFmtId="165" xfId="0" applyAlignment="1" applyBorder="1" applyFont="1" applyNumberFormat="1">
      <alignment vertical="center"/>
    </xf>
    <xf borderId="29" fillId="25" fontId="1" numFmtId="164" xfId="0" applyAlignment="1" applyBorder="1" applyFill="1" applyFont="1" applyNumberFormat="1">
      <alignment vertical="center"/>
    </xf>
    <xf borderId="30" fillId="25" fontId="1" numFmtId="164" xfId="0" applyAlignment="1" applyBorder="1" applyFont="1" applyNumberFormat="1">
      <alignment vertical="center"/>
    </xf>
    <xf borderId="30" fillId="25" fontId="1" numFmtId="0" xfId="0" applyAlignment="1" applyBorder="1" applyFont="1">
      <alignment vertical="center"/>
    </xf>
    <xf borderId="31" fillId="25" fontId="1" numFmtId="0" xfId="0" applyAlignment="1" applyBorder="1" applyFont="1">
      <alignment vertical="center"/>
    </xf>
    <xf borderId="19" fillId="25" fontId="2" numFmtId="0" xfId="0" applyAlignment="1" applyBorder="1" applyFont="1">
      <alignment horizontal="center" shrinkToFit="0" vertical="center" wrapText="1"/>
    </xf>
    <xf borderId="19" fillId="25" fontId="2" numFmtId="166" xfId="0" applyAlignment="1" applyBorder="1" applyFont="1" applyNumberFormat="1">
      <alignment horizontal="right" shrinkToFit="0" vertical="center" wrapText="1"/>
    </xf>
    <xf borderId="19" fillId="25" fontId="2" numFmtId="165" xfId="0" applyAlignment="1" applyBorder="1" applyFont="1" applyNumberFormat="1">
      <alignment horizontal="right" shrinkToFit="0" vertical="center" wrapText="1"/>
    </xf>
    <xf borderId="19" fillId="25" fontId="1" numFmtId="165" xfId="0" applyAlignment="1" applyBorder="1" applyFont="1" applyNumberFormat="1">
      <alignment vertical="center"/>
    </xf>
    <xf borderId="18" fillId="0" fontId="2" numFmtId="0" xfId="0" applyAlignment="1" applyBorder="1" applyFont="1">
      <alignment readingOrder="0" vertical="center"/>
    </xf>
    <xf borderId="19" fillId="2" fontId="2" numFmtId="0" xfId="0" applyAlignment="1" applyBorder="1" applyFont="1">
      <alignment horizontal="center" readingOrder="0" shrinkToFit="0" vertical="center" wrapText="1"/>
    </xf>
    <xf borderId="20" fillId="0" fontId="2" numFmtId="0" xfId="0" applyAlignment="1" applyBorder="1" applyFont="1">
      <alignment readingOrder="0" vertical="center"/>
    </xf>
    <xf borderId="19" fillId="4" fontId="2" numFmtId="166" xfId="0" applyAlignment="1" applyBorder="1" applyFont="1" applyNumberFormat="1">
      <alignment horizontal="right" shrinkToFit="0" wrapText="1"/>
    </xf>
    <xf borderId="19" fillId="25" fontId="1" numFmtId="0" xfId="0" applyAlignment="1" applyBorder="1" applyFont="1">
      <alignment horizontal="center" shrinkToFit="1" vertical="center" wrapText="0"/>
    </xf>
    <xf borderId="19" fillId="25" fontId="1" numFmtId="166" xfId="0" applyAlignment="1" applyBorder="1" applyFont="1" applyNumberFormat="1">
      <alignment horizontal="right" shrinkToFit="0" vertical="center" wrapText="1"/>
    </xf>
    <xf borderId="19" fillId="25" fontId="1" numFmtId="165" xfId="0" applyAlignment="1" applyBorder="1" applyFont="1" applyNumberFormat="1">
      <alignment horizontal="right" shrinkToFit="0" vertical="center" wrapText="1"/>
    </xf>
    <xf borderId="19" fillId="25" fontId="1" numFmtId="0" xfId="0" applyAlignment="1" applyBorder="1" applyFont="1">
      <alignment horizontal="center" shrinkToFit="0" vertical="center" wrapText="1"/>
    </xf>
    <xf borderId="32" fillId="4" fontId="2" numFmtId="166" xfId="0" applyAlignment="1" applyBorder="1" applyFont="1" applyNumberFormat="1">
      <alignment horizontal="right" vertical="center"/>
    </xf>
    <xf borderId="34" fillId="0" fontId="2" numFmtId="165" xfId="0" applyAlignment="1" applyBorder="1" applyFont="1" applyNumberFormat="1">
      <alignment horizontal="right" shrinkToFit="0" vertical="center" wrapText="1"/>
    </xf>
    <xf borderId="30" fillId="25" fontId="1" numFmtId="164" xfId="0" applyAlignment="1" applyBorder="1" applyFont="1" applyNumberFormat="1">
      <alignment horizontal="left" vertical="center"/>
    </xf>
    <xf borderId="19" fillId="2" fontId="1" numFmtId="165" xfId="0" applyAlignment="1" applyBorder="1" applyFont="1" applyNumberFormat="1">
      <alignment horizontal="right" shrinkToFit="0" vertical="center" wrapText="1"/>
    </xf>
    <xf borderId="18" fillId="0" fontId="1" numFmtId="0" xfId="0" applyAlignment="1" applyBorder="1" applyFont="1">
      <alignment vertical="center"/>
    </xf>
    <xf borderId="19" fillId="0" fontId="1" numFmtId="165" xfId="0" applyAlignment="1" applyBorder="1" applyFont="1" applyNumberFormat="1">
      <alignment vertical="center"/>
    </xf>
    <xf quotePrefix="1" borderId="20" fillId="0" fontId="2" numFmtId="0" xfId="0" applyAlignment="1" applyBorder="1" applyFont="1">
      <alignment readingOrder="0" vertical="center"/>
    </xf>
    <xf borderId="30" fillId="22" fontId="1" numFmtId="164" xfId="0" applyAlignment="1" applyBorder="1" applyFont="1" applyNumberFormat="1">
      <alignment horizontal="left" vertical="center"/>
    </xf>
    <xf borderId="35" fillId="26" fontId="1" numFmtId="164" xfId="0" applyAlignment="1" applyBorder="1" applyFill="1" applyFont="1" applyNumberFormat="1">
      <alignment vertical="center"/>
    </xf>
    <xf borderId="36" fillId="26" fontId="1" numFmtId="164" xfId="0" applyAlignment="1" applyBorder="1" applyFont="1" applyNumberFormat="1">
      <alignment vertical="center"/>
    </xf>
    <xf borderId="36" fillId="26" fontId="1" numFmtId="0" xfId="0" applyAlignment="1" applyBorder="1" applyFont="1">
      <alignment vertical="center"/>
    </xf>
    <xf borderId="37" fillId="26" fontId="1" numFmtId="0" xfId="0" applyAlignment="1" applyBorder="1" applyFont="1">
      <alignment vertical="center"/>
    </xf>
    <xf borderId="38" fillId="26" fontId="1" numFmtId="0" xfId="0" applyAlignment="1" applyBorder="1" applyFont="1">
      <alignment horizontal="left" vertical="center"/>
    </xf>
    <xf borderId="38" fillId="26" fontId="1" numFmtId="166" xfId="0" applyAlignment="1" applyBorder="1" applyFont="1" applyNumberFormat="1">
      <alignment horizontal="left" vertical="center"/>
    </xf>
    <xf borderId="38" fillId="26" fontId="1" numFmtId="165" xfId="0" applyAlignment="1" applyBorder="1" applyFont="1" applyNumberFormat="1">
      <alignment horizontal="left" vertical="center"/>
    </xf>
    <xf borderId="38" fillId="26" fontId="1" numFmtId="165" xfId="0" applyAlignment="1" applyBorder="1" applyFont="1" applyNumberFormat="1">
      <alignment vertical="center"/>
    </xf>
    <xf borderId="38" fillId="26" fontId="2" numFmtId="165" xfId="0" applyAlignment="1" applyBorder="1" applyFont="1" applyNumberFormat="1">
      <alignment vertical="center"/>
    </xf>
    <xf borderId="29" fillId="27" fontId="1" numFmtId="164" xfId="0" applyAlignment="1" applyBorder="1" applyFill="1" applyFont="1" applyNumberFormat="1">
      <alignment vertical="center"/>
    </xf>
    <xf borderId="30" fillId="27" fontId="1" numFmtId="164" xfId="0" applyAlignment="1" applyBorder="1" applyFont="1" applyNumberFormat="1">
      <alignment vertical="center"/>
    </xf>
    <xf borderId="30" fillId="27" fontId="1" numFmtId="0" xfId="0" applyAlignment="1" applyBorder="1" applyFont="1">
      <alignment vertical="center"/>
    </xf>
    <xf borderId="31" fillId="27" fontId="1" numFmtId="0" xfId="0" applyAlignment="1" applyBorder="1" applyFont="1">
      <alignment vertical="center"/>
    </xf>
    <xf borderId="19" fillId="27" fontId="1" numFmtId="0" xfId="0" applyAlignment="1" applyBorder="1" applyFont="1">
      <alignment horizontal="center" vertical="center"/>
    </xf>
    <xf borderId="19" fillId="27" fontId="1" numFmtId="166" xfId="0" applyAlignment="1" applyBorder="1" applyFont="1" applyNumberFormat="1">
      <alignment vertical="center"/>
    </xf>
    <xf borderId="19" fillId="27" fontId="1" numFmtId="165" xfId="0" applyAlignment="1" applyBorder="1" applyFont="1" applyNumberFormat="1">
      <alignment vertical="center"/>
    </xf>
    <xf borderId="19" fillId="27" fontId="2" numFmtId="165" xfId="0" applyAlignment="1" applyBorder="1" applyFont="1" applyNumberFormat="1">
      <alignment horizontal="right" shrinkToFit="0" vertical="center" wrapText="1"/>
    </xf>
    <xf borderId="29" fillId="28" fontId="1" numFmtId="164" xfId="0" applyAlignment="1" applyBorder="1" applyFill="1" applyFont="1" applyNumberFormat="1">
      <alignment vertical="center"/>
    </xf>
    <xf borderId="30" fillId="28" fontId="1" numFmtId="0" xfId="0" applyAlignment="1" applyBorder="1" applyFont="1">
      <alignment vertical="center"/>
    </xf>
    <xf borderId="31" fillId="28" fontId="1" numFmtId="0" xfId="0" applyAlignment="1" applyBorder="1" applyFont="1">
      <alignment vertical="center"/>
    </xf>
    <xf borderId="19" fillId="28" fontId="1" numFmtId="0" xfId="0" applyAlignment="1" applyBorder="1" applyFont="1">
      <alignment horizontal="center" shrinkToFit="0" vertical="center" wrapText="1"/>
    </xf>
    <xf borderId="19" fillId="28" fontId="1" numFmtId="166" xfId="0" applyAlignment="1" applyBorder="1" applyFont="1" applyNumberFormat="1">
      <alignment horizontal="right" shrinkToFit="0" vertical="center" wrapText="1"/>
    </xf>
    <xf borderId="19" fillId="28" fontId="1" numFmtId="165" xfId="0" applyAlignment="1" applyBorder="1" applyFont="1" applyNumberFormat="1">
      <alignment horizontal="right" shrinkToFit="0" vertical="center" wrapText="1"/>
    </xf>
    <xf borderId="19" fillId="28" fontId="1" numFmtId="165" xfId="0" applyAlignment="1" applyBorder="1" applyFont="1" applyNumberFormat="1">
      <alignment vertical="center"/>
    </xf>
    <xf borderId="31" fillId="27" fontId="1" numFmtId="164" xfId="0" applyAlignment="1" applyBorder="1" applyFont="1" applyNumberFormat="1">
      <alignment vertical="center"/>
    </xf>
    <xf borderId="19" fillId="27" fontId="1" numFmtId="0" xfId="0" applyAlignment="1" applyBorder="1" applyFont="1">
      <alignment horizontal="left" vertical="center"/>
    </xf>
    <xf borderId="19" fillId="27" fontId="1" numFmtId="166" xfId="0" applyAlignment="1" applyBorder="1" applyFont="1" applyNumberFormat="1">
      <alignment horizontal="right" vertical="center"/>
    </xf>
    <xf borderId="19" fillId="27" fontId="1" numFmtId="165" xfId="0" applyAlignment="1" applyBorder="1" applyFont="1" applyNumberFormat="1">
      <alignment horizontal="right" vertical="center"/>
    </xf>
    <xf borderId="29" fillId="28" fontId="1" numFmtId="167" xfId="0" applyAlignment="1" applyBorder="1" applyFont="1" applyNumberFormat="1">
      <alignment vertical="center"/>
    </xf>
    <xf borderId="30" fillId="28" fontId="1" numFmtId="167" xfId="0" applyAlignment="1" applyBorder="1" applyFont="1" applyNumberFormat="1">
      <alignment vertical="center"/>
    </xf>
    <xf borderId="30" fillId="28" fontId="1" numFmtId="164" xfId="0" applyAlignment="1" applyBorder="1" applyFont="1" applyNumberFormat="1">
      <alignment vertical="center"/>
    </xf>
    <xf borderId="31" fillId="2" fontId="2" numFmtId="166" xfId="0" applyAlignment="1" applyBorder="1" applyFont="1" applyNumberFormat="1">
      <alignment horizontal="right" vertical="center"/>
    </xf>
    <xf borderId="39" fillId="28" fontId="1" numFmtId="167" xfId="0" applyAlignment="1" applyBorder="1" applyFont="1" applyNumberFormat="1">
      <alignment vertical="center"/>
    </xf>
    <xf borderId="40" fillId="28" fontId="1" numFmtId="0" xfId="0" applyAlignment="1" applyBorder="1" applyFont="1">
      <alignment vertical="center"/>
    </xf>
    <xf borderId="40" fillId="28" fontId="1" numFmtId="167" xfId="0" applyAlignment="1" applyBorder="1" applyFont="1" applyNumberFormat="1">
      <alignment vertical="center"/>
    </xf>
    <xf borderId="40" fillId="28" fontId="1" numFmtId="164" xfId="0" applyAlignment="1" applyBorder="1" applyFont="1" applyNumberFormat="1">
      <alignment vertical="center"/>
    </xf>
    <xf borderId="41" fillId="28" fontId="1" numFmtId="0" xfId="0" applyAlignment="1" applyBorder="1" applyFont="1">
      <alignment vertical="center"/>
    </xf>
    <xf borderId="42" fillId="28" fontId="1" numFmtId="0" xfId="0" applyAlignment="1" applyBorder="1" applyFont="1">
      <alignment horizontal="center" shrinkToFit="0" vertical="center" wrapText="1"/>
    </xf>
    <xf borderId="42" fillId="28" fontId="1" numFmtId="166" xfId="0" applyAlignment="1" applyBorder="1" applyFont="1" applyNumberFormat="1">
      <alignment horizontal="right" shrinkToFit="0" vertical="center" wrapText="1"/>
    </xf>
    <xf borderId="42" fillId="28" fontId="1" numFmtId="165" xfId="0" applyAlignment="1" applyBorder="1" applyFont="1" applyNumberFormat="1">
      <alignment horizontal="right" shrinkToFit="0" vertical="center" wrapText="1"/>
    </xf>
    <xf borderId="42" fillId="28" fontId="1" numFmtId="165" xfId="0" applyAlignment="1" applyBorder="1" applyFont="1" applyNumberFormat="1">
      <alignment vertical="center"/>
    </xf>
    <xf borderId="15" fillId="0" fontId="2" numFmtId="166" xfId="0" applyAlignment="1" applyBorder="1" applyFont="1" applyNumberFormat="1">
      <alignment horizontal="right" shrinkToFit="0" vertical="center" wrapText="1"/>
    </xf>
    <xf borderId="15" fillId="0" fontId="2" numFmtId="165" xfId="0" applyAlignment="1" applyBorder="1" applyFont="1" applyNumberFormat="1">
      <alignment horizontal="right" shrinkToFit="0" vertical="center" wrapText="1"/>
    </xf>
    <xf borderId="30" fillId="28" fontId="1" numFmtId="0" xfId="0" applyAlignment="1" applyBorder="1" applyFont="1">
      <alignment readingOrder="0" vertical="center"/>
    </xf>
    <xf borderId="19" fillId="28" fontId="1" numFmtId="166" xfId="0" applyAlignment="1" applyBorder="1" applyFont="1" applyNumberFormat="1">
      <alignment horizontal="center" vertical="center"/>
    </xf>
    <xf borderId="18" fillId="0" fontId="17" numFmtId="0" xfId="0" applyAlignment="1" applyBorder="1" applyFont="1">
      <alignment vertical="center"/>
    </xf>
    <xf borderId="19" fillId="2" fontId="2" numFmtId="166" xfId="0" applyAlignment="1" applyBorder="1" applyFont="1" applyNumberFormat="1">
      <alignment horizontal="center" vertical="center"/>
    </xf>
    <xf borderId="19" fillId="2" fontId="2" numFmtId="165" xfId="0" applyAlignment="1" applyBorder="1" applyFont="1" applyNumberFormat="1">
      <alignment horizontal="center" vertical="center"/>
    </xf>
    <xf borderId="19" fillId="0" fontId="2" numFmtId="165" xfId="0" applyAlignment="1" applyBorder="1" applyFont="1" applyNumberFormat="1">
      <alignment horizontal="left" shrinkToFit="1" vertical="center" wrapText="0"/>
    </xf>
    <xf borderId="19" fillId="0" fontId="2" numFmtId="0" xfId="0" applyAlignment="1" applyBorder="1" applyFont="1">
      <alignment horizontal="center" readingOrder="0" shrinkToFit="0" vertical="center" wrapText="1"/>
    </xf>
    <xf borderId="19" fillId="2" fontId="2" numFmtId="166" xfId="0" applyAlignment="1" applyBorder="1" applyFont="1" applyNumberFormat="1">
      <alignment horizontal="center" readingOrder="0" vertical="center"/>
    </xf>
    <xf borderId="22" fillId="0" fontId="1" numFmtId="0" xfId="0" applyAlignment="1" applyBorder="1" applyFont="1">
      <alignment vertical="center"/>
    </xf>
    <xf borderId="22" fillId="0" fontId="2" numFmtId="0" xfId="0" applyAlignment="1" applyBorder="1" applyFont="1">
      <alignment vertical="center"/>
    </xf>
    <xf borderId="23" fillId="0" fontId="2" numFmtId="0" xfId="0" applyAlignment="1" applyBorder="1" applyFont="1">
      <alignment vertical="center"/>
    </xf>
    <xf borderId="34" fillId="0" fontId="2" numFmtId="0" xfId="0" applyAlignment="1" applyBorder="1" applyFont="1">
      <alignment horizontal="center" shrinkToFit="0" vertical="center" wrapText="1"/>
    </xf>
    <xf borderId="34" fillId="2" fontId="2" numFmtId="166" xfId="0" applyAlignment="1" applyBorder="1" applyFont="1" applyNumberFormat="1">
      <alignment horizontal="center" readingOrder="0" vertical="center"/>
    </xf>
    <xf borderId="34" fillId="2" fontId="2" numFmtId="165" xfId="0" applyAlignment="1" applyBorder="1" applyFont="1" applyNumberFormat="1">
      <alignment horizontal="center" vertical="center"/>
    </xf>
    <xf borderId="34" fillId="0" fontId="2" numFmtId="165" xfId="0" applyAlignment="1" applyBorder="1" applyFont="1" applyNumberFormat="1">
      <alignment horizontal="left" shrinkToFit="1" vertical="center" wrapText="0"/>
    </xf>
    <xf borderId="35" fillId="29" fontId="1" numFmtId="0" xfId="0" applyAlignment="1" applyBorder="1" applyFill="1" applyFont="1">
      <alignment vertical="center"/>
    </xf>
    <xf borderId="36" fillId="29" fontId="1" numFmtId="0" xfId="0" applyAlignment="1" applyBorder="1" applyFont="1">
      <alignment vertical="center"/>
    </xf>
    <xf borderId="37" fillId="29" fontId="1" numFmtId="0" xfId="0" applyAlignment="1" applyBorder="1" applyFont="1">
      <alignment vertical="center"/>
    </xf>
    <xf borderId="38" fillId="29" fontId="1" numFmtId="0" xfId="0" applyAlignment="1" applyBorder="1" applyFont="1">
      <alignment vertical="center"/>
    </xf>
    <xf borderId="38" fillId="29" fontId="1" numFmtId="166" xfId="0" applyAlignment="1" applyBorder="1" applyFont="1" applyNumberFormat="1">
      <alignment vertical="center"/>
    </xf>
    <xf borderId="38" fillId="29" fontId="1" numFmtId="165" xfId="0" applyAlignment="1" applyBorder="1" applyFont="1" applyNumberFormat="1">
      <alignment vertical="center"/>
    </xf>
    <xf borderId="29" fillId="30" fontId="1" numFmtId="0" xfId="0" applyAlignment="1" applyBorder="1" applyFill="1" applyFont="1">
      <alignment vertical="center"/>
    </xf>
    <xf borderId="30" fillId="30" fontId="1" numFmtId="0" xfId="0" applyAlignment="1" applyBorder="1" applyFont="1">
      <alignment vertical="center"/>
    </xf>
    <xf borderId="31" fillId="30" fontId="1" numFmtId="0" xfId="0" applyAlignment="1" applyBorder="1" applyFont="1">
      <alignment vertical="center"/>
    </xf>
    <xf borderId="19" fillId="30" fontId="1" numFmtId="0" xfId="0" applyAlignment="1" applyBorder="1" applyFont="1">
      <alignment horizontal="left" vertical="center"/>
    </xf>
    <xf borderId="19" fillId="30" fontId="1" numFmtId="166" xfId="0" applyAlignment="1" applyBorder="1" applyFont="1" applyNumberFormat="1">
      <alignment horizontal="left" vertical="center"/>
    </xf>
    <xf borderId="19" fillId="30" fontId="1" numFmtId="165" xfId="0" applyAlignment="1" applyBorder="1" applyFont="1" applyNumberFormat="1">
      <alignment horizontal="left" vertical="center"/>
    </xf>
    <xf borderId="19" fillId="30" fontId="1" numFmtId="165" xfId="0" applyAlignment="1" applyBorder="1" applyFont="1" applyNumberFormat="1">
      <alignment vertical="center"/>
    </xf>
    <xf borderId="29" fillId="31" fontId="1" numFmtId="0" xfId="0" applyAlignment="1" applyBorder="1" applyFill="1" applyFont="1">
      <alignment vertical="center"/>
    </xf>
    <xf borderId="30" fillId="31" fontId="1" numFmtId="164" xfId="0" applyAlignment="1" applyBorder="1" applyFont="1" applyNumberFormat="1">
      <alignment vertical="center"/>
    </xf>
    <xf borderId="30" fillId="31" fontId="1" numFmtId="0" xfId="0" applyAlignment="1" applyBorder="1" applyFont="1">
      <alignment vertical="center"/>
    </xf>
    <xf borderId="31" fillId="31" fontId="1" numFmtId="0" xfId="0" applyAlignment="1" applyBorder="1" applyFont="1">
      <alignment vertical="center"/>
    </xf>
    <xf borderId="19" fillId="31" fontId="1" numFmtId="0" xfId="0" applyAlignment="1" applyBorder="1" applyFont="1">
      <alignment horizontal="center" vertical="center"/>
    </xf>
    <xf borderId="19" fillId="31" fontId="1" numFmtId="166" xfId="0" applyAlignment="1" applyBorder="1" applyFont="1" applyNumberFormat="1">
      <alignment horizontal="center" vertical="center"/>
    </xf>
    <xf borderId="19" fillId="31" fontId="1" numFmtId="165" xfId="0" applyAlignment="1" applyBorder="1" applyFont="1" applyNumberFormat="1">
      <alignment horizontal="right" shrinkToFit="0" vertical="center" wrapText="1"/>
    </xf>
    <xf borderId="19" fillId="31" fontId="1" numFmtId="165" xfId="0" applyAlignment="1" applyBorder="1" applyFont="1" applyNumberFormat="1">
      <alignment vertical="center"/>
    </xf>
    <xf borderId="31" fillId="2" fontId="2" numFmtId="0" xfId="0" applyAlignment="1" applyBorder="1" applyFont="1">
      <alignment horizontal="left" readingOrder="0" vertical="center"/>
    </xf>
    <xf borderId="17" fillId="2" fontId="1" numFmtId="164" xfId="0" applyAlignment="1" applyBorder="1" applyFont="1" applyNumberFormat="1">
      <alignment vertical="center"/>
    </xf>
    <xf borderId="18" fillId="2" fontId="1" numFmtId="164" xfId="0" applyAlignment="1" applyBorder="1" applyFont="1" applyNumberFormat="1">
      <alignment vertical="center"/>
    </xf>
    <xf borderId="30" fillId="2" fontId="18" numFmtId="0" xfId="0" applyAlignment="1" applyBorder="1" applyFont="1">
      <alignment vertical="center"/>
    </xf>
    <xf borderId="31" fillId="2" fontId="2" numFmtId="0" xfId="0" applyAlignment="1" applyBorder="1" applyFont="1">
      <alignment readingOrder="0" vertical="center"/>
    </xf>
    <xf borderId="19" fillId="6" fontId="2" numFmtId="165" xfId="0" applyAlignment="1" applyBorder="1" applyFont="1" applyNumberFormat="1">
      <alignment readingOrder="0" vertical="center"/>
    </xf>
    <xf quotePrefix="1" borderId="20" fillId="2" fontId="2" numFmtId="0" xfId="0" applyAlignment="1" applyBorder="1" applyFont="1">
      <alignment readingOrder="0" vertical="center"/>
    </xf>
    <xf borderId="20" fillId="2" fontId="2" numFmtId="0" xfId="0" applyAlignment="1" applyBorder="1" applyFont="1">
      <alignment vertical="center"/>
    </xf>
    <xf borderId="30" fillId="31" fontId="2" numFmtId="0" xfId="0" applyAlignment="1" applyBorder="1" applyFont="1">
      <alignment vertical="center"/>
    </xf>
    <xf borderId="31" fillId="31" fontId="2" numFmtId="0" xfId="0" applyAlignment="1" applyBorder="1" applyFont="1">
      <alignment vertical="center"/>
    </xf>
    <xf borderId="18" fillId="31" fontId="1" numFmtId="0" xfId="0" applyAlignment="1" applyBorder="1" applyFont="1">
      <alignment vertical="center"/>
    </xf>
    <xf borderId="18" fillId="31" fontId="2" numFmtId="0" xfId="0" applyAlignment="1" applyBorder="1" applyFont="1">
      <alignment vertical="center"/>
    </xf>
    <xf borderId="20" fillId="31" fontId="2" numFmtId="0" xfId="0" applyAlignment="1" applyBorder="1" applyFont="1">
      <alignment vertical="center"/>
    </xf>
    <xf borderId="20" fillId="31" fontId="1" numFmtId="0" xfId="0" applyAlignment="1" applyBorder="1" applyFont="1">
      <alignment vertical="center"/>
    </xf>
    <xf borderId="20" fillId="0" fontId="1" numFmtId="0" xfId="0" applyAlignment="1" applyBorder="1" applyFont="1">
      <alignment vertical="center"/>
    </xf>
    <xf borderId="19" fillId="2" fontId="1" numFmtId="0" xfId="0" applyAlignment="1" applyBorder="1" applyFont="1">
      <alignment horizontal="center" readingOrder="0" shrinkToFit="0" vertical="center" wrapText="1"/>
    </xf>
    <xf quotePrefix="1" borderId="18" fillId="0" fontId="2" numFmtId="0" xfId="0" applyAlignment="1" applyBorder="1" applyFont="1">
      <alignment horizontal="left" vertical="center"/>
    </xf>
    <xf borderId="19" fillId="2" fontId="1" numFmtId="166" xfId="0" applyAlignment="1" applyBorder="1" applyFont="1" applyNumberFormat="1">
      <alignment horizontal="center" vertical="center"/>
    </xf>
    <xf borderId="19" fillId="15" fontId="1" numFmtId="166" xfId="0" applyAlignment="1" applyBorder="1" applyFont="1" applyNumberFormat="1">
      <alignment horizontal="right" shrinkToFit="0" wrapText="1"/>
    </xf>
    <xf borderId="19" fillId="4" fontId="1" numFmtId="166" xfId="0" applyAlignment="1" applyBorder="1" applyFont="1" applyNumberFormat="1">
      <alignment horizontal="right" shrinkToFit="0" wrapText="1"/>
    </xf>
    <xf borderId="19" fillId="4" fontId="2" numFmtId="166" xfId="0" applyAlignment="1" applyBorder="1" applyFont="1" applyNumberFormat="1">
      <alignment horizontal="right" readingOrder="0" shrinkToFit="0" wrapText="1"/>
    </xf>
    <xf borderId="22" fillId="0" fontId="1" numFmtId="164" xfId="0" applyAlignment="1" applyBorder="1" applyFont="1" applyNumberFormat="1">
      <alignment horizontal="left" vertical="center"/>
    </xf>
    <xf borderId="22" fillId="0" fontId="2" numFmtId="0" xfId="0" applyAlignment="1" applyBorder="1" applyFont="1">
      <alignment horizontal="right" vertical="center"/>
    </xf>
    <xf quotePrefix="1" borderId="23" fillId="0" fontId="2" numFmtId="0" xfId="0" applyAlignment="1" applyBorder="1" applyFont="1">
      <alignment vertical="center"/>
    </xf>
    <xf borderId="34" fillId="2" fontId="2" numFmtId="166" xfId="0" applyAlignment="1" applyBorder="1" applyFont="1" applyNumberFormat="1">
      <alignment horizontal="center" vertical="center"/>
    </xf>
    <xf quotePrefix="1" borderId="18" fillId="0" fontId="2" numFmtId="0" xfId="0" applyAlignment="1" applyBorder="1" applyFont="1">
      <alignment horizontal="left" readingOrder="0" vertical="center"/>
    </xf>
    <xf borderId="19" fillId="0" fontId="2" numFmtId="166" xfId="0" applyAlignment="1" applyBorder="1" applyFont="1" applyNumberFormat="1">
      <alignment horizontal="center" vertical="center"/>
    </xf>
    <xf borderId="19" fillId="2" fontId="1" numFmtId="0" xfId="0" applyAlignment="1" applyBorder="1" applyFont="1">
      <alignment horizontal="center" shrinkToFit="0" vertical="center" wrapText="1"/>
    </xf>
    <xf borderId="17" fillId="0" fontId="2" numFmtId="164" xfId="0" applyAlignment="1" applyBorder="1" applyFont="1" applyNumberFormat="1">
      <alignment vertical="center"/>
    </xf>
    <xf borderId="18" fillId="0" fontId="2" numFmtId="164" xfId="0" applyAlignment="1" applyBorder="1" applyFont="1" applyNumberFormat="1">
      <alignment vertical="center"/>
    </xf>
    <xf borderId="18" fillId="0" fontId="2" numFmtId="164" xfId="0" applyAlignment="1" applyBorder="1" applyFont="1" applyNumberFormat="1">
      <alignment horizontal="left" vertical="center"/>
    </xf>
    <xf borderId="39" fillId="31" fontId="1" numFmtId="0" xfId="0" applyAlignment="1" applyBorder="1" applyFont="1">
      <alignment vertical="center"/>
    </xf>
    <xf borderId="40" fillId="31" fontId="1" numFmtId="164" xfId="0" applyAlignment="1" applyBorder="1" applyFont="1" applyNumberFormat="1">
      <alignment vertical="center"/>
    </xf>
    <xf borderId="40" fillId="31" fontId="1" numFmtId="0" xfId="0" applyAlignment="1" applyBorder="1" applyFont="1">
      <alignment vertical="center"/>
    </xf>
    <xf borderId="41" fillId="31" fontId="1" numFmtId="0" xfId="0" applyAlignment="1" applyBorder="1" applyFont="1">
      <alignment vertical="center"/>
    </xf>
    <xf borderId="42" fillId="31" fontId="1" numFmtId="0" xfId="0" applyAlignment="1" applyBorder="1" applyFont="1">
      <alignment horizontal="center" vertical="center"/>
    </xf>
    <xf borderId="42" fillId="31" fontId="1" numFmtId="166" xfId="0" applyAlignment="1" applyBorder="1" applyFont="1" applyNumberFormat="1">
      <alignment horizontal="center" vertical="center"/>
    </xf>
    <xf borderId="42" fillId="31" fontId="1" numFmtId="165" xfId="0" applyAlignment="1" applyBorder="1" applyFont="1" applyNumberFormat="1">
      <alignment horizontal="right" shrinkToFit="0" vertical="center" wrapText="1"/>
    </xf>
    <xf borderId="42" fillId="31" fontId="1" numFmtId="165" xfId="0" applyAlignment="1" applyBorder="1" applyFont="1" applyNumberFormat="1">
      <alignment vertical="center"/>
    </xf>
    <xf borderId="30" fillId="4" fontId="2" numFmtId="166" xfId="0" applyAlignment="1" applyBorder="1" applyFont="1" applyNumberFormat="1">
      <alignment horizontal="right" readingOrder="0" vertical="center"/>
    </xf>
    <xf quotePrefix="1" borderId="18" fillId="0" fontId="1" numFmtId="0" xfId="0" applyAlignment="1" applyBorder="1" applyFont="1">
      <alignment vertical="center"/>
    </xf>
    <xf borderId="18" fillId="22" fontId="1" numFmtId="164" xfId="0" applyAlignment="1" applyBorder="1" applyFont="1" applyNumberFormat="1">
      <alignment horizontal="left" vertical="center"/>
    </xf>
    <xf borderId="18" fillId="22" fontId="1" numFmtId="0" xfId="0" applyAlignment="1" applyBorder="1" applyFont="1">
      <alignment vertical="center"/>
    </xf>
    <xf borderId="20" fillId="22" fontId="1" numFmtId="0" xfId="0" applyAlignment="1" applyBorder="1" applyFont="1">
      <alignment vertical="center"/>
    </xf>
    <xf borderId="17" fillId="0" fontId="1" numFmtId="0" xfId="0" applyAlignment="1" applyBorder="1" applyFont="1">
      <alignment horizontal="center" vertical="center"/>
    </xf>
    <xf borderId="19" fillId="0" fontId="1" numFmtId="166" xfId="0" applyAlignment="1" applyBorder="1" applyFont="1" applyNumberFormat="1">
      <alignment horizontal="right" readingOrder="0" shrinkToFit="0" vertical="center" wrapText="1"/>
    </xf>
    <xf borderId="19" fillId="0" fontId="1" numFmtId="166" xfId="0" applyAlignment="1" applyBorder="1" applyFont="1" applyNumberFormat="1">
      <alignment horizontal="right" shrinkToFit="0" vertical="center" wrapText="1"/>
    </xf>
    <xf borderId="20" fillId="0" fontId="2" numFmtId="0" xfId="0" applyAlignment="1" applyBorder="1" applyFont="1">
      <alignment horizontal="left" vertical="center"/>
    </xf>
    <xf borderId="17" fillId="0" fontId="2" numFmtId="0" xfId="0" applyAlignment="1" applyBorder="1" applyFont="1">
      <alignment horizontal="center" vertical="center"/>
    </xf>
    <xf borderId="13" fillId="0" fontId="2" numFmtId="164" xfId="0" applyAlignment="1" applyBorder="1" applyFont="1" applyNumberFormat="1">
      <alignment vertical="center"/>
    </xf>
    <xf borderId="14" fillId="0" fontId="2" numFmtId="164" xfId="0" applyAlignment="1" applyBorder="1" applyFont="1" applyNumberFormat="1">
      <alignment vertical="center"/>
    </xf>
    <xf borderId="14" fillId="0" fontId="2" numFmtId="164" xfId="0" applyAlignment="1" applyBorder="1" applyFont="1" applyNumberFormat="1">
      <alignment horizontal="left" vertical="center"/>
    </xf>
    <xf borderId="14" fillId="0" fontId="1" numFmtId="164" xfId="0" applyAlignment="1" applyBorder="1" applyFont="1" applyNumberFormat="1">
      <alignment horizontal="left" vertical="center"/>
    </xf>
    <xf borderId="14" fillId="0" fontId="2" numFmtId="0" xfId="0" applyAlignment="1" applyBorder="1" applyFont="1">
      <alignment vertical="center"/>
    </xf>
    <xf borderId="16" fillId="0" fontId="2" numFmtId="0" xfId="0" applyAlignment="1" applyBorder="1" applyFont="1">
      <alignment vertical="center"/>
    </xf>
    <xf borderId="13" fillId="0" fontId="1" numFmtId="0" xfId="0" applyAlignment="1" applyBorder="1" applyFont="1">
      <alignment horizontal="center" vertical="center"/>
    </xf>
    <xf borderId="15" fillId="0" fontId="2" numFmtId="165" xfId="0" applyAlignment="1" applyBorder="1" applyFont="1" applyNumberFormat="1">
      <alignment vertical="center"/>
    </xf>
    <xf borderId="21" fillId="0" fontId="2" numFmtId="164" xfId="0" applyAlignment="1" applyBorder="1" applyFont="1" applyNumberFormat="1">
      <alignment vertical="center"/>
    </xf>
    <xf borderId="22" fillId="0" fontId="2" numFmtId="164" xfId="0" applyAlignment="1" applyBorder="1" applyFont="1" applyNumberFormat="1">
      <alignment vertical="center"/>
    </xf>
    <xf borderId="22" fillId="0" fontId="2" numFmtId="164" xfId="0" applyAlignment="1" applyBorder="1" applyFont="1" applyNumberFormat="1">
      <alignment horizontal="left" vertical="center"/>
    </xf>
    <xf borderId="21" fillId="0" fontId="2" numFmtId="0" xfId="0" applyAlignment="1" applyBorder="1" applyFont="1">
      <alignment horizontal="center" vertical="center"/>
    </xf>
    <xf borderId="34" fillId="0" fontId="2" numFmtId="166" xfId="0" applyAlignment="1" applyBorder="1" applyFont="1" applyNumberFormat="1">
      <alignment horizontal="right" readingOrder="0" shrinkToFit="0" vertical="center" wrapText="1"/>
    </xf>
    <xf borderId="34" fillId="4" fontId="2" numFmtId="166" xfId="0" applyAlignment="1" applyBorder="1" applyFont="1" applyNumberFormat="1">
      <alignment horizontal="right" readingOrder="0" shrinkToFit="0" vertical="center" wrapText="1"/>
    </xf>
    <xf borderId="13" fillId="0" fontId="1" numFmtId="164" xfId="0" applyAlignment="1" applyBorder="1" applyFont="1" applyNumberFormat="1">
      <alignment vertical="center"/>
    </xf>
    <xf borderId="14" fillId="0" fontId="1" numFmtId="164" xfId="0" applyAlignment="1" applyBorder="1" applyFont="1" applyNumberFormat="1">
      <alignment vertical="center"/>
    </xf>
    <xf borderId="14" fillId="22" fontId="1" numFmtId="164" xfId="0" applyAlignment="1" applyBorder="1" applyFont="1" applyNumberFormat="1">
      <alignment horizontal="left" vertical="center"/>
    </xf>
    <xf borderId="14" fillId="22" fontId="1" numFmtId="0" xfId="0" applyAlignment="1" applyBorder="1" applyFont="1">
      <alignment vertical="center"/>
    </xf>
    <xf borderId="16" fillId="22" fontId="1" numFmtId="0" xfId="0" applyAlignment="1" applyBorder="1" applyFont="1">
      <alignment vertical="center"/>
    </xf>
    <xf borderId="15" fillId="22" fontId="1" numFmtId="0" xfId="0" applyAlignment="1" applyBorder="1" applyFont="1">
      <alignment horizontal="center" shrinkToFit="0" vertical="center" wrapText="1"/>
    </xf>
    <xf borderId="15" fillId="22" fontId="1" numFmtId="166" xfId="0" applyAlignment="1" applyBorder="1" applyFont="1" applyNumberFormat="1">
      <alignment horizontal="right" shrinkToFit="0" vertical="center" wrapText="1"/>
    </xf>
    <xf borderId="15" fillId="22" fontId="1" numFmtId="165" xfId="0" applyAlignment="1" applyBorder="1" applyFont="1" applyNumberFormat="1">
      <alignment horizontal="right" shrinkToFit="0" vertical="center" wrapText="1"/>
    </xf>
    <xf borderId="15" fillId="0" fontId="1" numFmtId="165" xfId="0" applyAlignment="1" applyBorder="1" applyFont="1" applyNumberFormat="1">
      <alignment vertical="center"/>
    </xf>
    <xf borderId="30" fillId="0" fontId="1" numFmtId="164" xfId="0" applyAlignment="1" applyBorder="1" applyFont="1" applyNumberFormat="1">
      <alignment horizontal="left" vertical="center"/>
    </xf>
    <xf borderId="30" fillId="0" fontId="1" numFmtId="0" xfId="0" applyAlignment="1" applyBorder="1" applyFont="1">
      <alignment vertical="center"/>
    </xf>
    <xf borderId="31" fillId="0" fontId="1" numFmtId="0" xfId="0" applyAlignment="1" applyBorder="1" applyFont="1">
      <alignment vertical="center"/>
    </xf>
    <xf borderId="29" fillId="0" fontId="1" numFmtId="0" xfId="0" applyAlignment="1" applyBorder="1" applyFont="1">
      <alignment horizontal="center" vertical="center"/>
    </xf>
    <xf borderId="18" fillId="0" fontId="2" numFmtId="164" xfId="0" applyAlignment="1" applyBorder="1" applyFont="1" applyNumberFormat="1">
      <alignment horizontal="left" readingOrder="0" vertical="center"/>
    </xf>
    <xf borderId="18" fillId="22" fontId="2" numFmtId="0" xfId="0" applyAlignment="1" applyBorder="1" applyFont="1">
      <alignment vertical="center"/>
    </xf>
    <xf borderId="20" fillId="22" fontId="2" numFmtId="0" xfId="0" applyAlignment="1" applyBorder="1" applyFont="1">
      <alignment vertical="center"/>
    </xf>
    <xf borderId="17" fillId="22" fontId="2" numFmtId="0" xfId="0" applyAlignment="1" applyBorder="1" applyFont="1">
      <alignment horizontal="center" vertical="center"/>
    </xf>
    <xf borderId="18" fillId="25" fontId="1" numFmtId="164" xfId="0" applyAlignment="1" applyBorder="1" applyFont="1" applyNumberFormat="1">
      <alignment horizontal="left" vertical="center"/>
    </xf>
    <xf borderId="18" fillId="25" fontId="2" numFmtId="0" xfId="0" applyAlignment="1" applyBorder="1" applyFont="1">
      <alignment vertical="center"/>
    </xf>
    <xf borderId="20" fillId="25" fontId="2" numFmtId="0" xfId="0" applyAlignment="1" applyBorder="1" applyFont="1">
      <alignment vertical="center"/>
    </xf>
    <xf borderId="17" fillId="25" fontId="2" numFmtId="0" xfId="0" applyAlignment="1" applyBorder="1" applyFont="1">
      <alignment horizontal="center" vertical="center"/>
    </xf>
    <xf quotePrefix="1" borderId="20" fillId="0" fontId="2" numFmtId="0" xfId="0" applyAlignment="1" applyBorder="1" applyFont="1">
      <alignment vertical="center"/>
    </xf>
    <xf borderId="43" fillId="0" fontId="1" numFmtId="164" xfId="0" applyAlignment="1" applyBorder="1" applyFont="1" applyNumberFormat="1">
      <alignment vertical="center"/>
    </xf>
    <xf borderId="44" fillId="0" fontId="1" numFmtId="164" xfId="0" applyAlignment="1" applyBorder="1" applyFont="1" applyNumberFormat="1">
      <alignment vertical="center"/>
    </xf>
    <xf borderId="44" fillId="0" fontId="1" numFmtId="164" xfId="0" applyAlignment="1" applyBorder="1" applyFont="1" applyNumberFormat="1">
      <alignment horizontal="left" vertical="center"/>
    </xf>
    <xf borderId="44" fillId="0" fontId="2" numFmtId="0" xfId="0" applyAlignment="1" applyBorder="1" applyFont="1">
      <alignment vertical="center"/>
    </xf>
    <xf borderId="45" fillId="0" fontId="2" numFmtId="0" xfId="0" applyAlignment="1" applyBorder="1" applyFont="1">
      <alignment vertical="center"/>
    </xf>
    <xf borderId="43" fillId="0" fontId="2" numFmtId="0" xfId="0" applyAlignment="1" applyBorder="1" applyFont="1">
      <alignment horizontal="center" vertical="center"/>
    </xf>
    <xf borderId="46" fillId="2" fontId="2" numFmtId="166" xfId="0" applyAlignment="1" applyBorder="1" applyFont="1" applyNumberFormat="1">
      <alignment horizontal="right" shrinkToFit="0" vertical="center" wrapText="1"/>
    </xf>
    <xf borderId="46" fillId="4" fontId="2" numFmtId="166" xfId="0" applyAlignment="1" applyBorder="1" applyFont="1" applyNumberFormat="1">
      <alignment horizontal="right" shrinkToFit="0" vertical="center" wrapText="1"/>
    </xf>
    <xf borderId="46" fillId="0" fontId="2" numFmtId="165" xfId="0" applyAlignment="1" applyBorder="1" applyFont="1" applyNumberFormat="1">
      <alignment horizontal="right" shrinkToFit="0" vertical="center" wrapText="1"/>
    </xf>
    <xf borderId="46" fillId="0" fontId="2" numFmtId="165" xfId="0" applyAlignment="1" applyBorder="1" applyFont="1" applyNumberFormat="1">
      <alignment vertical="center"/>
    </xf>
    <xf borderId="47" fillId="7" fontId="2" numFmtId="0" xfId="0" applyAlignment="1" applyBorder="1" applyFont="1">
      <alignment horizontal="right" vertical="center"/>
    </xf>
    <xf quotePrefix="1" borderId="47" fillId="7" fontId="2" numFmtId="0" xfId="0" applyAlignment="1" applyBorder="1" applyFont="1">
      <alignment vertical="center"/>
    </xf>
    <xf borderId="47" fillId="7" fontId="2" numFmtId="0" xfId="0" applyAlignment="1" applyBorder="1" applyFont="1">
      <alignment vertical="center"/>
    </xf>
    <xf borderId="48" fillId="7" fontId="2" numFmtId="0" xfId="0" applyAlignment="1" applyBorder="1" applyFont="1">
      <alignment vertical="center"/>
    </xf>
    <xf borderId="46" fillId="2" fontId="2" numFmtId="0" xfId="0" applyAlignment="1" applyBorder="1" applyFont="1">
      <alignment horizontal="center" shrinkToFit="0" vertical="center" wrapText="1"/>
    </xf>
    <xf borderId="47" fillId="4" fontId="2" numFmtId="166" xfId="0" applyAlignment="1" applyBorder="1" applyFont="1" applyNumberFormat="1">
      <alignment horizontal="right" vertical="center"/>
    </xf>
    <xf borderId="17" fillId="0" fontId="2" numFmtId="0" xfId="0" applyAlignment="1" applyBorder="1" applyFont="1">
      <alignment horizontal="center" shrinkToFit="0" vertical="center" wrapText="1"/>
    </xf>
    <xf borderId="17" fillId="0" fontId="1" numFmtId="0" xfId="0" applyAlignment="1" applyBorder="1" applyFont="1">
      <alignment horizontal="center" readingOrder="0" shrinkToFit="0" vertical="center" wrapText="1"/>
    </xf>
    <xf borderId="30" fillId="31" fontId="1" numFmtId="0" xfId="0" applyAlignment="1" applyBorder="1" applyFont="1">
      <alignment readingOrder="0" vertical="center"/>
    </xf>
    <xf borderId="29" fillId="2" fontId="1" numFmtId="0" xfId="0" applyAlignment="1" applyBorder="1" applyFont="1">
      <alignment vertical="center"/>
    </xf>
    <xf borderId="19" fillId="2" fontId="2" numFmtId="165" xfId="0" applyAlignment="1" applyBorder="1" applyFont="1" applyNumberFormat="1">
      <alignment horizontal="center" readingOrder="0" vertical="center"/>
    </xf>
    <xf borderId="49" fillId="2" fontId="1" numFmtId="0" xfId="0" applyAlignment="1" applyBorder="1" applyFont="1">
      <alignment vertical="center"/>
    </xf>
    <xf borderId="47" fillId="2" fontId="1" numFmtId="164" xfId="0" applyAlignment="1" applyBorder="1" applyFont="1" applyNumberFormat="1">
      <alignment vertical="center"/>
    </xf>
    <xf borderId="47" fillId="2" fontId="1" numFmtId="0" xfId="0" applyAlignment="1" applyBorder="1" applyFont="1">
      <alignment vertical="center"/>
    </xf>
    <xf borderId="44" fillId="0" fontId="1" numFmtId="0" xfId="0" applyAlignment="1" applyBorder="1" applyFont="1">
      <alignment vertical="center"/>
    </xf>
    <xf borderId="46" fillId="0" fontId="2" numFmtId="0" xfId="0" applyAlignment="1" applyBorder="1" applyFont="1">
      <alignment horizontal="center" shrinkToFit="0" vertical="center" wrapText="1"/>
    </xf>
    <xf borderId="46" fillId="2" fontId="2" numFmtId="166" xfId="0" applyAlignment="1" applyBorder="1" applyFont="1" applyNumberFormat="1">
      <alignment horizontal="center" readingOrder="0" vertical="center"/>
    </xf>
    <xf borderId="46" fillId="2" fontId="2" numFmtId="165" xfId="0" applyAlignment="1" applyBorder="1" applyFont="1" applyNumberFormat="1">
      <alignment horizontal="center" vertical="center"/>
    </xf>
    <xf borderId="28" fillId="31" fontId="1" numFmtId="166" xfId="0" applyAlignment="1" applyBorder="1" applyFont="1" applyNumberFormat="1">
      <alignment horizontal="center" vertical="center"/>
    </xf>
    <xf borderId="17" fillId="2" fontId="3" numFmtId="164" xfId="0" applyAlignment="1" applyBorder="1" applyFont="1" applyNumberFormat="1">
      <alignment vertical="center"/>
    </xf>
    <xf borderId="18" fillId="2" fontId="3" numFmtId="164" xfId="0" applyAlignment="1" applyBorder="1" applyFont="1" applyNumberFormat="1">
      <alignment vertical="center"/>
    </xf>
    <xf borderId="18" fillId="2" fontId="3" numFmtId="164" xfId="0" applyAlignment="1" applyBorder="1" applyFont="1" applyNumberFormat="1">
      <alignment horizontal="left" vertical="center"/>
    </xf>
    <xf quotePrefix="1" borderId="18" fillId="2" fontId="19" numFmtId="0" xfId="0" applyAlignment="1" applyBorder="1" applyFont="1">
      <alignment vertical="center"/>
    </xf>
    <xf borderId="18" fillId="2" fontId="19" numFmtId="0" xfId="0" applyAlignment="1" applyBorder="1" applyFont="1">
      <alignment vertical="center"/>
    </xf>
    <xf borderId="20" fillId="2" fontId="19" numFmtId="0" xfId="0" applyAlignment="1" applyBorder="1" applyFont="1">
      <alignment vertical="center"/>
    </xf>
    <xf borderId="19" fillId="2" fontId="19" numFmtId="0" xfId="0" applyAlignment="1" applyBorder="1" applyFont="1">
      <alignment horizontal="center" shrinkToFit="0" vertical="center" wrapText="1"/>
    </xf>
    <xf borderId="19" fillId="2" fontId="19" numFmtId="166" xfId="0" applyAlignment="1" applyBorder="1" applyFont="1" applyNumberFormat="1">
      <alignment horizontal="right" shrinkToFit="0" vertical="center" wrapText="1"/>
    </xf>
    <xf borderId="19" fillId="2" fontId="19" numFmtId="165" xfId="0" applyAlignment="1" applyBorder="1" applyFont="1" applyNumberFormat="1">
      <alignment horizontal="right" shrinkToFit="0" vertical="center" wrapText="1"/>
    </xf>
    <xf borderId="19" fillId="2" fontId="19" numFmtId="165" xfId="0" applyAlignment="1" applyBorder="1" applyFont="1" applyNumberFormat="1">
      <alignment vertical="center"/>
    </xf>
    <xf quotePrefix="1" borderId="20" fillId="0" fontId="2" numFmtId="0" xfId="0" applyAlignment="1" applyBorder="1" applyFont="1">
      <alignment horizontal="left" readingOrder="0" vertical="center"/>
    </xf>
    <xf borderId="29" fillId="10" fontId="1" numFmtId="0" xfId="0" applyAlignment="1" applyBorder="1" applyFont="1">
      <alignment readingOrder="0" vertical="center"/>
    </xf>
    <xf borderId="30" fillId="10" fontId="1" numFmtId="0" xfId="0" applyAlignment="1" applyBorder="1" applyFont="1">
      <alignment vertical="center"/>
    </xf>
    <xf borderId="31" fillId="10" fontId="1" numFmtId="0" xfId="0" applyAlignment="1" applyBorder="1" applyFont="1">
      <alignment vertical="center"/>
    </xf>
    <xf borderId="19" fillId="10" fontId="1" numFmtId="0" xfId="0" applyAlignment="1" applyBorder="1" applyFont="1">
      <alignment horizontal="left" vertical="center"/>
    </xf>
    <xf borderId="19" fillId="10" fontId="1" numFmtId="166" xfId="0" applyAlignment="1" applyBorder="1" applyFont="1" applyNumberFormat="1">
      <alignment horizontal="left" vertical="center"/>
    </xf>
    <xf borderId="19" fillId="10" fontId="1" numFmtId="165" xfId="0" applyAlignment="1" applyBorder="1" applyFont="1" applyNumberFormat="1">
      <alignment horizontal="left" vertical="center"/>
    </xf>
    <xf borderId="19" fillId="10" fontId="2" numFmtId="165" xfId="0" applyAlignment="1" applyBorder="1" applyFont="1" applyNumberFormat="1">
      <alignment vertical="center"/>
    </xf>
    <xf borderId="30" fillId="2" fontId="2" numFmtId="0" xfId="0" applyAlignment="1" applyBorder="1" applyFont="1">
      <alignment readingOrder="0" vertical="center"/>
    </xf>
    <xf borderId="19" fillId="2" fontId="2" numFmtId="0" xfId="0" applyAlignment="1" applyBorder="1" applyFont="1">
      <alignment horizontal="center" vertical="center"/>
    </xf>
    <xf borderId="47" fillId="2" fontId="2" numFmtId="0" xfId="0" applyAlignment="1" applyBorder="1" applyFont="1">
      <alignment vertical="center"/>
    </xf>
    <xf borderId="48" fillId="2" fontId="2" numFmtId="0" xfId="0" applyAlignment="1" applyBorder="1" applyFont="1">
      <alignment vertical="center"/>
    </xf>
    <xf borderId="46" fillId="2" fontId="2" numFmtId="0" xfId="0" applyAlignment="1" applyBorder="1" applyFont="1">
      <alignment horizontal="center" vertical="center"/>
    </xf>
    <xf borderId="46" fillId="2" fontId="2" numFmtId="166" xfId="0" applyAlignment="1" applyBorder="1" applyFont="1" applyNumberFormat="1">
      <alignment horizontal="center" vertical="center"/>
    </xf>
    <xf borderId="46" fillId="2" fontId="2" numFmtId="165" xfId="0" applyAlignment="1" applyBorder="1" applyFont="1" applyNumberFormat="1">
      <alignment vertical="center"/>
    </xf>
    <xf borderId="0" fillId="0" fontId="1" numFmtId="0" xfId="0" applyAlignment="1" applyFont="1">
      <alignment vertical="center"/>
    </xf>
    <xf borderId="0" fillId="0" fontId="11" numFmtId="0" xfId="0" applyAlignment="1" applyFont="1">
      <alignment horizontal="left" vertical="center"/>
    </xf>
    <xf borderId="0" fillId="0" fontId="2" numFmtId="0" xfId="0" applyAlignment="1" applyFont="1">
      <alignment horizontal="left" vertical="center"/>
    </xf>
    <xf borderId="0" fillId="0" fontId="2" numFmtId="0" xfId="0" applyAlignment="1" applyFont="1">
      <alignment horizontal="center" vertical="center"/>
    </xf>
    <xf borderId="0" fillId="0" fontId="2" numFmtId="165" xfId="0" applyAlignment="1" applyFont="1" applyNumberFormat="1">
      <alignment horizontal="center" vertical="center"/>
    </xf>
    <xf borderId="0" fillId="0" fontId="2" numFmtId="168" xfId="0" applyAlignment="1" applyFont="1" applyNumberFormat="1">
      <alignment horizontal="center" vertical="center"/>
    </xf>
    <xf borderId="0" fillId="0" fontId="2" numFmtId="165" xfId="0" applyAlignment="1" applyFont="1" applyNumberFormat="1">
      <alignment vertical="center"/>
    </xf>
    <xf borderId="19" fillId="10" fontId="1" numFmtId="165" xfId="0" applyAlignment="1" applyBorder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62914819</v>
      </c>
      <c r="M8" s="41">
        <f t="shared" si="1"/>
        <v>19194721</v>
      </c>
      <c r="N8" s="41">
        <f t="shared" si="1"/>
        <v>17154374.11</v>
      </c>
      <c r="O8" s="40">
        <f>IF(L8&gt;0,N8*100/L8,0)</f>
        <v>27.26603109</v>
      </c>
      <c r="P8" s="40">
        <f t="shared" ref="P8:P16" si="3">IF(M8&gt;0,N8*100/M8,0)</f>
        <v>89.37027066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>IF(L9&gt;0,N9*100/L9,0)</f>
        <v>0</v>
      </c>
      <c r="P9" s="47">
        <f t="shared" si="3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4">L12+L16</f>
        <v>62914819</v>
      </c>
      <c r="M10" s="48">
        <f t="shared" si="4"/>
        <v>19194721</v>
      </c>
      <c r="N10" s="48">
        <f t="shared" si="4"/>
        <v>17154374.11</v>
      </c>
      <c r="O10" s="47">
        <f>IF(L10&gt;0,N10*100/L10,0)</f>
        <v>27.26603109</v>
      </c>
      <c r="P10" s="47">
        <f t="shared" si="3"/>
        <v>89.37027066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5">L21+L31</f>
        <v>0</v>
      </c>
      <c r="M11" s="58">
        <f t="shared" si="5"/>
        <v>0</v>
      </c>
      <c r="N11" s="58">
        <f t="shared" si="5"/>
        <v>0</v>
      </c>
      <c r="O11" s="58">
        <f>IF(L11&gt;0,N11*100/L11,0)</f>
        <v>0</v>
      </c>
      <c r="P11" s="58">
        <f t="shared" si="3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6">L22+L32</f>
        <v>53155119</v>
      </c>
      <c r="M12" s="58">
        <f t="shared" si="6"/>
        <v>19194721</v>
      </c>
      <c r="N12" s="58">
        <f t="shared" si="6"/>
        <v>14041504.11</v>
      </c>
      <c r="O12" s="58">
        <f>IF(L12&gt;0,N12*100/L12,0)</f>
        <v>26.41609007</v>
      </c>
      <c r="P12" s="58">
        <f t="shared" si="3"/>
        <v>73.15294716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7">L23+L33</f>
        <v>23850900</v>
      </c>
      <c r="M13" s="58">
        <f t="shared" si="7"/>
        <v>0</v>
      </c>
      <c r="N13" s="58">
        <f t="shared" si="7"/>
        <v>0</v>
      </c>
      <c r="O13" s="61">
        <f>IF(L13&gt;0,N13*100/L13,0)</f>
        <v>0</v>
      </c>
      <c r="P13" s="61">
        <f t="shared" si="3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8">L24+L34</f>
        <v>28297219</v>
      </c>
      <c r="M14" s="58">
        <f t="shared" si="8"/>
        <v>0</v>
      </c>
      <c r="N14" s="58">
        <f t="shared" si="8"/>
        <v>2759544.11</v>
      </c>
      <c r="O14" s="61">
        <f>IF(L14&gt;0,N14*100/L14,0)</f>
        <v>9.751997573</v>
      </c>
      <c r="P14" s="61">
        <f t="shared" si="3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9">L25+L35</f>
        <v>0</v>
      </c>
      <c r="M15" s="58">
        <f t="shared" si="9"/>
        <v>0</v>
      </c>
      <c r="N15" s="58">
        <f t="shared" si="9"/>
        <v>0</v>
      </c>
      <c r="O15" s="62">
        <f>IF(L15&gt;0,N15*100/L15,0)</f>
        <v>0</v>
      </c>
      <c r="P15" s="62">
        <f t="shared" si="3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0">L26+L36</f>
        <v>9759700</v>
      </c>
      <c r="M16" s="58">
        <f t="shared" si="10"/>
        <v>0</v>
      </c>
      <c r="N16" s="58">
        <f t="shared" si="10"/>
        <v>3112870</v>
      </c>
      <c r="O16" s="70">
        <f>IF(L16&gt;0,N16*100/L16,0)</f>
        <v>31.89514022</v>
      </c>
      <c r="P16" s="70">
        <f t="shared" si="3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1">L19+L20</f>
        <v>44710825</v>
      </c>
      <c r="M18" s="41">
        <f t="shared" si="11"/>
        <v>19194721</v>
      </c>
      <c r="N18" s="41">
        <f t="shared" si="11"/>
        <v>14394830</v>
      </c>
      <c r="O18" s="40">
        <f>IF(L18&gt;0,N18*100/L18,0)</f>
        <v>32.19540234</v>
      </c>
      <c r="P18" s="40">
        <f t="shared" ref="P18:P26" si="13">IF(M18&gt;0,N18*100/M18,0)</f>
        <v>74.99369228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2">L21+L25</f>
        <v>0</v>
      </c>
      <c r="M19" s="48">
        <f t="shared" si="12"/>
        <v>0</v>
      </c>
      <c r="N19" s="48">
        <f t="shared" si="12"/>
        <v>0</v>
      </c>
      <c r="O19" s="47">
        <f>IF(L19&gt;0,N19*100/L19,0)</f>
        <v>0</v>
      </c>
      <c r="P19" s="47">
        <f t="shared" si="13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4">L22+L26</f>
        <v>44710825</v>
      </c>
      <c r="M20" s="48">
        <f t="shared" si="14"/>
        <v>19194721</v>
      </c>
      <c r="N20" s="48">
        <f t="shared" si="14"/>
        <v>14394830</v>
      </c>
      <c r="O20" s="47">
        <f>IF(L20&gt;0,N20*100/L20,0)</f>
        <v>32.19540234</v>
      </c>
      <c r="P20" s="47">
        <f t="shared" si="13"/>
        <v>74.99369228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5">L44+L56+L69+L97+L121+L143+L223+L253+L274+L293+L313+L332</f>
        <v>0</v>
      </c>
      <c r="M21" s="62">
        <f t="shared" si="15"/>
        <v>0</v>
      </c>
      <c r="N21" s="61">
        <f t="shared" si="15"/>
        <v>0</v>
      </c>
      <c r="O21" s="61">
        <f>IF(L21&gt;0,N21*100/L21,0)</f>
        <v>0</v>
      </c>
      <c r="P21" s="61">
        <f t="shared" si="13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6">L45+L57+L70+L98+L122+L144+L224+L254+L275+L294+L314+L333</f>
        <v>34951125</v>
      </c>
      <c r="M22" s="62">
        <f t="shared" si="16"/>
        <v>19194721</v>
      </c>
      <c r="N22" s="61">
        <f t="shared" si="16"/>
        <v>11281960</v>
      </c>
      <c r="O22" s="61">
        <f>IF(L22&gt;0,N22*100/L22,0)</f>
        <v>32.27924709</v>
      </c>
      <c r="P22" s="61">
        <f t="shared" si="13"/>
        <v>58.77636877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17">L46+L58+L71+L99+L123+L145+L225+L255+L276+L295+L315+L334</f>
        <v>23850900</v>
      </c>
      <c r="M23" s="62">
        <f t="shared" si="17"/>
        <v>0</v>
      </c>
      <c r="N23" s="61">
        <f t="shared" si="17"/>
        <v>0</v>
      </c>
      <c r="O23" s="61">
        <f>IF(L23&gt;0,N23*100/L23,0)</f>
        <v>0</v>
      </c>
      <c r="P23" s="61">
        <f t="shared" si="13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18">L47+L59+L72+L100+L124+L146+L226+L256+L277+L296+L316+L335</f>
        <v>11100225</v>
      </c>
      <c r="M24" s="62">
        <f t="shared" si="18"/>
        <v>0</v>
      </c>
      <c r="N24" s="61">
        <f t="shared" si="18"/>
        <v>0</v>
      </c>
      <c r="O24" s="61">
        <f>IF(L24&gt;0,N24*100/L24,0)</f>
        <v>0</v>
      </c>
      <c r="P24" s="61">
        <f t="shared" si="13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19">L48+L60+L73+L101+L125+L147+L227+L257+L278+L297+L317+L336</f>
        <v>0</v>
      </c>
      <c r="M25" s="62">
        <f t="shared" si="19"/>
        <v>0</v>
      </c>
      <c r="N25" s="62">
        <f t="shared" si="19"/>
        <v>0</v>
      </c>
      <c r="O25" s="62">
        <f>IF(L25&gt;0,N25*100/L25,0)</f>
        <v>0</v>
      </c>
      <c r="P25" s="62">
        <f t="shared" si="13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0">L49+L61+L74+L102+L126+L148+L228+L258+L279+L298+L318+L337</f>
        <v>9759700</v>
      </c>
      <c r="M26" s="70">
        <f t="shared" si="20"/>
        <v>0</v>
      </c>
      <c r="N26" s="70">
        <f t="shared" si="20"/>
        <v>3112870</v>
      </c>
      <c r="O26" s="70">
        <f>IF(L26&gt;0,N26*100/L26,0)</f>
        <v>31.89514022</v>
      </c>
      <c r="P26" s="70">
        <f t="shared" si="13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1">L29+L30</f>
        <v>18203994</v>
      </c>
      <c r="M28" s="41">
        <f t="shared" si="21"/>
        <v>0</v>
      </c>
      <c r="N28" s="41">
        <f t="shared" si="21"/>
        <v>2759544.11</v>
      </c>
      <c r="O28" s="40">
        <f t="shared" ref="O28:O30" si="23">IF(L28&gt;0,N28*100/L28,0)</f>
        <v>15.15900362</v>
      </c>
      <c r="P28" s="40">
        <f t="shared" ref="P28:P37" si="24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2">L31+L35</f>
        <v>0</v>
      </c>
      <c r="M29" s="48">
        <f t="shared" si="22"/>
        <v>0</v>
      </c>
      <c r="N29" s="48">
        <f t="shared" si="22"/>
        <v>0</v>
      </c>
      <c r="O29" s="47">
        <f t="shared" si="23"/>
        <v>0</v>
      </c>
      <c r="P29" s="47">
        <f t="shared" si="24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5">L32+L36</f>
        <v>18203994</v>
      </c>
      <c r="M30" s="48">
        <f t="shared" si="25"/>
        <v>0</v>
      </c>
      <c r="N30" s="48">
        <f t="shared" si="25"/>
        <v>2759544.11</v>
      </c>
      <c r="O30" s="47">
        <f t="shared" si="23"/>
        <v>15.15900362</v>
      </c>
      <c r="P30" s="47">
        <f t="shared" si="24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6">L351+L382+L403+L436+L456+L534+L552+L565+L581+L598</f>
        <v>0</v>
      </c>
      <c r="M31" s="61">
        <f t="shared" si="26"/>
        <v>0</v>
      </c>
      <c r="N31" s="61">
        <f t="shared" si="26"/>
        <v>0</v>
      </c>
      <c r="O31" s="61">
        <f t="shared" ref="O31:O37" si="28">IF(L31&gt;0,N31*100/L31,0)</f>
        <v>0</v>
      </c>
      <c r="P31" s="61">
        <f t="shared" si="24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27">L352+L383+L404+L437+L457+L535+L553+L566+L582+L599</f>
        <v>18203994</v>
      </c>
      <c r="M32" s="61">
        <f t="shared" si="27"/>
        <v>0</v>
      </c>
      <c r="N32" s="61">
        <f t="shared" si="27"/>
        <v>2759544.11</v>
      </c>
      <c r="O32" s="61">
        <f t="shared" si="28"/>
        <v>15.15900362</v>
      </c>
      <c r="P32" s="61">
        <f t="shared" si="24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29">L353+L384+L405+L438+L458+L536+L554+L567+L583+L600</f>
        <v>0</v>
      </c>
      <c r="M33" s="61">
        <f t="shared" si="29"/>
        <v>0</v>
      </c>
      <c r="N33" s="61">
        <f t="shared" si="29"/>
        <v>0</v>
      </c>
      <c r="O33" s="61">
        <f t="shared" si="28"/>
        <v>0</v>
      </c>
      <c r="P33" s="61">
        <f t="shared" si="24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0">L354+L385+L406+L439+L459+L537+L555+L568+L584+L601</f>
        <v>17196994</v>
      </c>
      <c r="M34" s="61">
        <f t="shared" si="30"/>
        <v>0</v>
      </c>
      <c r="N34" s="61">
        <f t="shared" si="30"/>
        <v>2759544.11</v>
      </c>
      <c r="O34" s="61">
        <f t="shared" si="28"/>
        <v>16.04666554</v>
      </c>
      <c r="P34" s="61">
        <f t="shared" si="24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28"/>
        <v>0</v>
      </c>
      <c r="P35" s="62">
        <f t="shared" si="24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28"/>
        <v>0</v>
      </c>
      <c r="P36" s="70">
        <f t="shared" si="24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1">L41+L53+L66+L94+L118+L140+L220+L250+L271+L290+L310+L329</f>
        <v>44710825</v>
      </c>
      <c r="M37" s="75">
        <f t="shared" si="31"/>
        <v>19194721</v>
      </c>
      <c r="N37" s="75">
        <f t="shared" si="31"/>
        <v>14394830</v>
      </c>
      <c r="O37" s="76">
        <f t="shared" si="28"/>
        <v>32.19540234</v>
      </c>
      <c r="P37" s="76">
        <f t="shared" si="24"/>
        <v>74.99369228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2">L42+L43</f>
        <v>10385600</v>
      </c>
      <c r="M41" s="102">
        <f t="shared" si="32"/>
        <v>4399600</v>
      </c>
      <c r="N41" s="102">
        <f t="shared" si="32"/>
        <v>4810838</v>
      </c>
      <c r="O41" s="101">
        <f t="shared" ref="O41:O43" si="34">IF(L41&gt;0,N41*100/L41,0)</f>
        <v>46.32219612</v>
      </c>
      <c r="P41" s="101">
        <f t="shared" ref="P41:P43" si="35">IF(M41&gt;0,N41*100/M41,0)</f>
        <v>109.3471679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3">L44+L48</f>
        <v>0</v>
      </c>
      <c r="M42" s="102">
        <f t="shared" si="33"/>
        <v>0</v>
      </c>
      <c r="N42" s="102">
        <f t="shared" si="33"/>
        <v>0</v>
      </c>
      <c r="O42" s="101">
        <f t="shared" si="34"/>
        <v>0</v>
      </c>
      <c r="P42" s="101">
        <f t="shared" si="35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6">L45+L49</f>
        <v>10385600</v>
      </c>
      <c r="M43" s="102">
        <f t="shared" si="36"/>
        <v>4399600</v>
      </c>
      <c r="N43" s="102">
        <f t="shared" si="36"/>
        <v>4810838</v>
      </c>
      <c r="O43" s="101">
        <f t="shared" si="34"/>
        <v>46.32219612</v>
      </c>
      <c r="P43" s="101">
        <f t="shared" si="35"/>
        <v>109.3471679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f>'กระบี่'!L44+'ชุมพร'!L44+'ตรัง'!L44+'นครศรีธรรมราช'!L44+'นราธิวาส'!L44+'ปัตตานี'!L44+'พังงา'!L44+'พัทลุง'!L44+'ภูเก็ต'!L44+'ยะลา'!L44+'ระนอง'!L44+'สงขลา'!L44+'สตูล'!L44+'สุราษฎร์ธานี'!L44</f>
        <v>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'กระบี่'!L45+'ชุมพร'!L45+'ตรัง'!L45+'นครศรีธรรมราช'!L45+'นราธิวาส'!L45+'ปัตตานี'!L45+'พังงา'!L45+'พัทลุง'!L45+'ภูเก็ต'!L45+'ยะลา'!L45+'ระนอง'!L45+'สงขลา'!L45+'สตูล'!L45+'สุราษฎร์ธานี'!L45</f>
        <v>8774300</v>
      </c>
      <c r="M45" s="115">
        <f>'กระบี่'!M45+'ชุมพร'!M45+'ตรัง'!M45+'นครศรีธรรมราช'!M45+'นราธิวาส'!M45+'ปัตตานี'!M45+'พังงา'!M45+'พัทลุง'!M45+'ภูเก็ต'!M45+'ยะลา'!M45+'ระนอง'!M45+'สงขลา'!M45+'สตูล'!M45+'สุราษฎร์ธานี'!M45</f>
        <v>4399600</v>
      </c>
      <c r="N45" s="115">
        <f>'กระบี่'!N45+'ชุมพร'!N45+'ตรัง'!N45+'นครศรีธรรมราช'!N45+'นราธิวาส'!N45+'ปัตตานี'!N45+'พังงา'!N45+'พัทลุง'!N45+'ภูเก็ต'!N45+'ยะลา'!N45+'ระนอง'!N45+'สงขลา'!N45+'สตูล'!N45+'สุราษฎร์ธานี'!N45</f>
        <v>3201538</v>
      </c>
      <c r="O45" s="116">
        <f>IF(L45&gt;0,N45*100/L45,0)</f>
        <v>36.48767423</v>
      </c>
      <c r="P45" s="116">
        <f>IF(M45&gt;0,N45*100/M45,0)</f>
        <v>72.76884262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'กระบี่'!L46+'ชุมพร'!L46+'ตรัง'!L46+'นครศรีธรรมราช'!L46+'นราธิวาส'!L46+'ปัตตานี'!L46+'พังงา'!L46+'พัทลุง'!L46+'ภูเก็ต'!L46+'ยะลา'!L46+'ระนอง'!L46+'สงขลา'!L46+'สตูล'!L46+'สุราษฎร์ธานี'!L46</f>
        <v>8774300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'กระบี่'!L47+'ชุมพร'!L47+'ตรัง'!L47+'นครศรีธรรมราช'!L47+'นราธิวาส'!L47+'ปัตตานี'!L47+'พังงา'!L47+'พัทลุง'!L47+'ภูเก็ต'!L47+'ยะลา'!L47+'ระนอง'!L47+'สงขลา'!L47+'สตูล'!L47+'สุราษฎร์ธานี'!L47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f>'กระบี่'!L48+'ชุมพร'!L48+'ตรัง'!L48+'นครศรีธรรมราช'!L48+'นราธิวาส'!L48+'ปัตตานี'!L48+'พังงา'!L48+'พัทลุง'!L48+'ภูเก็ต'!L48+'ยะลา'!L48+'ระนอง'!L48+'สงขลา'!L48+'สตูล'!L48+'สุราษฎร์ธานี'!L48</f>
        <v>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'กระบี่'!L49+'ชุมพร'!L49+'ตรัง'!L49+'นครศรีธรรมราช'!L49+'นราธิวาส'!L49+'ปัตตานี'!L49+'พังงา'!L49+'พัทลุง'!L49+'ภูเก็ต'!L49+'ยะลา'!L49+'ระนอง'!L49+'สงขลา'!L49+'สตูล'!L49+'สุราษฎร์ธานี'!L49</f>
        <v>1611300</v>
      </c>
      <c r="M49" s="125"/>
      <c r="N49" s="115">
        <f>'กระบี่'!N49+'ชุมพร'!N49+'ตรัง'!N49+'นครศรีธรรมราช'!N49+'นราธิวาส'!N49+'ปัตตานี'!N49+'พังงา'!N49+'พัทลุง'!N49+'ภูเก็ต'!N49+'ยะลา'!N49+'ระนอง'!N49+'สงขลา'!N49+'สตูล'!N49+'สุราษฎร์ธานี'!N49</f>
        <v>1609300</v>
      </c>
      <c r="O49" s="125">
        <f>IF(L49&gt;0,N49*100/L49,0)</f>
        <v>99.87587662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37">L54+L55</f>
        <v>5554200</v>
      </c>
      <c r="M53" s="151">
        <f t="shared" si="37"/>
        <v>3199336</v>
      </c>
      <c r="N53" s="151">
        <f t="shared" si="37"/>
        <v>2143433</v>
      </c>
      <c r="O53" s="150">
        <f t="shared" ref="O53:O55" si="39">IF(L53&gt;0,N53*100/L53,0)</f>
        <v>38.59121026</v>
      </c>
      <c r="P53" s="150">
        <f t="shared" ref="P53:P55" si="40">IF(M53&gt;0,N53*100/M53,0)</f>
        <v>66.99618296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38">L56+L60</f>
        <v>0</v>
      </c>
      <c r="M54" s="151">
        <f t="shared" si="38"/>
        <v>0</v>
      </c>
      <c r="N54" s="151">
        <f t="shared" si="38"/>
        <v>0</v>
      </c>
      <c r="O54" s="150">
        <f t="shared" si="39"/>
        <v>0</v>
      </c>
      <c r="P54" s="150">
        <f t="shared" si="40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1">L57+L61</f>
        <v>5554200</v>
      </c>
      <c r="M55" s="151">
        <f t="shared" si="41"/>
        <v>3199336</v>
      </c>
      <c r="N55" s="151">
        <f t="shared" si="41"/>
        <v>2143433</v>
      </c>
      <c r="O55" s="150">
        <f t="shared" si="39"/>
        <v>38.59121026</v>
      </c>
      <c r="P55" s="150">
        <f t="shared" si="40"/>
        <v>66.99618296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f>'กระบี่'!L56+'ชุมพร'!L56+'ตรัง'!L56+'นครศรีธรรมราช'!L56+'นราธิวาส'!L56+'ปัตตานี'!L56+'พังงา'!L56+'พัทลุง'!L56+'ภูเก็ต'!L56+'ยะลา'!L56+'ระนอง'!L56+'สงขลา'!L56+'สตูล'!L56+'สุราษฎร์ธานี'!L56</f>
        <v>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'กระบี่'!L57+'ชุมพร'!L57+'ตรัง'!L57+'นครศรีธรรมราช'!L57+'นราธิวาส'!L57+'ปัตตานี'!L57+'พังงา'!L57+'พัทลุง'!L57+'ภูเก็ต'!L57+'ยะลา'!L57+'ระนอง'!L57+'สงขลา'!L57+'สตูล'!L57+'สุราษฎร์ธานี'!L57</f>
        <v>5554200</v>
      </c>
      <c r="M57" s="115">
        <f>'กระบี่'!M57+'ชุมพร'!M57+'ตรัง'!M57+'นครศรีธรรมราช'!M57+'นราธิวาส'!M57+'ปัตตานี'!M57+'พังงา'!M57+'พัทลุง'!M57+'ภูเก็ต'!M57+'ยะลา'!M57+'ระนอง'!M57+'สงขลา'!M57+'สตูล'!M57+'สุราษฎร์ธานี'!M57</f>
        <v>3199336</v>
      </c>
      <c r="N57" s="115">
        <f>'กระบี่'!N57+'ชุมพร'!N57+'ตรัง'!N57+'นครศรีธรรมราช'!N57+'นราธิวาส'!N57+'ปัตตานี'!N57+'พังงา'!N57+'พัทลุง'!N57+'ภูเก็ต'!N57+'ยะลา'!N57+'ระนอง'!N57+'สงขลา'!N57+'สตูล'!N57+'สุราษฎร์ธานี'!N57</f>
        <v>2143433</v>
      </c>
      <c r="O57" s="116">
        <f>IF(L57&gt;0,N57*100/L57,0)</f>
        <v>38.59121026</v>
      </c>
      <c r="P57" s="116">
        <f>IF(M57&gt;0,N57*100/M57,0)</f>
        <v>66.99618296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'กระบี่'!L58+'ชุมพร'!L58+'ตรัง'!L58+'นครศรีธรรมราช'!L58+'นราธิวาส'!L58+'ปัตตานี'!L58+'พังงา'!L58+'พัทลุง'!L58+'ภูเก็ต'!L58+'ยะลา'!L58+'ระนอง'!L58+'สงขลา'!L58+'สตูล'!L58+'สุราษฎร์ธานี'!L58</f>
        <v>5554200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'กระบี่'!L59+'ชุมพร'!L59+'ตรัง'!L59+'นครศรีธรรมราช'!L59+'นราธิวาส'!L59+'ปัตตานี'!L59+'พังงา'!L59+'พัทลุง'!L59+'ภูเก็ต'!L59+'ยะลา'!L59+'ระนอง'!L59+'สงขลา'!L59+'สตูล'!L59+'สุราษฎร์ธานี'!L59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f>'กระบี่'!L60+'ชุมพร'!L60+'ตรัง'!L60+'นครศรีธรรมราช'!L60+'นราธิวาส'!L60+'ปัตตานี'!L60+'พังงา'!L60+'พัทลุง'!L60+'ภูเก็ต'!L60+'ยะลา'!L60+'ระนอง'!L60+'สงขลา'!L60+'สตูล'!L60+'สุราษฎร์ธานี'!L60</f>
        <v>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'กระบี่'!L61+'ชุมพร'!L61+'ตรัง'!L61+'นครศรีธรรมราช'!L61+'นราธิวาส'!L61+'ปัตตานี'!L61+'พังงา'!L61+'พัทลุง'!L61+'ภูเก็ต'!L61+'ยะลา'!L61+'ระนอง'!L61+'สงขลา'!L61+'สตูล'!L61+'สุราษฎร์ธานี'!L61</f>
        <v>0</v>
      </c>
      <c r="M61" s="125"/>
      <c r="N61" s="115">
        <f>'กระบี่'!N61+'ชุมพร'!N61+'ตรัง'!N61+'นครศรีธรรมราช'!N61+'นราธิวาส'!N61+'ปัตตานี'!N61+'พังงา'!N61+'พัทลุง'!N61+'ภูเก็ต'!N61+'ยะลา'!N61+'ระนอง'!N61+'สงขลา'!N61+'สตูล'!N61+'สุราษฎร์ธานี'!N61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'กระบี่'!I64+'ชุมพร'!I64+'ตรัง'!I64+'นครศรีธรรมราช'!I64+'นราธิวาส'!I64+'ปัตตานี'!I64+'พังงา'!I64+'พัทลุง'!I64+'ภูเก็ต'!I64+'ยะลา'!I64+'ระนอง'!I64+'สงขลา'!I64+'สตูล'!I64+'สุราษฎร์ธานี'!I64</f>
        <v>4</v>
      </c>
      <c r="J64" s="172">
        <f>'กระบี่'!J64+'ชุมพร'!J64+'ตรัง'!J64+'นครศรีธรรมราช'!J64+'นราธิวาส'!J64+'ปัตตานี'!J64+'พังงา'!J64+'พัทลุง'!J64+'ภูเก็ต'!J64+'ยะลา'!J64+'ระนอง'!J64+'สงขลา'!J64+'สตูล'!J64+'สุราษฎร์ธานี'!J64</f>
        <v>4</v>
      </c>
      <c r="K64" s="173">
        <f t="shared" ref="K64:K65" si="42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'กระบี่'!I65+'ชุมพร'!I65+'ตรัง'!I65+'นครศรีธรรมราช'!I65+'นราธิวาส'!I65+'ปัตตานี'!I65+'พังงา'!I65+'พัทลุง'!I65+'ภูเก็ต'!I65+'ยะลา'!I65+'ระนอง'!I65+'สงขลา'!I65+'สตูล'!I65+'สุราษฎร์ธานี'!I65</f>
        <v>130</v>
      </c>
      <c r="J65" s="172">
        <f>'กระบี่'!J65+'ชุมพร'!J65+'ตรัง'!J65+'นครศรีธรรมราช'!J65+'นราธิวาส'!J65+'ปัตตานี'!J65+'พังงา'!J65+'พัทลุง'!J65+'ภูเก็ต'!J65+'ยะลา'!J65+'ระนอง'!J65+'สงขลา'!J65+'สตูล'!J65+'สุราษฎร์ธานี'!J65</f>
        <v>130</v>
      </c>
      <c r="K65" s="173">
        <f t="shared" si="42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>'กระบี่'!L66+'ชุมพร'!L66+'ตรัง'!L66+'นครศรีธรรมราช'!L66+'นราธิวาส'!L66+'ปัตตานี'!L66+'พังงา'!L66+'พัทลุง'!L66+'ภูเก็ต'!L66+'ยะลา'!L66+'ระนอง'!L66+'สงขลา'!L66+'สตูล'!L66+'สุราษฎร์ธานี'!L66</f>
        <v>2053200</v>
      </c>
      <c r="M66" s="183">
        <f>'กระบี่'!M66+'ชุมพร'!M66+'ตรัง'!M66+'นครศรีธรรมราช'!M66+'นราธิวาส'!M66+'ปัตตานี'!M66+'พังงา'!M66+'พัทลุง'!M66+'ภูเก็ต'!M66+'ยะลา'!M66+'ระนอง'!M66+'สงขลา'!M66+'สตูล'!M66+'สุราษฎร์ธานี'!M66</f>
        <v>1172340</v>
      </c>
      <c r="N66" s="183">
        <f>'กระบี่'!N66+'ชุมพร'!N66+'ตรัง'!N66+'นครศรีธรรมราช'!N66+'นราธิวาส'!N66+'ปัตตานี'!N66+'พังงา'!N66+'พัทลุง'!N66+'ภูเก็ต'!N66+'ยะลา'!N66+'ระนอง'!N66+'สงขลา'!N66+'สตูล'!N66+'สุราษฎร์ธานี'!N66</f>
        <v>551035</v>
      </c>
      <c r="O66" s="182">
        <f t="shared" ref="O66:O68" si="43">IF(L66&gt;0,N66*100/L66,0)</f>
        <v>26.83786285</v>
      </c>
      <c r="P66" s="182">
        <f t="shared" ref="P66:P68" si="44">IF(M66&gt;0,N66*100/M66,0)</f>
        <v>47.00300254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>'กระบี่'!L67+'ชุมพร'!L67+'ตรัง'!L67+'นครศรีธรรมราช'!L67+'นราธิวาส'!L67+'ปัตตานี'!L67+'พังงา'!L67+'พัทลุง'!L67+'ภูเก็ต'!L67+'ยะลา'!L67+'ระนอง'!L67+'สงขลา'!L67+'สตูล'!L67+'สุราษฎร์ธานี'!L67</f>
        <v>0</v>
      </c>
      <c r="M67" s="188">
        <f>'กระบี่'!M67+'ชุมพร'!M67+'ตรัง'!M67+'นครศรีธรรมราช'!M67+'นราธิวาส'!M67+'ปัตตานี'!M67+'พังงา'!M67+'พัทลุง'!M67+'ภูเก็ต'!M67+'ยะลา'!M67+'ระนอง'!M67+'สงขลา'!M67+'สตูล'!M67+'สุราษฎร์ธานี'!M67</f>
        <v>0</v>
      </c>
      <c r="N67" s="188">
        <f>'กระบี่'!N67+'ชุมพร'!N67+'ตรัง'!N67+'นครศรีธรรมราช'!N67+'นราธิวาส'!N67+'ปัตตานี'!N67+'พังงา'!N67+'พัทลุง'!N67+'ภูเก็ต'!N67+'ยะลา'!N67+'ระนอง'!N67+'สงขลา'!N67+'สตูล'!N67+'สุราษฎร์ธานี'!N67</f>
        <v>0</v>
      </c>
      <c r="O67" s="187">
        <f t="shared" si="43"/>
        <v>0</v>
      </c>
      <c r="P67" s="187">
        <f t="shared" si="44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>'กระบี่'!L68+'ชุมพร'!L68+'ตรัง'!L68+'นครศรีธรรมราช'!L68+'นราธิวาส'!L68+'ปัตตานี'!L68+'พังงา'!L68+'พัทลุง'!L68+'ภูเก็ต'!L68+'ยะลา'!L68+'ระนอง'!L68+'สงขลา'!L68+'สตูล'!L68+'สุราษฎร์ธานี'!L68</f>
        <v>2053200</v>
      </c>
      <c r="M68" s="188">
        <f>'กระบี่'!M68+'ชุมพร'!M68+'ตรัง'!M68+'นครศรีธรรมราช'!M68+'นราธิวาส'!M68+'ปัตตานี'!M68+'พังงา'!M68+'พัทลุง'!M68+'ภูเก็ต'!M68+'ยะลา'!M68+'ระนอง'!M68+'สงขลา'!M68+'สตูล'!M68+'สุราษฎร์ธานี'!M68</f>
        <v>1172340</v>
      </c>
      <c r="N68" s="188">
        <f>'กระบี่'!N68+'ชุมพร'!N68+'ตรัง'!N68+'นครศรีธรรมราช'!N68+'นราธิวาส'!N68+'ปัตตานี'!N68+'พังงา'!N68+'พัทลุง'!N68+'ภูเก็ต'!N68+'ยะลา'!N68+'ระนอง'!N68+'สงขลา'!N68+'สตูล'!N68+'สุราษฎร์ธานี'!N68</f>
        <v>551035</v>
      </c>
      <c r="O68" s="187">
        <f t="shared" si="43"/>
        <v>26.83786285</v>
      </c>
      <c r="P68" s="187">
        <f t="shared" si="44"/>
        <v>47.00300254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f>'กระบี่'!L69+'ชุมพร'!L69+'ตรัง'!L69+'นครศรีธรรมราช'!L69+'นราธิวาส'!L69+'ปัตตานี'!L69+'พังงา'!L69+'พัทลุง'!L69+'ภูเก็ต'!L69+'ยะลา'!L69+'ระนอง'!L69+'สงขลา'!L69+'สตูล'!L69+'สุราษฎร์ธานี'!L69</f>
        <v>0</v>
      </c>
      <c r="M69" s="197">
        <f>'กระบี่'!M69+'ชุมพร'!M69+'ตรัง'!M69+'นครศรีธรรมราช'!M69+'นราธิวาส'!M69+'ปัตตานี'!M69+'พังงา'!M69+'พัทลุง'!M69+'ภูเก็ต'!M69+'ยะลา'!M69+'ระนอง'!M69+'สงขลา'!M69+'สตูล'!M69+'สุราษฎร์ธานี'!M69</f>
        <v>0</v>
      </c>
      <c r="N69" s="197">
        <f>'กระบี่'!N69+'ชุมพร'!N69+'ตรัง'!N69+'นครศรีธรรมราช'!N69+'นราธิวาส'!N69+'ปัตตานี'!N69+'พังงา'!N69+'พัทลุง'!N69+'ภูเก็ต'!N69+'ยะลา'!N69+'ระนอง'!N69+'สงขลา'!N69+'สตูล'!N69+'สุราษฎร์ธานี'!N69</f>
        <v>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'กระบี่'!L70+'ชุมพร'!L70+'ตรัง'!L70+'นครศรีธรรมราช'!L70+'นราธิวาส'!L70+'ปัตตานี'!L70+'พังงา'!L70+'พัทลุง'!L70+'ภูเก็ต'!L70+'ยะลา'!L70+'ระนอง'!L70+'สงขลา'!L70+'สตูล'!L70+'สุราษฎร์ธานี'!L70</f>
        <v>2053200</v>
      </c>
      <c r="M70" s="201">
        <f>'กระบี่'!M70+'ชุมพร'!M70+'ตรัง'!M70+'นครศรีธรรมราช'!M70+'นราธิวาส'!M70+'ปัตตานี'!M70+'พังงา'!M70+'พัทลุง'!M70+'ภูเก็ต'!M70+'ยะลา'!M70+'ระนอง'!M70+'สงขลา'!M70+'สตูล'!M70+'สุราษฎร์ธานี'!M70</f>
        <v>1172340</v>
      </c>
      <c r="N70" s="202">
        <f>'กระบี่'!N70+'ชุมพร'!N70+'ตรัง'!N70+'นครศรีธรรมราช'!N70+'นราธิวาส'!N70+'ปัตตานี'!N70+'พังงา'!N70+'พัทลุง'!N70+'ภูเก็ต'!N70+'ยะลา'!N70+'ระนอง'!N70+'สงขลา'!N70+'สตูล'!N70+'สุราษฎร์ธานี'!N70</f>
        <v>551035</v>
      </c>
      <c r="O70" s="203">
        <f>IF(L70&gt;0,N70*100/L70,0)</f>
        <v>26.83786285</v>
      </c>
      <c r="P70" s="203">
        <f>IF(M70&gt;0,N70*100/M70,0)</f>
        <v>47.00300254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'กระบี่'!L71+'ชุมพร'!L71+'ตรัง'!L71+'นครศรีธรรมราช'!L71+'นราธิวาส'!L71+'ปัตตานี'!L71+'พังงา'!L71+'พัทลุง'!L71+'ภูเก็ต'!L71+'ยะลา'!L71+'ระนอง'!L71+'สงขลา'!L71+'สตูล'!L71+'สุราษฎร์ธานี'!L71</f>
        <v>689200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'กระบี่'!L72+'ชุมพร'!L72+'ตรัง'!L72+'นครศรีธรรมราช'!L72+'นราธิวาส'!L72+'ปัตตานี'!L72+'พังงา'!L72+'พัทลุง'!L72+'ภูเก็ต'!L72+'ยะลา'!L72+'ระนอง'!L72+'สงขลา'!L72+'สตูล'!L72+'สุราษฎร์ธานี'!L72</f>
        <v>1364000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f>'กระบี่'!L73+'ชุมพร'!L73+'ตรัง'!L73+'นครศรีธรรมราช'!L73+'นราธิวาส'!L73+'ปัตตานี'!L73+'พังงา'!L73+'พัทลุง'!L73+'ภูเก็ต'!L73+'ยะลา'!L73+'ระนอง'!L73+'สงขลา'!L73+'สตูล'!L73+'สุราษฎร์ธานี'!L73</f>
        <v>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'กระบี่'!L74+'ชุมพร'!L74+'ตรัง'!L74+'นครศรีธรรมราช'!L74+'นราธิวาส'!L74+'ปัตตานี'!L74+'พังงา'!L74+'พัทลุง'!L74+'ภูเก็ต'!L74+'ยะลา'!L74+'ระนอง'!L74+'สงขลา'!L74+'สตูล'!L74+'สุราษฎร์ธานี'!L74</f>
        <v>0</v>
      </c>
      <c r="M74" s="125"/>
      <c r="N74" s="115">
        <f>'กระบี่'!N74+'ชุมพร'!N74+'ตรัง'!N74+'นครศรีธรรมราช'!N74+'นราธิวาส'!N74+'ปัตตานี'!N74+'พังงา'!N74+'พัทลุง'!N74+'ภูเก็ต'!N74+'ยะลา'!N74+'ระนอง'!N74+'สงขลา'!N74+'สตูล'!N74+'สุราษฎร์ธานี'!N74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'กระบี่'!J76+'ชุมพร'!J76+'ตรัง'!J76+'นครศรีธรรมราช'!J76+'นราธิวาส'!J76+'ปัตตานี'!J76+'พังงา'!J76+'พัทลุง'!J76+'ภูเก็ต'!J76+'ยะลา'!J76+'ระนอง'!J76+'สงขลา'!J76+'สตูล'!J76+'สุราษฎร์ธานี'!J76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'กระบี่'!J77+'ชุมพร'!J77+'ตรัง'!J77+'นครศรีธรรมราช'!J77+'นราธิวาส'!J77+'ปัตตานี'!J77+'พังงา'!J77+'พัทลุง'!J77+'ภูเก็ต'!J77+'ยะลา'!J77+'ระนอง'!J77+'สงขลา'!J77+'สตูล'!J77+'สุราษฎร์ธานี'!J77</f>
        <v>3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'กระบี่'!J78+'ชุมพร'!J78+'ตรัง'!J78+'นครศรีธรรมราช'!J78+'นราธิวาส'!J78+'ปัตตานี'!J78+'พังงา'!J78+'พัทลุง'!J78+'ภูเก็ต'!J78+'ยะลา'!J78+'ระนอง'!J78+'สงขลา'!J78+'สตูล'!J78+'สุราษฎร์ธานี'!J78</f>
        <v>3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'กระบี่'!J79+'ชุมพร'!J79+'ตรัง'!J79+'นครศรีธรรมราช'!J79+'นราธิวาส'!J79+'ปัตตานี'!J79+'พังงา'!J79+'พัทลุง'!J79+'ภูเก็ต'!J79+'ยะลา'!J79+'ระนอง'!J79+'สงขลา'!J79+'สตูล'!J79+'สุราษฎร์ธานี'!J79</f>
        <v>3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'กระบี่'!I80+'ชุมพร'!I80+'ตรัง'!I80+'นครศรีธรรมราช'!I80+'นราธิวาส'!I80+'ปัตตานี'!I80+'พังงา'!I80+'พัทลุง'!I80+'ภูเก็ต'!I80+'ยะลา'!I80+'ระนอง'!I80+'สงขลา'!I80+'สตูล'!I80+'สุราษฎร์ธานี'!I80</f>
        <v>4</v>
      </c>
      <c r="J80" s="235">
        <f>'กระบี่'!J80+'ชุมพร'!J80+'ตรัง'!J80+'นครศรีธรรมราช'!J80+'นราธิวาส'!J80+'ปัตตานี'!J80+'พังงา'!J80+'พัทลุง'!J80+'ภูเก็ต'!J80+'ยะลา'!J80+'ระนอง'!J80+'สงขลา'!J80+'สตูล'!J80+'สุราษฎร์ธานี'!J80</f>
        <v>4</v>
      </c>
      <c r="K80" s="236">
        <f t="shared" ref="K80:K88" si="45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'กระบี่'!I81+'ชุมพร'!I81+'ตรัง'!I81+'นครศรีธรรมราช'!I81+'นราธิวาส'!I81+'ปัตตานี'!I81+'พังงา'!I81+'พัทลุง'!I81+'ภูเก็ต'!I81+'ยะลา'!I81+'ระนอง'!I81+'สงขลา'!I81+'สตูล'!I81+'สุราษฎร์ธานี'!I81</f>
        <v>130</v>
      </c>
      <c r="J81" s="235">
        <f>'กระบี่'!J81+'ชุมพร'!J81+'ตรัง'!J81+'นครศรีธรรมราช'!J81+'นราธิวาส'!J81+'ปัตตานี'!J81+'พังงา'!J81+'พัทลุง'!J81+'ภูเก็ต'!J81+'ยะลา'!J81+'ระนอง'!J81+'สงขลา'!J81+'สตูล'!J81+'สุราษฎร์ธานี'!J81</f>
        <v>130</v>
      </c>
      <c r="K81" s="236">
        <f t="shared" si="45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'กระบี่'!I82+'ชุมพร'!I82+'ตรัง'!I82+'นครศรีธรรมราช'!I82+'นราธิวาส'!I82+'ปัตตานี'!I82+'พังงา'!I82+'พัทลุง'!I82+'ภูเก็ต'!I82+'ยะลา'!I82+'ระนอง'!I82+'สงขลา'!I82+'สตูล'!I82+'สุราษฎร์ธานี'!I82</f>
        <v>1</v>
      </c>
      <c r="J82" s="238">
        <f>'กระบี่'!J82+'ชุมพร'!J82+'ตรัง'!J82+'นครศรีธรรมราช'!J82+'นราธิวาส'!J82+'ปัตตานี'!J82+'พังงา'!J82+'พัทลุง'!J82+'ภูเก็ต'!J82+'ยะลา'!J82+'ระนอง'!J82+'สงขลา'!J82+'สตูล'!J82+'สุราษฎร์ธานี'!J82</f>
        <v>1</v>
      </c>
      <c r="K82" s="196">
        <f t="shared" si="45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'กระบี่'!I83+'ชุมพร'!I83+'ตรัง'!I83+'นครศรีธรรมราช'!I83+'นราธิวาส'!I83+'ปัตตานี'!I83+'พังงา'!I83+'พัทลุง'!I83+'ภูเก็ต'!I83+'ยะลา'!I83+'ระนอง'!I83+'สงขลา'!I83+'สตูล'!I83+'สุราษฎร์ธานี'!I83</f>
        <v>30</v>
      </c>
      <c r="J83" s="238">
        <f>'กระบี่'!J83+'ชุมพร'!J83+'ตรัง'!J83+'นครศรีธรรมราช'!J83+'นราธิวาส'!J83+'ปัตตานี'!J83+'พังงา'!J83+'พัทลุง'!J83+'ภูเก็ต'!J83+'ยะลา'!J83+'ระนอง'!J83+'สงขลา'!J83+'สตูล'!J83+'สุราษฎร์ธานี'!J83</f>
        <v>30</v>
      </c>
      <c r="K83" s="196">
        <f t="shared" si="45"/>
        <v>100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'กระบี่'!I84+'ชุมพร'!I84+'ตรัง'!I84+'นครศรีธรรมราช'!I84+'นราธิวาส'!I84+'ปัตตานี'!I84+'พังงา'!I84+'พัทลุง'!I84+'ภูเก็ต'!I84+'ยะลา'!I84+'ระนอง'!I84+'สงขลา'!I84+'สตูล'!I84+'สุราษฎร์ธานี'!I84</f>
        <v>1</v>
      </c>
      <c r="J84" s="223">
        <f>'กระบี่'!J84+'ชุมพร'!J84+'ตรัง'!J84+'นครศรีธรรมราช'!J84+'นราธิวาส'!J84+'ปัตตานี'!J84+'พังงา'!J84+'พัทลุง'!J84+'ภูเก็ต'!J84+'ยะลา'!J84+'ระนอง'!J84+'สงขลา'!J84+'สตูล'!J84+'สุราษฎร์ธานี'!J84</f>
        <v>1</v>
      </c>
      <c r="K84" s="196">
        <f t="shared" si="45"/>
        <v>100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'กระบี่'!I85+'ชุมพร'!I85+'ตรัง'!I85+'นครศรีธรรมราช'!I85+'นราธิวาส'!I85+'ปัตตานี'!I85+'พังงา'!I85+'พัทลุง'!I85+'ภูเก็ต'!I85+'ยะลา'!I85+'ระนอง'!I85+'สงขลา'!I85+'สตูล'!I85+'สุราษฎร์ธานี'!I85</f>
        <v>30</v>
      </c>
      <c r="J85" s="223">
        <f>'กระบี่'!J85+'ชุมพร'!J85+'ตรัง'!J85+'นครศรีธรรมราช'!J85+'นราธิวาส'!J85+'ปัตตานี'!J85+'พังงา'!J85+'พัทลุง'!J85+'ภูเก็ต'!J85+'ยะลา'!J85+'ระนอง'!J85+'สงขลา'!J85+'สตูล'!J85+'สุราษฎร์ธานี'!J85</f>
        <v>30</v>
      </c>
      <c r="K85" s="196">
        <f t="shared" si="45"/>
        <v>100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'กระบี่'!I86+'ชุมพร'!I86+'ตรัง'!I86+'นครศรีธรรมราช'!I86+'นราธิวาส'!I86+'ปัตตานี'!I86+'พังงา'!I86+'พัทลุง'!I86+'ภูเก็ต'!I86+'ยะลา'!I86+'ระนอง'!I86+'สงขลา'!I86+'สตูล'!I86+'สุราษฎร์ธานี'!I86</f>
        <v>2</v>
      </c>
      <c r="J86" s="238">
        <f>'กระบี่'!J86+'ชุมพร'!J86+'ตรัง'!J86+'นครศรีธรรมราช'!J86+'นราธิวาส'!J86+'ปัตตานี'!J86+'พังงา'!J86+'พัทลุง'!J86+'ภูเก็ต'!J86+'ยะลา'!J86+'ระนอง'!J86+'สงขลา'!J86+'สตูล'!J86+'สุราษฎร์ธานี'!J86</f>
        <v>2</v>
      </c>
      <c r="K86" s="196">
        <f t="shared" si="45"/>
        <v>100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'กระบี่'!I87+'ชุมพร'!I87+'ตรัง'!I87+'นครศรีธรรมราช'!I87+'นราธิวาส'!I87+'ปัตตานี'!I87+'พังงา'!I87+'พัทลุง'!I87+'ภูเก็ต'!I87+'ยะลา'!I87+'ระนอง'!I87+'สงขลา'!I87+'สตูล'!I87+'สุราษฎร์ธานี'!I87</f>
        <v>70</v>
      </c>
      <c r="J87" s="238">
        <f>'กระบี่'!J87+'ชุมพร'!J87+'ตรัง'!J87+'นครศรีธรรมราช'!J87+'นราธิวาส'!J87+'ปัตตานี'!J87+'พังงา'!J87+'พัทลุง'!J87+'ภูเก็ต'!J87+'ยะลา'!J87+'ระนอง'!J87+'สงขลา'!J87+'สตูล'!J87+'สุราษฎร์ธานี'!J87</f>
        <v>70</v>
      </c>
      <c r="K87" s="196">
        <f t="shared" si="45"/>
        <v>100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'กระบี่'!I88+'ชุมพร'!I88+'ตรัง'!I88+'นครศรีธรรมราช'!I88+'นราธิวาส'!I88+'ปัตตานี'!I88+'พังงา'!I88+'พัทลุง'!I88+'ภูเก็ต'!I88+'ยะลา'!I88+'ระนอง'!I88+'สงขลา'!I88+'สตูล'!I88+'สุราษฎร์ธานี'!I88</f>
        <v>30</v>
      </c>
      <c r="J88" s="238">
        <f>'กระบี่'!J88+'ชุมพร'!J88+'ตรัง'!J88+'นครศรีธรรมราช'!J88+'นราธิวาส'!J88+'ปัตตานี'!J88+'พังงา'!J88+'พัทลุง'!J88+'ภูเก็ต'!J88+'ยะลา'!J88+'ระนอง'!J88+'สงขลา'!J88+'สตูล'!J88+'สุราษฎร์ธานี'!J88</f>
        <v>0</v>
      </c>
      <c r="K88" s="196">
        <f t="shared" si="45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'กระบี่'!J89+'ชุมพร'!J89+'ตรัง'!J89+'นครศรีธรรมราช'!J89+'นราธิวาส'!J89+'ปัตตานี'!J89+'พังงา'!J89+'พัทลุง'!J89+'ภูเก็ต'!J89+'ยะลา'!J89+'ระนอง'!J89+'สงขลา'!J89+'สตูล'!J89+'สุราษฎร์ธานี'!J89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'กระบี่'!J90+'ชุมพร'!J90+'ตรัง'!J90+'นครศรีธรรมราช'!J90+'นราธิวาส'!J90+'ปัตตานี'!J90+'พังงา'!J90+'พัทลุง'!J90+'ภูเก็ต'!J90+'ยะลา'!J90+'ระนอง'!J90+'สงขลา'!J90+'สตูล'!J90+'สุราษฎร์ธานี'!J90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'กระบี่'!I92+'ชุมพร'!I92+'ตรัง'!I92+'นครศรีธรรมราช'!I92+'นราธิวาส'!I92+'ปัตตานี'!I92+'พังงา'!I92+'พัทลุง'!I92+'ภูเก็ต'!I92+'ยะลา'!I92+'ระนอง'!I92+'สงขลา'!I92+'สตูล'!I92+'สุราษฎร์ธานี'!I92</f>
        <v>23</v>
      </c>
      <c r="J92" s="172">
        <f>'กระบี่'!J92+'ชุมพร'!J92+'ตรัง'!J92+'นครศรีธรรมราช'!J92+'นราธิวาส'!J92+'ปัตตานี'!J92+'พังงา'!J92+'พัทลุง'!J92+'ภูเก็ต'!J92+'ยะลา'!J92+'ระนอง'!J92+'สงขลา'!J92+'สตูล'!J92+'สุราษฎร์ธานี'!J92</f>
        <v>0</v>
      </c>
      <c r="K92" s="173">
        <f t="shared" ref="K92:K93" si="46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'กระบี่'!I93+'ชุมพร'!I93+'ตรัง'!I93+'นครศรีธรรมราช'!I93+'นราธิวาส'!I93+'ปัตตานี'!I93+'พังงา'!I93+'พัทลุง'!I93+'ภูเก็ต'!I93+'ยะลา'!I93+'ระนอง'!I93+'สงขลา'!I93+'สตูล'!I93+'สุราษฎร์ธานี'!I93</f>
        <v>6</v>
      </c>
      <c r="J93" s="172">
        <f>'กระบี่'!J93+'ชุมพร'!J93+'ตรัง'!J93+'นครศรีธรรมราช'!J93+'นราธิวาส'!J93+'ปัตตานี'!J93+'พังงา'!J93+'พัทลุง'!J93+'ภูเก็ต'!J93+'ยะลา'!J93+'ระนอง'!J93+'สงขลา'!J93+'สตูล'!J93+'สุราษฎร์ธานี'!J93</f>
        <v>2</v>
      </c>
      <c r="K93" s="173">
        <f t="shared" si="46"/>
        <v>33.33333333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>'กระบี่'!L94+'ชุมพร'!L94+'ตรัง'!L94+'นครศรีธรรมราช'!L94+'นราธิวาส'!L94+'ปัตตานี'!L94+'พังงา'!L94+'พัทลุง'!L94+'ภูเก็ต'!L94+'ยะลา'!L94+'ระนอง'!L94+'สงขลา'!L94+'สตูล'!L94+'สุราษฎร์ธานี'!L94</f>
        <v>1177800</v>
      </c>
      <c r="M94" s="183">
        <f>'กระบี่'!M94+'ชุมพร'!M94+'ตรัง'!M94+'นครศรีธรรมราช'!M94+'นราธิวาส'!M94+'ปัตตานี'!M94+'พังงา'!M94+'พัทลุง'!M94+'ภูเก็ต'!M94+'ยะลา'!M94+'ระนอง'!M94+'สงขลา'!M94+'สตูล'!M94+'สุราษฎร์ธานี'!M94</f>
        <v>355710</v>
      </c>
      <c r="N94" s="183">
        <f>'กระบี่'!N94+'ชุมพร'!N94+'ตรัง'!N94+'นครศรีธรรมราช'!N94+'นราธิวาส'!N94+'ปัตตานี'!N94+'พังงา'!N94+'พัทลุง'!N94+'ภูเก็ต'!N94+'ยะลา'!N94+'ระนอง'!N94+'สงขลา'!N94+'สตูล'!N94+'สุราษฎร์ธานี'!N94</f>
        <v>519960</v>
      </c>
      <c r="O94" s="182">
        <f t="shared" ref="O94:O96" si="47">IF(L94&gt;0,N94*100/L94,0)</f>
        <v>44.14671421</v>
      </c>
      <c r="P94" s="182">
        <f t="shared" ref="P94:P96" si="48">IF(M94&gt;0,N94*100/M94,0)</f>
        <v>146.1752551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>'กระบี่'!L95+'ชุมพร'!L95+'ตรัง'!L95+'นครศรีธรรมราช'!L95+'นราธิวาส'!L95+'ปัตตานี'!L95+'พังงา'!L95+'พัทลุง'!L95+'ภูเก็ต'!L95+'ยะลา'!L95+'ระนอง'!L95+'สงขลา'!L95+'สตูล'!L95+'สุราษฎร์ธานี'!L95</f>
        <v>0</v>
      </c>
      <c r="M95" s="188">
        <f>'กระบี่'!M95+'ชุมพร'!M95+'ตรัง'!M95+'นครศรีธรรมราช'!M95+'นราธิวาส'!M95+'ปัตตานี'!M95+'พังงา'!M95+'พัทลุง'!M95+'ภูเก็ต'!M95+'ยะลา'!M95+'ระนอง'!M95+'สงขลา'!M95+'สตูล'!M95+'สุราษฎร์ธานี'!M95</f>
        <v>0</v>
      </c>
      <c r="N95" s="188">
        <f>'กระบี่'!N95+'ชุมพร'!N95+'ตรัง'!N95+'นครศรีธรรมราช'!N95+'นราธิวาส'!N95+'ปัตตานี'!N95+'พังงา'!N95+'พัทลุง'!N95+'ภูเก็ต'!N95+'ยะลา'!N95+'ระนอง'!N95+'สงขลา'!N95+'สตูล'!N95+'สุราษฎร์ธานี'!N95</f>
        <v>0</v>
      </c>
      <c r="O95" s="187">
        <f t="shared" si="47"/>
        <v>0</v>
      </c>
      <c r="P95" s="187">
        <f t="shared" si="48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>'กระบี่'!L96+'ชุมพร'!L96+'ตรัง'!L96+'นครศรีธรรมราช'!L96+'นราธิวาส'!L96+'ปัตตานี'!L96+'พังงา'!L96+'พัทลุง'!L96+'ภูเก็ต'!L96+'ยะลา'!L96+'ระนอง'!L96+'สงขลา'!L96+'สตูล'!L96+'สุราษฎร์ธานี'!L96</f>
        <v>1177800</v>
      </c>
      <c r="M96" s="188">
        <f>'กระบี่'!M96+'ชุมพร'!M96+'ตรัง'!M96+'นครศรีธรรมราช'!M96+'นราธิวาส'!M96+'ปัตตานี'!M96+'พังงา'!M96+'พัทลุง'!M96+'ภูเก็ต'!M96+'ยะลา'!M96+'ระนอง'!M96+'สงขลา'!M96+'สตูล'!M96+'สุราษฎร์ธานี'!M96</f>
        <v>355710</v>
      </c>
      <c r="N96" s="188">
        <f>'กระบี่'!N96+'ชุมพร'!N96+'ตรัง'!N96+'นครศรีธรรมราช'!N96+'นราธิวาส'!N96+'ปัตตานี'!N96+'พังงา'!N96+'พัทลุง'!N96+'ภูเก็ต'!N96+'ยะลา'!N96+'ระนอง'!N96+'สงขลา'!N96+'สตูล'!N96+'สุราษฎร์ธานี'!N96</f>
        <v>519960</v>
      </c>
      <c r="O96" s="187">
        <f t="shared" si="47"/>
        <v>44.14671421</v>
      </c>
      <c r="P96" s="187">
        <f t="shared" si="48"/>
        <v>146.1752551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f>'กระบี่'!L97+'ชุมพร'!L97+'ตรัง'!L97+'นครศรีธรรมราช'!L97+'นราธิวาส'!L97+'ปัตตานี'!L97+'พังงา'!L97+'พัทลุง'!L97+'ภูเก็ต'!L97+'ยะลา'!L97+'ระนอง'!L97+'สงขลา'!L97+'สตูล'!L97+'สุราษฎร์ธานี'!L97</f>
        <v>0</v>
      </c>
      <c r="M97" s="197">
        <f>'กระบี่'!M97+'ชุมพร'!M97+'ตรัง'!M97+'นครศรีธรรมราช'!M97+'นราธิวาส'!M97+'ปัตตานี'!M97+'พังงา'!M97+'พัทลุง'!M97+'ภูเก็ต'!M97+'ยะลา'!M97+'ระนอง'!M97+'สงขลา'!M97+'สตูล'!M97+'สุราษฎร์ธานี'!M97</f>
        <v>0</v>
      </c>
      <c r="N97" s="197">
        <f>'กระบี่'!N97+'ชุมพร'!N97+'ตรัง'!N97+'นครศรีธรรมราช'!N97+'นราธิวาส'!N97+'ปัตตานี'!N97+'พังงา'!N97+'พัทลุง'!N97+'ภูเก็ต'!N97+'ยะลา'!N97+'ระนอง'!N97+'สงขลา'!N97+'สตูล'!N97+'สุราษฎร์ธานี'!N97</f>
        <v>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'กระบี่'!L98+'ชุมพร'!L98+'ตรัง'!L98+'นครศรีธรรมราช'!L98+'นราธิวาส'!L98+'ปัตตานี'!L98+'พังงา'!L98+'พัทลุง'!L98+'ภูเก็ต'!L98+'ยะลา'!L98+'ระนอง'!L98+'สงขลา'!L98+'สตูล'!L98+'สุราษฎร์ธานี'!L98</f>
        <v>623400</v>
      </c>
      <c r="M98" s="201">
        <f>'กระบี่'!M98+'ชุมพร'!M98+'ตรัง'!M98+'นครศรีธรรมราช'!M98+'นราธิวาส'!M98+'ปัตตานี'!M98+'พังงา'!M98+'พัทลุง'!M98+'ภูเก็ต'!M98+'ยะลา'!M98+'ระนอง'!M98+'สงขลา'!M98+'สตูล'!M98+'สุราษฎร์ธานี'!M98</f>
        <v>355710</v>
      </c>
      <c r="N98" s="202">
        <f>'กระบี่'!N98+'ชุมพร'!N98+'ตรัง'!N98+'นครศรีธรรมราช'!N98+'นราธิวาส'!N98+'ปัตตานี'!N98+'พังงา'!N98+'พัทลุง'!N98+'ภูเก็ต'!N98+'ยะลา'!N98+'ระนอง'!N98+'สงขลา'!N98+'สตูล'!N98+'สุราษฎร์ธานี'!N98</f>
        <v>57960</v>
      </c>
      <c r="O98" s="203">
        <f>IF(L98&gt;0,N98*100/L98,0)</f>
        <v>9.297401347</v>
      </c>
      <c r="P98" s="203">
        <f>IF(M98&gt;0,N98*100/M98,0)</f>
        <v>16.29417222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'กระบี่'!L99+'ชุมพร'!L99+'ตรัง'!L99+'นครศรีธรรมราช'!L99+'นราธิวาส'!L99+'ปัตตานี'!L99+'พังงา'!L99+'พัทลุง'!L99+'ภูเก็ต'!L99+'ยะลา'!L99+'ระนอง'!L99+'สงขลา'!L99+'สตูล'!L99+'สุราษฎร์ธานี'!L99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'กระบี่'!L100+'ชุมพร'!L100+'ตรัง'!L100+'นครศรีธรรมราช'!L100+'นราธิวาส'!L100+'ปัตตานี'!L100+'พังงา'!L100+'พัทลุง'!L100+'ภูเก็ต'!L100+'ยะลา'!L100+'ระนอง'!L100+'สงขลา'!L100+'สตูล'!L100+'สุราษฎร์ธานี'!L100</f>
        <v>623400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f>'กระบี่'!L101+'ชุมพร'!L101+'ตรัง'!L101+'นครศรีธรรมราช'!L101+'นราธิวาส'!L101+'ปัตตานี'!L101+'พังงา'!L101+'พัทลุง'!L101+'ภูเก็ต'!L101+'ยะลา'!L101+'ระนอง'!L101+'สงขลา'!L101+'สตูล'!L101+'สุราษฎร์ธานี'!L101</f>
        <v>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'กระบี่'!L102+'ชุมพร'!L102+'ตรัง'!L102+'นครศรีธรรมราช'!L102+'นราธิวาส'!L102+'ปัตตานี'!L102+'พังงา'!L102+'พัทลุง'!L102+'ภูเก็ต'!L102+'ยะลา'!L102+'ระนอง'!L102+'สงขลา'!L102+'สตูล'!L102+'สุราษฎร์ธานี'!L102</f>
        <v>554400</v>
      </c>
      <c r="M102" s="125"/>
      <c r="N102" s="115">
        <f>'กระบี่'!N102+'ชุมพร'!N102+'ตรัง'!N102+'นครศรีธรรมราช'!N102+'นราธิวาส'!N102+'ปัตตานี'!N102+'พังงา'!N102+'พัทลุง'!N102+'ภูเก็ต'!N102+'ยะลา'!N102+'ระนอง'!N102+'สงขลา'!N102+'สตูล'!N102+'สุราษฎร์ธานี'!N102</f>
        <v>462000</v>
      </c>
      <c r="O102" s="125">
        <f>IF(L102&gt;0,N102*100/L102,0)</f>
        <v>83.33333333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'กระบี่'!J104+'ชุมพร'!J104+'ตรัง'!J104+'นครศรีธรรมราช'!J104+'นราธิวาส'!J104+'ปัตตานี'!J104+'พังงา'!J104+'พัทลุง'!J104+'ภูเก็ต'!J104+'ยะลา'!J104+'ระนอง'!J104+'สงขลา'!J104+'สตูล'!J104+'สุราษฎร์ธานี'!J104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'กระบี่'!J105+'ชุมพร'!J105+'ตรัง'!J105+'นครศรีธรรมราช'!J105+'นราธิวาส'!J105+'ปัตตานี'!J105+'พังงา'!J105+'พัทลุง'!J105+'ภูเก็ต'!J105+'ยะลา'!J105+'ระนอง'!J105+'สงขลา'!J105+'สตูล'!J105+'สุราษฎร์ธานี'!J105</f>
        <v>5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'กระบี่'!J106+'ชุมพร'!J106+'ตรัง'!J106+'นครศรีธรรมราช'!J106+'นราธิวาส'!J106+'ปัตตานี'!J106+'พังงา'!J106+'พัทลุง'!J106+'ภูเก็ต'!J106+'ยะลา'!J106+'ระนอง'!J106+'สงขลา'!J106+'สตูล'!J106+'สุราษฎร์ธานี'!J106</f>
        <v>5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'กระบี่'!J107+'ชุมพร'!J107+'ตรัง'!J107+'นครศรีธรรมราช'!J107+'นราธิวาส'!J107+'ปัตตานี'!J107+'พังงา'!J107+'พัทลุง'!J107+'ภูเก็ต'!J107+'ยะลา'!J107+'ระนอง'!J107+'สงขลา'!J107+'สตูล'!J107+'สุราษฎร์ธานี'!J107</f>
        <v>4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'กระบี่'!I108+'ชุมพร'!I108+'ตรัง'!I108+'นครศรีธรรมราช'!I108+'นราธิวาส'!I108+'ปัตตานี'!I108+'พังงา'!I108+'พัทลุง'!I108+'ภูเก็ต'!I108+'ยะลา'!I108+'ระนอง'!I108+'สงขลา'!I108+'สตูล'!I108+'สุราษฎร์ธานี'!I108</f>
        <v>5</v>
      </c>
      <c r="J108" s="238">
        <f>'กระบี่'!J108+'ชุมพร'!J108+'ตรัง'!J108+'นครศรีธรรมราช'!J108+'นราธิวาส'!J108+'ปัตตานี'!J108+'พังงา'!J108+'พัทลุง'!J108+'ภูเก็ต'!J108+'ยะลา'!J108+'ระนอง'!J108+'สงขลา'!J108+'สตูล'!J108+'สุราษฎร์ธานี'!J108</f>
        <v>2</v>
      </c>
      <c r="K108" s="258">
        <f t="shared" ref="K108:K113" si="49">IF(I108&gt;0,J108*100/I108,0)</f>
        <v>40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'กระบี่'!I109+'ชุมพร'!I109+'ตรัง'!I109+'นครศรีธรรมราช'!I109+'นราธิวาส'!I109+'ปัตตานี'!I109+'พังงา'!I109+'พัทลุง'!I109+'ภูเก็ต'!I109+'ยะลา'!I109+'ระนอง'!I109+'สงขลา'!I109+'สตูล'!I109+'สุราษฎร์ธานี'!I109</f>
        <v>23</v>
      </c>
      <c r="J109" s="238">
        <f>'กระบี่'!J109+'ชุมพร'!J109+'ตรัง'!J109+'นครศรีธรรมราช'!J109+'นราธิวาส'!J109+'ปัตตานี'!J109+'พังงา'!J109+'พัทลุง'!J109+'ภูเก็ต'!J109+'ยะลา'!J109+'ระนอง'!J109+'สงขลา'!J109+'สตูล'!J109+'สุราษฎร์ธานี'!J109</f>
        <v>0</v>
      </c>
      <c r="K109" s="258">
        <f t="shared" si="49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'กระบี่'!I110+'ชุมพร'!I110+'ตรัง'!I110+'นครศรีธรรมราช'!I110+'นราธิวาส'!I110+'ปัตตานี'!I110+'พังงา'!I110+'พัทลุง'!I110+'ภูเก็ต'!I110+'ยะลา'!I110+'ระนอง'!I110+'สงขลา'!I110+'สตูล'!I110+'สุราษฎร์ธานี'!I110</f>
        <v>23</v>
      </c>
      <c r="J110" s="238">
        <f>'กระบี่'!J110+'ชุมพร'!J110+'ตรัง'!J110+'นครศรีธรรมราช'!J110+'นราธิวาส'!J110+'ปัตตานี'!J110+'พังงา'!J110+'พัทลุง'!J110+'ภูเก็ต'!J110+'ยะลา'!J110+'ระนอง'!J110+'สงขลา'!J110+'สตูล'!J110+'สุราษฎร์ธานี'!J110</f>
        <v>19</v>
      </c>
      <c r="K110" s="258">
        <f t="shared" si="49"/>
        <v>82.60869565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'กระบี่'!I111+'ชุมพร'!I111+'ตรัง'!I111+'นครศรีธรรมราช'!I111+'นราธิวาส'!I111+'ปัตตานี'!I111+'พังงา'!I111+'พัทลุง'!I111+'ภูเก็ต'!I111+'ยะลา'!I111+'ระนอง'!I111+'สงขลา'!I111+'สตูล'!I111+'สุราษฎร์ธานี'!I111</f>
        <v>23</v>
      </c>
      <c r="J111" s="238">
        <f>'กระบี่'!J111+'ชุมพร'!J111+'ตรัง'!J111+'นครศรีธรรมราช'!J111+'นราธิวาส'!J111+'ปัตตานี'!J111+'พังงา'!J111+'พัทลุง'!J111+'ภูเก็ต'!J111+'ยะลา'!J111+'ระนอง'!J111+'สงขลา'!J111+'สตูล'!J111+'สุราษฎร์ธานี'!J111</f>
        <v>4</v>
      </c>
      <c r="K111" s="258">
        <f t="shared" si="49"/>
        <v>17.39130435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'กระบี่'!I112+'ชุมพร'!I112+'ตรัง'!I112+'นครศรีธรรมราช'!I112+'นราธิวาส'!I112+'ปัตตานี'!I112+'พังงา'!I112+'พัทลุง'!I112+'ภูเก็ต'!I112+'ยะลา'!I112+'ระนอง'!I112+'สงขลา'!I112+'สตูล'!I112+'สุราษฎร์ธานี'!I112</f>
        <v>23</v>
      </c>
      <c r="J112" s="238">
        <f>'กระบี่'!J112+'ชุมพร'!J112+'ตรัง'!J112+'นครศรีธรรมราช'!J112+'นราธิวาส'!J112+'ปัตตานี'!J112+'พังงา'!J112+'พัทลุง'!J112+'ภูเก็ต'!J112+'ยะลา'!J112+'ระนอง'!J112+'สงขลา'!J112+'สตูล'!J112+'สุราษฎร์ธานี'!J112</f>
        <v>0</v>
      </c>
      <c r="K112" s="258">
        <f t="shared" si="49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'กระบี่'!I113+'ชุมพร'!I113+'ตรัง'!I113+'นครศรีธรรมราช'!I113+'นราธิวาส'!I113+'ปัตตานี'!I113+'พังงา'!I113+'พัทลุง'!I113+'ภูเก็ต'!I113+'ยะลา'!I113+'ระนอง'!I113+'สงขลา'!I113+'สตูล'!I113+'สุราษฎร์ธานี'!I113</f>
        <v>6</v>
      </c>
      <c r="J113" s="238">
        <f>'กระบี่'!J113+'ชุมพร'!J113+'ตรัง'!J113+'นครศรีธรรมราช'!J113+'นราธิวาส'!J113+'ปัตตานี'!J113+'พังงา'!J113+'พัทลุง'!J113+'ภูเก็ต'!J113+'ยะลา'!J113+'ระนอง'!J113+'สงขลา'!J113+'สตูล'!J113+'สุราษฎร์ธานี'!J113</f>
        <v>2</v>
      </c>
      <c r="K113" s="258">
        <f t="shared" si="49"/>
        <v>33.33333333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'กระบี่'!J114+'ชุมพร'!J114+'ตรัง'!J114+'นครศรีธรรมราช'!J114+'นราธิวาส'!J114+'ปัตตานี'!J114+'พังงา'!J114+'พัทลุง'!J114+'ภูเก็ต'!J114+'ยะลา'!J114+'ระนอง'!J114+'สงขลา'!J114+'สตูล'!J114+'สุราษฎร์ธานี'!J114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'กระบี่'!J115+'ชุมพร'!J115+'ตรัง'!J115+'นครศรีธรรมราช'!J115+'นราธิวาส'!J115+'ปัตตานี'!J115+'พังงา'!J115+'พัทลุง'!J115+'ภูเก็ต'!J115+'ยะลา'!J115+'ระนอง'!J115+'สงขลา'!J115+'สตูล'!J115+'สุราษฎร์ธานี'!J115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'กระบี่'!I117+'ชุมพร'!I117+'ตรัง'!I117+'นครศรีธรรมราช'!I117+'นราธิวาส'!I117+'ปัตตานี'!I117+'พังงา'!I117+'พัทลุง'!I117+'ภูเก็ต'!I117+'ยะลา'!I117+'ระนอง'!I117+'สงขลา'!I117+'สตูล'!I117+'สุราษฎร์ธานี'!I117</f>
        <v>75</v>
      </c>
      <c r="J117" s="172">
        <f>'กระบี่'!J117+'ชุมพร'!J117+'ตรัง'!J117+'นครศรีธรรมราช'!J117+'นราธิวาส'!J117+'ปัตตานี'!J117+'พังงา'!J117+'พัทลุง'!J117+'ภูเก็ต'!J117+'ยะลา'!J117+'ระนอง'!J117+'สงขลา'!J117+'สตูล'!J117+'สุราษฎร์ธานี'!J117</f>
        <v>45</v>
      </c>
      <c r="K117" s="173">
        <f>IF(I117&gt;0,J117*100/I117,0)</f>
        <v>60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>'กระบี่'!L118+'ชุมพร'!L118+'ตรัง'!L118+'นครศรีธรรมราช'!L118+'นราธิวาส'!L118+'ปัตตานี'!L118+'พังงา'!L118+'พัทลุง'!L118+'ภูเก็ต'!L118+'ยะลา'!L118+'ระนอง'!L118+'สงขลา'!L118+'สตูล'!L118+'สุราษฎร์ธานี'!L118</f>
        <v>324450</v>
      </c>
      <c r="M118" s="183">
        <f>'กระบี่'!M118+'ชุมพร'!M118+'ตรัง'!M118+'นครศรีธรรมราช'!M118+'นราธิวาส'!M118+'ปัตตานี'!M118+'พังงา'!M118+'พัทลุง'!M118+'ภูเก็ต'!M118+'ยะลา'!M118+'ระนอง'!M118+'สงขลา'!M118+'สตูล'!M118+'สุราษฎร์ธานี'!M118</f>
        <v>264450</v>
      </c>
      <c r="N118" s="183">
        <f>'กระบี่'!N118+'ชุมพร'!N118+'ตรัง'!N118+'นครศรีธรรมราช'!N118+'นราธิวาส'!N118+'ปัตตานี'!N118+'พังงา'!N118+'พัทลุง'!N118+'ภูเก็ต'!N118+'ยะลา'!N118+'ระนอง'!N118+'สงขลา'!N118+'สตูล'!N118+'สุราษฎร์ธานี'!N118</f>
        <v>127950</v>
      </c>
      <c r="O118" s="182">
        <f t="shared" ref="O118:O120" si="50">IF(L118&gt;0,N118*100/L118,0)</f>
        <v>39.43596856</v>
      </c>
      <c r="P118" s="182">
        <f t="shared" ref="P118:P120" si="51">IF(M118&gt;0,N118*100/M118,0)</f>
        <v>48.38343732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>'กระบี่'!L119+'ชุมพร'!L119+'ตรัง'!L119+'นครศรีธรรมราช'!L119+'นราธิวาส'!L119+'ปัตตานี'!L119+'พังงา'!L119+'พัทลุง'!L119+'ภูเก็ต'!L119+'ยะลา'!L119+'ระนอง'!L119+'สงขลา'!L119+'สตูล'!L119+'สุราษฎร์ธานี'!L119</f>
        <v>0</v>
      </c>
      <c r="M119" s="188">
        <f>'กระบี่'!M119+'ชุมพร'!M119+'ตรัง'!M119+'นครศรีธรรมราช'!M119+'นราธิวาส'!M119+'ปัตตานี'!M119+'พังงา'!M119+'พัทลุง'!M119+'ภูเก็ต'!M119+'ยะลา'!M119+'ระนอง'!M119+'สงขลา'!M119+'สตูล'!M119+'สุราษฎร์ธานี'!M119</f>
        <v>0</v>
      </c>
      <c r="N119" s="188">
        <f>'กระบี่'!N119+'ชุมพร'!N119+'ตรัง'!N119+'นครศรีธรรมราช'!N119+'นราธิวาส'!N119+'ปัตตานี'!N119+'พังงา'!N119+'พัทลุง'!N119+'ภูเก็ต'!N119+'ยะลา'!N119+'ระนอง'!N119+'สงขลา'!N119+'สตูล'!N119+'สุราษฎร์ธานี'!N119</f>
        <v>0</v>
      </c>
      <c r="O119" s="187">
        <f t="shared" si="50"/>
        <v>0</v>
      </c>
      <c r="P119" s="187">
        <f t="shared" si="51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>'กระบี่'!L120+'ชุมพร'!L120+'ตรัง'!L120+'นครศรีธรรมราช'!L120+'นราธิวาส'!L120+'ปัตตานี'!L120+'พังงา'!L120+'พัทลุง'!L120+'ภูเก็ต'!L120+'ยะลา'!L120+'ระนอง'!L120+'สงขลา'!L120+'สตูล'!L120+'สุราษฎร์ธานี'!L120</f>
        <v>324450</v>
      </c>
      <c r="M120" s="188">
        <f>'กระบี่'!M120+'ชุมพร'!M120+'ตรัง'!M120+'นครศรีธรรมราช'!M120+'นราธิวาส'!M120+'ปัตตานี'!M120+'พังงา'!M120+'พัทลุง'!M120+'ภูเก็ต'!M120+'ยะลา'!M120+'ระนอง'!M120+'สงขลา'!M120+'สตูล'!M120+'สุราษฎร์ธานี'!M120</f>
        <v>264450</v>
      </c>
      <c r="N120" s="188">
        <f>'กระบี่'!N120+'ชุมพร'!N120+'ตรัง'!N120+'นครศรีธรรมราช'!N120+'นราธิวาส'!N120+'ปัตตานี'!N120+'พังงา'!N120+'พัทลุง'!N120+'ภูเก็ต'!N120+'ยะลา'!N120+'ระนอง'!N120+'สงขลา'!N120+'สตูล'!N120+'สุราษฎร์ธานี'!N120</f>
        <v>127950</v>
      </c>
      <c r="O120" s="187">
        <f t="shared" si="50"/>
        <v>39.43596856</v>
      </c>
      <c r="P120" s="187">
        <f t="shared" si="51"/>
        <v>48.38343732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f>'กระบี่'!L121+'ชุมพร'!L121+'ตรัง'!L121+'นครศรีธรรมราช'!L121+'นราธิวาส'!L121+'ปัตตานี'!L121+'พังงา'!L121+'พัทลุง'!L121+'ภูเก็ต'!L121+'ยะลา'!L121+'ระนอง'!L121+'สงขลา'!L121+'สตูล'!L121+'สุราษฎร์ธานี'!L121</f>
        <v>0</v>
      </c>
      <c r="M121" s="197">
        <f>'กระบี่'!M121+'ชุมพร'!M121+'ตรัง'!M121+'นครศรีธรรมราช'!M121+'นราธิวาส'!M121+'ปัตตานี'!M121+'พังงา'!M121+'พัทลุง'!M121+'ภูเก็ต'!M121+'ยะลา'!M121+'ระนอง'!M121+'สงขลา'!M121+'สตูล'!M121+'สุราษฎร์ธานี'!M121</f>
        <v>0</v>
      </c>
      <c r="N121" s="197">
        <f>'กระบี่'!N121+'ชุมพร'!N121+'ตรัง'!N121+'นครศรีธรรมราช'!N121+'นราธิวาส'!N121+'ปัตตานี'!N121+'พังงา'!N121+'พัทลุง'!N121+'ภูเก็ต'!N121+'ยะลา'!N121+'ระนอง'!N121+'สงขลา'!N121+'สตูล'!N121+'สุราษฎร์ธานี'!N121</f>
        <v>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'กระบี่'!L122+'ชุมพร'!L122+'ตรัง'!L122+'นครศรีธรรมราช'!L122+'นราธิวาส'!L122+'ปัตตานี'!L122+'พังงา'!L122+'พัทลุง'!L122+'ภูเก็ต'!L122+'ยะลา'!L122+'ระนอง'!L122+'สงขลา'!L122+'สตูล'!L122+'สุราษฎร์ธานี'!L122</f>
        <v>324450</v>
      </c>
      <c r="M122" s="201">
        <f>'กระบี่'!M122+'ชุมพร'!M122+'ตรัง'!M122+'นครศรีธรรมราช'!M122+'นราธิวาส'!M122+'ปัตตานี'!M122+'พังงา'!M122+'พัทลุง'!M122+'ภูเก็ต'!M122+'ยะลา'!M122+'ระนอง'!M122+'สงขลา'!M122+'สตูล'!M122+'สุราษฎร์ธานี'!M122</f>
        <v>264450</v>
      </c>
      <c r="N122" s="202">
        <f>'กระบี่'!N122+'ชุมพร'!N122+'ตรัง'!N122+'นครศรีธรรมราช'!N122+'นราธิวาส'!N122+'ปัตตานี'!N122+'พังงา'!N122+'พัทลุง'!N122+'ภูเก็ต'!N122+'ยะลา'!N122+'ระนอง'!N122+'สงขลา'!N122+'สตูล'!N122+'สุราษฎร์ธานี'!N122</f>
        <v>127950</v>
      </c>
      <c r="O122" s="203">
        <f>IF(L122&gt;0,N122*100/L122,0)</f>
        <v>39.43596856</v>
      </c>
      <c r="P122" s="203">
        <f>IF(M122&gt;0,N122*100/M122,0)</f>
        <v>48.38343732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'กระบี่'!L123+'ชุมพร'!L123+'ตรัง'!L123+'นครศรีธรรมราช'!L123+'นราธิวาส'!L123+'ปัตตานี'!L123+'พังงา'!L123+'พัทลุง'!L123+'ภูเก็ต'!L123+'ยะลา'!L123+'ระนอง'!L123+'สงขลา'!L123+'สตูล'!L123+'สุราษฎร์ธานี'!L123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'กระบี่'!L124+'ชุมพร'!L124+'ตรัง'!L124+'นครศรีธรรมราช'!L124+'นราธิวาส'!L124+'ปัตตานี'!L124+'พังงา'!L124+'พัทลุง'!L124+'ภูเก็ต'!L124+'ยะลา'!L124+'ระนอง'!L124+'สงขลา'!L124+'สตูล'!L124+'สุราษฎร์ธานี'!L124</f>
        <v>324450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f>'กระบี่'!L125+'ชุมพร'!L125+'ตรัง'!L125+'นครศรีธรรมราช'!L125+'นราธิวาส'!L125+'ปัตตานี'!L125+'พังงา'!L125+'พัทลุง'!L125+'ภูเก็ต'!L125+'ยะลา'!L125+'ระนอง'!L125+'สงขลา'!L125+'สตูล'!L125+'สุราษฎร์ธานี'!L125</f>
        <v>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'กระบี่'!L126+'ชุมพร'!L126+'ตรัง'!L126+'นครศรีธรรมราช'!L126+'นราธิวาส'!L126+'ปัตตานี'!L126+'พังงา'!L126+'พัทลุง'!L126+'ภูเก็ต'!L126+'ยะลา'!L126+'ระนอง'!L126+'สงขลา'!L126+'สตูล'!L126+'สุราษฎร์ธานี'!L126</f>
        <v>0</v>
      </c>
      <c r="M126" s="125"/>
      <c r="N126" s="115">
        <f>'กระบี่'!N126+'ชุมพร'!N126+'ตรัง'!N126+'นครศรีธรรมราช'!N126+'นราธิวาส'!N126+'ปัตตานี'!N126+'พังงา'!N126+'พัทลุง'!N126+'ภูเก็ต'!N126+'ยะลา'!N126+'ระนอง'!N126+'สงขลา'!N126+'สตูล'!N126+'สุราษฎร์ธานี'!N126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70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'กระบี่'!J128+'ชุมพร'!J128+'ตรัง'!J128+'นครศรีธรรมราช'!J128+'นราธิวาส'!J128+'ปัตตานี'!J128+'พังงา'!J128+'พัทลุง'!J128+'ภูเก็ต'!J128+'ยะลา'!J128+'ระนอง'!J128+'สงขลา'!J128+'สตูล'!J128+'สุราษฎร์ธานี'!J128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'กระบี่'!J129+'ชุมพร'!J129+'ตรัง'!J129+'นครศรีธรรมราช'!J129+'นราธิวาส'!J129+'ปัตตานี'!J129+'พังงา'!J129+'พัทลุง'!J129+'ภูเก็ต'!J129+'ยะลา'!J129+'ระนอง'!J129+'สงขลา'!J129+'สตูล'!J129+'สุราษฎร์ธานี'!J129</f>
        <v>5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'กระบี่'!J130+'ชุมพร'!J130+'ตรัง'!J130+'นครศรีธรรมราช'!J130+'นราธิวาส'!J130+'ปัตตานี'!J130+'พังงา'!J130+'พัทลุง'!J130+'ภูเก็ต'!J130+'ยะลา'!J130+'ระนอง'!J130+'สงขลา'!J130+'สตูล'!J130+'สุราษฎร์ธานี'!J130</f>
        <v>4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'กระบี่'!J131+'ชุมพร'!J131+'ตรัง'!J131+'นครศรีธรรมราช'!J131+'นราธิวาส'!J131+'ปัตตานี'!J131+'พังงา'!J131+'พัทลุง'!J131+'ภูเก็ต'!J131+'ยะลา'!J131+'ระนอง'!J131+'สงขลา'!J131+'สตูล'!J131+'สุราษฎร์ธานี'!J131</f>
        <v>3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'กระบี่'!I132+'ชุมพร'!I132+'ตรัง'!I132+'นครศรีธรรมราช'!I132+'นราธิวาส'!I132+'ปัตตานี'!I132+'พังงา'!I132+'พัทลุง'!I132+'ภูเก็ต'!I132+'ยะลา'!I132+'ระนอง'!I132+'สงขลา'!I132+'สตูล'!I132+'สุราษฎร์ธานี'!I132</f>
        <v>75</v>
      </c>
      <c r="J132" s="238">
        <f>'กระบี่'!J132+'ชุมพร'!J132+'ตรัง'!J132+'นครศรีธรรมราช'!J132+'นราธิวาส'!J132+'ปัตตานี'!J132+'พังงา'!J132+'พัทลุง'!J132+'ภูเก็ต'!J132+'ยะลา'!J132+'ระนอง'!J132+'สงขลา'!J132+'สตูล'!J132+'สุราษฎร์ธานี'!J132</f>
        <v>45</v>
      </c>
      <c r="K132" s="258">
        <f t="shared" ref="K132:K133" si="52">IF(I132&gt;0,J132*100/I132,0)</f>
        <v>60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'กระบี่'!I133+'ชุมพร'!I133+'ตรัง'!I133+'นครศรีธรรมราช'!I133+'นราธิวาส'!I133+'ปัตตานี'!I133+'พังงา'!I133+'พัทลุง'!I133+'ภูเก็ต'!I133+'ยะลา'!I133+'ระนอง'!I133+'สงขลา'!I133+'สตูล'!I133+'สุราษฎร์ธานี'!I133</f>
        <v>75</v>
      </c>
      <c r="J133" s="238">
        <f>'กระบี่'!J133+'ชุมพร'!J133+'ตรัง'!J133+'นครศรีธรรมราช'!J133+'นราธิวาส'!J133+'ปัตตานี'!J133+'พังงา'!J133+'พัทลุง'!J133+'ภูเก็ต'!J133+'ยะลา'!J133+'ระนอง'!J133+'สงขลา'!J133+'สตูล'!J133+'สุราษฎร์ธานี'!J133</f>
        <v>0</v>
      </c>
      <c r="K133" s="258">
        <f t="shared" si="52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'กระบี่'!J134+'ชุมพร'!J134+'ตรัง'!J134+'นครศรีธรรมราช'!J134+'นราธิวาส'!J134+'ปัตตานี'!J134+'พังงา'!J134+'พัทลุง'!J134+'ภูเก็ต'!J134+'ยะลา'!J134+'ระนอง'!J134+'สงขลา'!J134+'สตูล'!J134+'สุราษฎร์ธานี'!J134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'กระบี่'!J135+'ชุมพร'!J135+'ตรัง'!J135+'นครศรีธรรมราช'!J135+'นราธิวาส'!J135+'ปัตตานี'!J135+'พังงา'!J135+'พัทลุง'!J135+'ภูเก็ต'!J135+'ยะลา'!J135+'ระนอง'!J135+'สงขลา'!J135+'สตูล'!J135+'สุราษฎร์ธานี'!J135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'กระบี่'!I138+'ชุมพร'!I138+'ตรัง'!I138+'นครศรีธรรมราช'!I138+'นราธิวาส'!I138+'ปัตตานี'!I138+'พังงา'!I138+'พัทลุง'!I138+'ภูเก็ต'!I138+'ยะลา'!I138+'ระนอง'!I138+'สงขลา'!I138+'สตูล'!I138+'สุราษฎร์ธานี'!I138</f>
        <v>160</v>
      </c>
      <c r="J138" s="301">
        <f>'กระบี่'!J138+'ชุมพร'!J138+'ตรัง'!J138+'นครศรีธรรมราช'!J138+'นราธิวาส'!J138+'ปัตตานี'!J138+'พังงา'!J138+'พัทลุง'!J138+'ภูเก็ต'!J138+'ยะลา'!J138+'ระนอง'!J138+'สงขลา'!J138+'สตูล'!J138+'สุราษฎร์ธานี'!J138</f>
        <v>97</v>
      </c>
      <c r="K138" s="302">
        <f>IF(I138&gt;0,J138*100/I138,0)</f>
        <v>60.625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>'กระบี่'!L140+'ชุมพร'!L140+'ตรัง'!L140+'นครศรีธรรมราช'!L140+'นราธิวาส'!L140+'ปัตตานี'!L140+'พังงา'!L140+'พัทลุง'!L140+'ภูเก็ต'!L140+'ยะลา'!L140+'ระนอง'!L140+'สงขลา'!L140+'สตูล'!L140+'สุราษฎร์ธานี'!L140</f>
        <v>2418600</v>
      </c>
      <c r="M140" s="183">
        <f>'กระบี่'!M140+'ชุมพร'!M140+'ตรัง'!M140+'นครศรีธรรมราช'!M140+'นราธิวาส'!M140+'ปัตตานี'!M140+'พังงา'!M140+'พัทลุง'!M140+'ภูเก็ต'!M140+'ยะลา'!M140+'ระนอง'!M140+'สงขลา'!M140+'สตูล'!M140+'สุราษฎร์ธานี'!M140</f>
        <v>1563900</v>
      </c>
      <c r="N140" s="183">
        <f>'กระบี่'!N140+'ชุมพร'!N140+'ตรัง'!N140+'นครศรีธรรมราช'!N140+'นราธิวาส'!N140+'ปัตตานี'!N140+'พังงา'!N140+'พัทลุง'!N140+'ภูเก็ต'!N140+'ยะลา'!N140+'ระนอง'!N140+'สงขลา'!N140+'สตูล'!N140+'สุราษฎร์ธานี'!N140</f>
        <v>668970</v>
      </c>
      <c r="O140" s="182">
        <f t="shared" ref="O140:O142" si="53">IF(L140&gt;0,N140*100/L140,0)</f>
        <v>27.65938973</v>
      </c>
      <c r="P140" s="182">
        <f t="shared" ref="P140:P142" si="54">IF(M140&gt;0,N140*100/M140,0)</f>
        <v>42.77575293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>'กระบี่'!L141+'ชุมพร'!L141+'ตรัง'!L141+'นครศรีธรรมราช'!L141+'นราธิวาส'!L141+'ปัตตานี'!L141+'พังงา'!L141+'พัทลุง'!L141+'ภูเก็ต'!L141+'ยะลา'!L141+'ระนอง'!L141+'สงขลา'!L141+'สตูล'!L141+'สุราษฎร์ธานี'!L141</f>
        <v>0</v>
      </c>
      <c r="M141" s="188">
        <f>'กระบี่'!M141+'ชุมพร'!M141+'ตรัง'!M141+'นครศรีธรรมราช'!M141+'นราธิวาส'!M141+'ปัตตานี'!M141+'พังงา'!M141+'พัทลุง'!M141+'ภูเก็ต'!M141+'ยะลา'!M141+'ระนอง'!M141+'สงขลา'!M141+'สตูล'!M141+'สุราษฎร์ธานี'!M141</f>
        <v>0</v>
      </c>
      <c r="N141" s="188">
        <f>'กระบี่'!N141+'ชุมพร'!N141+'ตรัง'!N141+'นครศรีธรรมราช'!N141+'นราธิวาส'!N141+'ปัตตานี'!N141+'พังงา'!N141+'พัทลุง'!N141+'ภูเก็ต'!N141+'ยะลา'!N141+'ระนอง'!N141+'สงขลา'!N141+'สตูล'!N141+'สุราษฎร์ธานี'!N141</f>
        <v>0</v>
      </c>
      <c r="O141" s="187">
        <f t="shared" si="53"/>
        <v>0</v>
      </c>
      <c r="P141" s="187">
        <f t="shared" si="54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>'กระบี่'!L142+'ชุมพร'!L142+'ตรัง'!L142+'นครศรีธรรมราช'!L142+'นราธิวาส'!L142+'ปัตตานี'!L142+'พังงา'!L142+'พัทลุง'!L142+'ภูเก็ต'!L142+'ยะลา'!L142+'ระนอง'!L142+'สงขลา'!L142+'สตูล'!L142+'สุราษฎร์ธานี'!L142</f>
        <v>2418600</v>
      </c>
      <c r="M142" s="188">
        <f>'กระบี่'!M142+'ชุมพร'!M142+'ตรัง'!M142+'นครศรีธรรมราช'!M142+'นราธิวาส'!M142+'ปัตตานี'!M142+'พังงา'!M142+'พัทลุง'!M142+'ภูเก็ต'!M142+'ยะลา'!M142+'ระนอง'!M142+'สงขลา'!M142+'สตูล'!M142+'สุราษฎร์ธานี'!M142</f>
        <v>1563900</v>
      </c>
      <c r="N142" s="188">
        <f>'กระบี่'!N142+'ชุมพร'!N142+'ตรัง'!N142+'นครศรีธรรมราช'!N142+'นราธิวาส'!N142+'ปัตตานี'!N142+'พังงา'!N142+'พัทลุง'!N142+'ภูเก็ต'!N142+'ยะลา'!N142+'ระนอง'!N142+'สงขลา'!N142+'สตูล'!N142+'สุราษฎร์ธานี'!N142</f>
        <v>668970</v>
      </c>
      <c r="O142" s="187">
        <f t="shared" si="53"/>
        <v>27.65938973</v>
      </c>
      <c r="P142" s="187">
        <f t="shared" si="54"/>
        <v>42.77575293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f>'กระบี่'!L143+'ชุมพร'!L143+'ตรัง'!L143+'นครศรีธรรมราช'!L143+'นราธิวาส'!L143+'ปัตตานี'!L143+'พังงา'!L143+'พัทลุง'!L143+'ภูเก็ต'!L143+'ยะลา'!L143+'ระนอง'!L143+'สงขลา'!L143+'สตูล'!L143+'สุราษฎร์ธานี'!L143</f>
        <v>0</v>
      </c>
      <c r="M143" s="197">
        <f>'กระบี่'!M143+'ชุมพร'!M143+'ตรัง'!M143+'นครศรีธรรมราช'!M143+'นราธิวาส'!M143+'ปัตตานี'!M143+'พังงา'!M143+'พัทลุง'!M143+'ภูเก็ต'!M143+'ยะลา'!M143+'ระนอง'!M143+'สงขลา'!M143+'สตูล'!M143+'สุราษฎร์ธานี'!M143</f>
        <v>0</v>
      </c>
      <c r="N143" s="197">
        <f>'กระบี่'!N143+'ชุมพร'!N143+'ตรัง'!N143+'นครศรีธรรมราช'!N143+'นราธิวาส'!N143+'ปัตตานี'!N143+'พังงา'!N143+'พัทลุง'!N143+'ภูเก็ต'!N143+'ยะลา'!N143+'ระนอง'!N143+'สงขลา'!N143+'สตูล'!N143+'สุราษฎร์ธานี'!N143</f>
        <v>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'กระบี่'!L144+'ชุมพร'!L144+'ตรัง'!L144+'นครศรีธรรมราช'!L144+'นราธิวาส'!L144+'ปัตตานี'!L144+'พังงา'!L144+'พัทลุง'!L144+'ภูเก็ต'!L144+'ยะลา'!L144+'ระนอง'!L144+'สงขลา'!L144+'สตูล'!L144+'สุราษฎร์ธานี'!L144</f>
        <v>2418600</v>
      </c>
      <c r="M144" s="201">
        <f>'กระบี่'!M144+'ชุมพร'!M144+'ตรัง'!M144+'นครศรีธรรมราช'!M144+'นราธิวาส'!M144+'ปัตตานี'!M144+'พังงา'!M144+'พัทลุง'!M144+'ภูเก็ต'!M144+'ยะลา'!M144+'ระนอง'!M144+'สงขลา'!M144+'สตูล'!M144+'สุราษฎร์ธานี'!M144</f>
        <v>1563900</v>
      </c>
      <c r="N144" s="202">
        <f>'กระบี่'!N144+'ชุมพร'!N144+'ตรัง'!N144+'นครศรีธรรมราช'!N144+'นราธิวาส'!N144+'ปัตตานี'!N144+'พังงา'!N144+'พัทลุง'!N144+'ภูเก็ต'!N144+'ยะลา'!N144+'ระนอง'!N144+'สงขลา'!N144+'สตูล'!N144+'สุราษฎร์ธานี'!N144</f>
        <v>668970</v>
      </c>
      <c r="O144" s="203">
        <f>IF(L144&gt;0,N144*100/L144,0)</f>
        <v>27.65938973</v>
      </c>
      <c r="P144" s="203">
        <f>IF(M144&gt;0,N144*100/M144,0)</f>
        <v>42.77575293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'กระบี่'!L145+'ชุมพร'!L145+'ตรัง'!L145+'นครศรีธรรมราช'!L145+'นราธิวาส'!L145+'ปัตตานี'!L145+'พังงา'!L145+'พัทลุง'!L145+'ภูเก็ต'!L145+'ยะลา'!L145+'ระนอง'!L145+'สงขลา'!L145+'สตูล'!L145+'สุราษฎร์ธานี'!L145</f>
        <v>1111500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'กระบี่'!L146+'ชุมพร'!L146+'ตรัง'!L146+'นครศรีธรรมราช'!L146+'นราธิวาส'!L146+'ปัตตานี'!L146+'พังงา'!L146+'พัทลุง'!L146+'ภูเก็ต'!L146+'ยะลา'!L146+'ระนอง'!L146+'สงขลา'!L146+'สตูล'!L146+'สุราษฎร์ธานี'!L146</f>
        <v>1307100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f>'กระบี่'!L147+'ชุมพร'!L147+'ตรัง'!L147+'นครศรีธรรมราช'!L147+'นราธิวาส'!L147+'ปัตตานี'!L147+'พังงา'!L147+'พัทลุง'!L147+'ภูเก็ต'!L147+'ยะลา'!L147+'ระนอง'!L147+'สงขลา'!L147+'สตูล'!L147+'สุราษฎร์ธานี'!L147</f>
        <v>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'กระบี่'!L148+'ชุมพร'!L148+'ตรัง'!L148+'นครศรีธรรมราช'!L148+'นราธิวาส'!L148+'ปัตตานี'!L148+'พังงา'!L148+'พัทลุง'!L148+'ภูเก็ต'!L148+'ยะลา'!L148+'ระนอง'!L148+'สงขลา'!L148+'สตูล'!L148+'สุราษฎร์ธานี'!L148</f>
        <v>0</v>
      </c>
      <c r="M148" s="125"/>
      <c r="N148" s="115">
        <f>'กระบี่'!N148+'ชุมพร'!N148+'ตรัง'!N148+'นครศรีธรรมราช'!N148+'นราธิวาส'!N148+'ปัตตานี'!N148+'พังงา'!N148+'พัทลุง'!N148+'ภูเก็ต'!N148+'ยะลา'!N148+'ระนอง'!N148+'สงขลา'!N148+'สตูล'!N148+'สุราษฎร์ธานี'!N148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'กระบี่'!I149+'ชุมพร'!I149+'ตรัง'!I149+'นครศรีธรรมราช'!I149+'นราธิวาส'!I149+'ปัตตานี'!I149+'พังงา'!I149+'พัทลุง'!I149+'ภูเก็ต'!I149+'ยะลา'!I149+'ระนอง'!I149+'สงขลา'!I149+'สตูล'!I149+'สุราษฎร์ธานี'!I149</f>
        <v>56</v>
      </c>
      <c r="J149" s="309">
        <f>'กระบี่'!J149+'ชุมพร'!J149+'ตรัง'!J149+'นครศรีธรรมราช'!J149+'นราธิวาส'!J149+'ปัตตานี'!J149+'พังงา'!J149+'พัทลุง'!J149+'ภูเก็ต'!J149+'ยะลา'!J149+'ระนอง'!J149+'สงขลา'!J149+'สตูล'!J149+'สุราษฎร์ธานี'!J149</f>
        <v>11</v>
      </c>
      <c r="K149" s="310">
        <f>IF(I149&gt;0,J149*100/I149,0)</f>
        <v>19.64285714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'กระบี่'!J154+'ชุมพร'!J154+'ตรัง'!J154+'นครศรีธรรมราช'!J154+'นราธิวาส'!J154+'ปัตตานี'!J154+'พังงา'!J154+'พัทลุง'!J154+'ภูเก็ต'!J154+'ยะลา'!J154+'ระนอง'!J154+'สงขลา'!J154+'สตูล'!J154+'สุราษฎร์ธานี'!J154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'กระบี่'!J155+'ชุมพร'!J155+'ตรัง'!J155+'นครศรีธรรมราช'!J155+'นราธิวาส'!J155+'ปัตตานี'!J155+'พังงา'!J155+'พัทลุง'!J155+'ภูเก็ต'!J155+'ยะลา'!J155+'ระนอง'!J155+'สงขลา'!J155+'สตูล'!J155+'สุราษฎร์ธานี'!J155</f>
        <v>14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'กระบี่'!J156+'ชุมพร'!J156+'ตรัง'!J156+'นครศรีธรรมราช'!J156+'นราธิวาส'!J156+'ปัตตานี'!J156+'พังงา'!J156+'พัทลุง'!J156+'ภูเก็ต'!J156+'ยะลา'!J156+'ระนอง'!J156+'สงขลา'!J156+'สตูล'!J156+'สุราษฎร์ธานี'!J156</f>
        <v>14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'กระบี่'!J157+'ชุมพร'!J157+'ตรัง'!J157+'นครศรีธรรมราช'!J157+'นราธิวาส'!J157+'ปัตตานี'!J157+'พังงา'!J157+'พัทลุง'!J157+'ภูเก็ต'!J157+'ยะลา'!J157+'ระนอง'!J157+'สงขลา'!J157+'สตูล'!J157+'สุราษฎร์ธานี'!J157</f>
        <v>13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'กระบี่'!I158+'ชุมพร'!I158+'ตรัง'!I158+'นครศรีธรรมราช'!I158+'นราธิวาส'!I158+'ปัตตานี'!I158+'พังงา'!I158+'พัทลุง'!I158+'ภูเก็ต'!I158+'ยะลา'!I158+'ระนอง'!I158+'สงขลา'!I158+'สตูล'!I158+'สุราษฎร์ธานี'!I158</f>
        <v>56</v>
      </c>
      <c r="J158" s="223">
        <f>'กระบี่'!J158+'ชุมพร'!J158+'ตรัง'!J158+'นครศรีธรรมราช'!J158+'นราธิวาส'!J158+'ปัตตานี'!J158+'พังงา'!J158+'พัทลุง'!J158+'ภูเก็ต'!J158+'ยะลา'!J158+'ระนอง'!J158+'สงขลา'!J158+'สตูล'!J158+'สุราษฎร์ธานี'!J158</f>
        <v>11</v>
      </c>
      <c r="K158" s="196">
        <f>IF(I158&gt;0,J158*100/I158,0)</f>
        <v>19.64285714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'กระบี่'!J159+'ชุมพร'!J159+'ตรัง'!J159+'นครศรีธรรมราช'!J159+'นราธิวาส'!J159+'ปัตตานี'!J159+'พังงา'!J159+'พัทลุง'!J159+'ภูเก็ต'!J159+'ยะลา'!J159+'ระนอง'!J159+'สงขลา'!J159+'สตูล'!J159+'สุราษฎร์ธานี'!J159</f>
        <v>298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'กระบี่'!J160+'ชุมพร'!J160+'ตรัง'!J160+'นครศรีธรรมราช'!J160+'นราธิวาส'!J160+'ปัตตานี'!J160+'พังงา'!J160+'พัทลุง'!J160+'ภูเก็ต'!J160+'ยะลา'!J160+'ระนอง'!J160+'สงขลา'!J160+'สตูล'!J160+'สุราษฎร์ธานี'!J160</f>
        <v>253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'กระบี่'!J161+'ชุมพร'!J161+'ตรัง'!J161+'นครศรีธรรมราช'!J161+'นราธิวาส'!J161+'ปัตตานี'!J161+'พังงา'!J161+'พัทลุง'!J161+'ภูเก็ต'!J161+'ยะลา'!J161+'ระนอง'!J161+'สงขลา'!J161+'สตูล'!J161+'สุราษฎร์ธานี'!J161</f>
        <v>45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'กระบี่'!J162+'ชุมพร'!J162+'ตรัง'!J162+'นครศรีธรรมราช'!J162+'นราธิวาส'!J162+'ปัตตานี'!J162+'พังงา'!J162+'พัทลุง'!J162+'ภูเก็ต'!J162+'ยะลา'!J162+'ระนอง'!J162+'สงขลา'!J162+'สตูล'!J162+'สุราษฎร์ธานี'!J162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'กระบี่'!J163+'ชุมพร'!J163+'ตรัง'!J163+'นครศรีธรรมราช'!J163+'นราธิวาส'!J163+'ปัตตานี'!J163+'พังงา'!J163+'พัทลุง'!J163+'ภูเก็ต'!J163+'ยะลา'!J163+'ระนอง'!J163+'สงขลา'!J163+'สตูล'!J163+'สุราษฎร์ธานี'!J163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'กระบี่'!I164+'ชุมพร'!I164+'ตรัง'!I164+'นครศรีธรรมราช'!I164+'นราธิวาส'!I164+'ปัตตานี'!I164+'พังงา'!I164+'พัทลุง'!I164+'ภูเก็ต'!I164+'ยะลา'!I164+'ระนอง'!I164+'สงขลา'!I164+'สตูล'!I164+'สุราษฎร์ธานี'!I164</f>
        <v>35</v>
      </c>
      <c r="J164" s="317">
        <f>'กระบี่'!J164+'ชุมพร'!J164+'ตรัง'!J164+'นครศรีธรรมราช'!J164+'นราธิวาส'!J164+'ปัตตานี'!J164+'พังงา'!J164+'พัทลุง'!J164+'ภูเก็ต'!J164+'ยะลา'!J164+'ระนอง'!J164+'สงขลา'!J164+'สตูล'!J164+'สุราษฎร์ธานี'!J164</f>
        <v>9</v>
      </c>
      <c r="K164" s="318">
        <f>IF(I164&gt;0,J164*100/I164,0)</f>
        <v>25.71428571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'กระบี่'!J169+'ชุมพร'!J169+'ตรัง'!J169+'นครศรีธรรมราช'!J169+'นราธิวาส'!J169+'ปัตตานี'!J169+'พังงา'!J169+'พัทลุง'!J169+'ภูเก็ต'!J169+'ยะลา'!J169+'ระนอง'!J169+'สงขลา'!J169+'สตูล'!J169+'สุราษฎร์ธานี'!J169</f>
        <v>1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>
        <f>'กระบี่'!I170+'ชุมพร'!I170+'ตรัง'!I170+'นครศรีธรรมราช'!I170+'นราธิวาส'!I170+'ปัตตานี'!I170+'พังงา'!I170+'พัทลุง'!I170+'ภูเก็ต'!I170+'ยะลา'!I170+'ระนอง'!I170+'สงขลา'!I170+'สตูล'!I170+'สุราษฎร์ธานี'!I170</f>
        <v>0</v>
      </c>
      <c r="J170" s="232">
        <f>'กระบี่'!J170+'ชุมพร'!J170+'ตรัง'!J170+'นครศรีธรรมราช'!J170+'นราธิวาส'!J170+'ปัตตานี'!J170+'พังงา'!J170+'พัทลุง'!J170+'ภูเก็ต'!J170+'ยะลา'!J170+'ระนอง'!J170+'สงขลา'!J170+'สตูล'!J170+'สุราษฎร์ธานี'!J170</f>
        <v>13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>
        <f>'กระบี่'!I171+'ชุมพร'!I171+'ตรัง'!I171+'นครศรีธรรมราช'!I171+'นราธิวาส'!I171+'ปัตตานี'!I171+'พังงา'!I171+'พัทลุง'!I171+'ภูเก็ต'!I171+'ยะลา'!I171+'ระนอง'!I171+'สงขลา'!I171+'สตูล'!I171+'สุราษฎร์ธานี'!I171</f>
        <v>0</v>
      </c>
      <c r="J171" s="232">
        <f>'กระบี่'!J171+'ชุมพร'!J171+'ตรัง'!J171+'นครศรีธรรมราช'!J171+'นราธิวาส'!J171+'ปัตตานี'!J171+'พังงา'!J171+'พัทลุง'!J171+'ภูเก็ต'!J171+'ยะลา'!J171+'ระนอง'!J171+'สงขลา'!J171+'สตูล'!J171+'สุราษฎร์ธานี'!J171</f>
        <v>12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>
        <f>'กระบี่'!I172+'ชุมพร'!I172+'ตรัง'!I172+'นครศรีธรรมราช'!I172+'นราธิวาส'!I172+'ปัตตานี'!I172+'พังงา'!I172+'พัทลุง'!I172+'ภูเก็ต'!I172+'ยะลา'!I172+'ระนอง'!I172+'สงขลา'!I172+'สตูล'!I172+'สุราษฎร์ธานี'!I172</f>
        <v>0</v>
      </c>
      <c r="J172" s="232">
        <f>'กระบี่'!J172+'ชุมพร'!J172+'ตรัง'!J172+'นครศรีธรรมราช'!J172+'นราธิวาส'!J172+'ปัตตานี'!J172+'พังงา'!J172+'พัทลุง'!J172+'ภูเก็ต'!J172+'ยะลา'!J172+'ระนอง'!J172+'สงขลา'!J172+'สตูล'!J172+'สุราษฎร์ธานี'!J172</f>
        <v>11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'กระบี่'!I173+'ชุมพร'!I173+'ตรัง'!I173+'นครศรีธรรมราช'!I173+'นราธิวาส'!I173+'ปัตตานี'!I173+'พังงา'!I173+'พัทลุง'!I173+'ภูเก็ต'!I173+'ยะลา'!I173+'ระนอง'!I173+'สงขลา'!I173+'สตูล'!I173+'สุราษฎร์ธานี'!I173</f>
        <v>35</v>
      </c>
      <c r="J173" s="223">
        <f>'กระบี่'!J173+'ชุมพร'!J173+'ตรัง'!J173+'นครศรีธรรมราช'!J173+'นราธิวาส'!J173+'ปัตตานี'!J173+'พังงา'!J173+'พัทลุง'!J173+'ภูเก็ต'!J173+'ยะลา'!J173+'ระนอง'!J173+'สงขลา'!J173+'สตูล'!J173+'สุราษฎร์ธานี'!J173</f>
        <v>9</v>
      </c>
      <c r="K173" s="196">
        <f>IF(I173&gt;0,J173*100/I173,0)</f>
        <v>25.71428571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>
        <f>'กระบี่'!I174+'ชุมพร'!I174+'ตรัง'!I174+'นครศรีธรรมราช'!I174+'นราธิวาส'!I174+'ปัตตานี'!I174+'พังงา'!I174+'พัทลุง'!I174+'ภูเก็ต'!I174+'ยะลา'!I174+'ระนอง'!I174+'สงขลา'!I174+'สตูล'!I174+'สุราษฎร์ธานี'!I174</f>
        <v>0</v>
      </c>
      <c r="J174" s="232">
        <f>'กระบี่'!J174+'ชุมพร'!J174+'ตรัง'!J174+'นครศรีธรรมราช'!J174+'นราธิวาส'!J174+'ปัตตานี'!J174+'พังงา'!J174+'พัทลุง'!J174+'ภูเก็ต'!J174+'ยะลา'!J174+'ระนอง'!J174+'สงขลา'!J174+'สตูล'!J174+'สุราษฎร์ธานี'!J174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>
        <f>'กระบี่'!I175+'ชุมพร'!I175+'ตรัง'!I175+'นครศรีธรรมราช'!I175+'นราธิวาส'!I175+'ปัตตานี'!I175+'พังงา'!I175+'พัทลุง'!I175+'ภูเก็ต'!I175+'ยะลา'!I175+'ระนอง'!I175+'สงขลา'!I175+'สตูล'!I175+'สุราษฎร์ธานี'!I175</f>
        <v>0</v>
      </c>
      <c r="J175" s="244">
        <f>'กระบี่'!J175+'ชุมพร'!J175+'ตรัง'!J175+'นครศรีธรรมราช'!J175+'นราธิวาส'!J175+'ปัตตานี'!J175+'พังงา'!J175+'พัทลุง'!J175+'ภูเก็ต'!J175+'ยะลา'!J175+'ระนอง'!J175+'สงขลา'!J175+'สตูล'!J175+'สุราษฎร์ธานี'!J175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'กระบี่'!I176+'ชุมพร'!I176+'ตรัง'!I176+'นครศรีธรรมราช'!I176+'นราธิวาส'!I176+'ปัตตานี'!I176+'พังงา'!I176+'พัทลุง'!I176+'ภูเก็ต'!I176+'ยะลา'!I176+'ระนอง'!I176+'สงขลา'!I176+'สตูล'!I176+'สุราษฎร์ธานี'!I176</f>
        <v>10</v>
      </c>
      <c r="J176" s="317">
        <f>'กระบี่'!J176+'ชุมพร'!J176+'ตรัง'!J176+'นครศรีธรรมราช'!J176+'นราธิวาส'!J176+'ปัตตานี'!J176+'พังงา'!J176+'พัทลุง'!J176+'ภูเก็ต'!J176+'ยะลา'!J176+'ระนอง'!J176+'สงขลา'!J176+'สตูล'!J176+'สุราษฎร์ธานี'!J176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'กระบี่'!J181+'ชุมพร'!J181+'ตรัง'!J181+'นครศรีธรรมราช'!J181+'นราธิวาส'!J181+'ปัตตานี'!J181+'พังงา'!J181+'พัทลุง'!J181+'ภูเก็ต'!J181+'ยะลา'!J181+'ระนอง'!J181+'สงขลา'!J181+'สตูล'!J181+'สุราษฎร์ธานี'!J181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'กระบี่'!J182+'ชุมพร'!J182+'ตรัง'!J182+'นครศรีธรรมราช'!J182+'นราธิวาส'!J182+'ปัตตานี'!J182+'พังงา'!J182+'พัทลุง'!J182+'ภูเก็ต'!J182+'ยะลา'!J182+'ระนอง'!J182+'สงขลา'!J182+'สตูล'!J182+'สุราษฎร์ธานี'!J182</f>
        <v>3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'กระบี่'!J183+'ชุมพร'!J183+'ตรัง'!J183+'นครศรีธรรมราช'!J183+'นราธิวาส'!J183+'ปัตตานี'!J183+'พังงา'!J183+'พัทลุง'!J183+'ภูเก็ต'!J183+'ยะลา'!J183+'ระนอง'!J183+'สงขลา'!J183+'สตูล'!J183+'สุราษฎร์ธานี'!J183</f>
        <v>2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'กระบี่'!J184+'ชุมพร'!J184+'ตรัง'!J184+'นครศรีธรรมราช'!J184+'นราธิวาส'!J184+'ปัตตานี'!J184+'พังงา'!J184+'พัทลุง'!J184+'ภูเก็ต'!J184+'ยะลา'!J184+'ระนอง'!J184+'สงขลา'!J184+'สตูล'!J184+'สุราษฎร์ธานี'!J184</f>
        <v>2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'กระบี่'!I185+'ชุมพร'!I185+'ตรัง'!I185+'นครศรีธรรมราช'!I185+'นราธิวาส'!I185+'ปัตตานี'!I185+'พังงา'!I185+'พัทลุง'!I185+'ภูเก็ต'!I185+'ยะลา'!I185+'ระนอง'!I185+'สงขลา'!I185+'สตูล'!I185+'สุราษฎร์ธานี'!I185</f>
        <v>10</v>
      </c>
      <c r="J185" s="238">
        <f>'กระบี่'!J185+'ชุมพร'!J185+'ตรัง'!J185+'นครศรีธรรมราช'!J185+'นราธิวาส'!J185+'ปัตตานี'!J185+'พังงา'!J185+'พัทลุง'!J185+'ภูเก็ต'!J185+'ยะลา'!J185+'ระนอง'!J185+'สงขลา'!J185+'สตูล'!J185+'สุราษฎร์ธานี'!J185</f>
        <v>0</v>
      </c>
      <c r="K185" s="258">
        <f t="shared" ref="K185:K186" si="55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'กระบี่'!I186+'ชุมพร'!I186+'ตรัง'!I186+'นครศรีธรรมราช'!I186+'นราธิวาส'!I186+'ปัตตานี'!I186+'พังงา'!I186+'พัทลุง'!I186+'ภูเก็ต'!I186+'ยะลา'!I186+'ระนอง'!I186+'สงขลา'!I186+'สตูล'!I186+'สุราษฎร์ธานี'!I186</f>
        <v>10</v>
      </c>
      <c r="J186" s="238">
        <f>'กระบี่'!J186+'ชุมพร'!J186+'ตรัง'!J186+'นครศรีธรรมราช'!J186+'นราธิวาส'!J186+'ปัตตานี'!J186+'พังงา'!J186+'พัทลุง'!J186+'ภูเก็ต'!J186+'ยะลา'!J186+'ระนอง'!J186+'สงขลา'!J186+'สตูล'!J186+'สุราษฎร์ธานี'!J186</f>
        <v>0</v>
      </c>
      <c r="K186" s="258">
        <f t="shared" si="55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'กระบี่'!J187+'ชุมพร'!J187+'ตรัง'!J187+'นครศรีธรรมราช'!J187+'นราธิวาส'!J187+'ปัตตานี'!J187+'พังงา'!J187+'พัทลุง'!J187+'ภูเก็ต'!J187+'ยะลา'!J187+'ระนอง'!J187+'สงขลา'!J187+'สตูล'!J187+'สุราษฎร์ธานี'!J187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'กระบี่'!J188+'ชุมพร'!J188+'ตรัง'!J188+'นครศรีธรรมราช'!J188+'นราธิวาส'!J188+'ปัตตานี'!J188+'พังงา'!J188+'พัทลุง'!J188+'ภูเก็ต'!J188+'ยะลา'!J188+'ระนอง'!J188+'สงขลา'!J188+'สตูล'!J188+'สุราษฎร์ธานี'!J188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'กระบี่'!I189+'ชุมพร'!I189+'ตรัง'!I189+'นครศรีธรรมราช'!I189+'นราธิวาส'!I189+'ปัตตานี'!I189+'พังงา'!I189+'พัทลุง'!I189+'ภูเก็ต'!I189+'ยะลา'!I189+'ระนอง'!I189+'สงขลา'!I189+'สตูล'!I189+'สุราษฎร์ธานี'!I189</f>
        <v>239000</v>
      </c>
      <c r="J189" s="317">
        <f>'กระบี่'!J189+'ชุมพร'!J189+'ตรัง'!J189+'นครศรีธรรมราช'!J189+'นราธิวาส'!J189+'ปัตตานี'!J189+'พังงา'!J189+'พัทลุง'!J189+'ภูเก็ต'!J189+'ยะลา'!J189+'ระนอง'!J189+'สงขลา'!J189+'สตูล'!J189+'สุราษฎร์ธานี'!J189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'กระบี่'!J194+'ชุมพร'!J194+'ตรัง'!J194+'นครศรีธรรมราช'!J194+'นราธิวาส'!J194+'ปัตตานี'!J194+'พังงา'!J194+'พัทลุง'!J194+'ภูเก็ต'!J194+'ยะลา'!J194+'ระนอง'!J194+'สงขลา'!J194+'สตูล'!J194+'สุราษฎร์ธานี'!J194</f>
        <v>3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'กระบี่'!J195+'ชุมพร'!J195+'ตรัง'!J195+'นครศรีธรรมราช'!J195+'นราธิวาส'!J195+'ปัตตานี'!J195+'พังงา'!J195+'พัทลุง'!J195+'ภูเก็ต'!J195+'ยะลา'!J195+'ระนอง'!J195+'สงขลา'!J195+'สตูล'!J195+'สุราษฎร์ธานี'!J195</f>
        <v>10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'กระบี่'!J196+'ชุมพร'!J196+'ตรัง'!J196+'นครศรีธรรมราช'!J196+'นราธิวาส'!J196+'ปัตตานี'!J196+'พังงา'!J196+'พัทลุง'!J196+'ภูเก็ต'!J196+'ยะลา'!J196+'ระนอง'!J196+'สงขลา'!J196+'สตูล'!J196+'สุราษฎร์ธานี'!J196</f>
        <v>7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'กระบี่'!J197+'ชุมพร'!J197+'ตรัง'!J197+'นครศรีธรรมราช'!J197+'นราธิวาส'!J197+'ปัตตานี'!J197+'พังงา'!J197+'พัทลุง'!J197+'ภูเก็ต'!J197+'ยะลา'!J197+'ระนอง'!J197+'สงขลา'!J197+'สตูล'!J197+'สุราษฎร์ธานี'!J197</f>
        <v>5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>
        <f>'กระบี่'!J198+'ชุมพร'!J198+'ตรัง'!J198+'นครศรีธรรมราช'!J198+'นราธิวาส'!J198+'ปัตตานี'!J198+'พังงา'!J198+'พัทลุง'!J198+'ภูเก็ต'!J198+'ยะลา'!J198+'ระนอง'!J198+'สงขลา'!J198+'สตูล'!J198+'สุราษฎร์ธานี'!J198</f>
        <v>0</v>
      </c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'กระบี่'!I199+'ชุมพร'!I199+'ตรัง'!I199+'นครศรีธรรมราช'!I199+'นราธิวาส'!I199+'ปัตตานี'!I199+'พังงา'!I199+'พัทลุง'!I199+'ภูเก็ต'!I199+'ยะลา'!I199+'ระนอง'!I199+'สงขลา'!I199+'สตูล'!I199+'สุราษฎร์ธานี'!I199</f>
        <v>239000</v>
      </c>
      <c r="J199" s="223">
        <f>'กระบี่'!J199+'ชุมพร'!J199+'ตรัง'!J199+'นครศรีธรรมราช'!J199+'นราธิวาส'!J199+'ปัตตานี'!J199+'พังงา'!J199+'พัทลุง'!J199+'ภูเก็ต'!J199+'ยะลา'!J199+'ระนอง'!J199+'สงขลา'!J199+'สตูล'!J199+'สุราษฎร์ธานี'!J199</f>
        <v>60000</v>
      </c>
      <c r="K199" s="196">
        <f t="shared" ref="K199:K201" si="56">IF(I199&gt;0,J199*100/I199,0)</f>
        <v>25.10460251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'กระบี่'!I200+'ชุมพร'!I200+'ตรัง'!I200+'นครศรีธรรมราช'!I200+'นราธิวาส'!I200+'ปัตตานี'!I200+'พังงา'!I200+'พัทลุง'!I200+'ภูเก็ต'!I200+'ยะลา'!I200+'ระนอง'!I200+'สงขลา'!I200+'สตูล'!I200+'สุราษฎร์ธานี'!I200</f>
        <v>239000</v>
      </c>
      <c r="J200" s="223">
        <f>'กระบี่'!J200+'ชุมพร'!J200+'ตรัง'!J200+'นครศรีธรรมราช'!J200+'นราธิวาส'!J200+'ปัตตานี'!J200+'พังงา'!J200+'พัทลุง'!J200+'ภูเก็ต'!J200+'ยะลา'!J200+'ระนอง'!J200+'สงขลา'!J200+'สตูล'!J200+'สุราษฎร์ธานี'!J200</f>
        <v>0</v>
      </c>
      <c r="K200" s="196">
        <f t="shared" si="56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'กระบี่'!I201+'ชุมพร'!I201+'ตรัง'!I201+'นครศรีธรรมราช'!I201+'นราธิวาส'!I201+'ปัตตานี'!I201+'พังงา'!I201+'พัทลุง'!I201+'ภูเก็ต'!I201+'ยะลา'!I201+'ระนอง'!I201+'สงขลา'!I201+'สตูล'!I201+'สุราษฎร์ธานี'!I201</f>
        <v>60</v>
      </c>
      <c r="J201" s="223">
        <f>'กระบี่'!J201+'ชุมพร'!J201+'ตรัง'!J201+'นครศรีธรรมราช'!J201+'นราธิวาส'!J201+'ปัตตานี'!J201+'พังงา'!J201+'พัทลุง'!J201+'ภูเก็ต'!J201+'ยะลา'!J201+'ระนอง'!J201+'สงขลา'!J201+'สตูล'!J201+'สุราษฎร์ธานี'!J201</f>
        <v>45</v>
      </c>
      <c r="K201" s="196">
        <f t="shared" si="56"/>
        <v>75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'กระบี่'!J202+'ชุมพร'!J202+'ตรัง'!J202+'นครศรีธรรมราช'!J202+'นราธิวาส'!J202+'ปัตตานี'!J202+'พังงา'!J202+'พัทลุง'!J202+'ภูเก็ต'!J202+'ยะลา'!J202+'ระนอง'!J202+'สงขลา'!J202+'สตูล'!J202+'สุราษฎร์ธานี'!J202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'กระบี่'!J203+'ชุมพร'!J203+'ตรัง'!J203+'นครศรีธรรมราช'!J203+'นราธิวาส'!J203+'ปัตตานี'!J203+'พังงา'!J203+'พัทลุง'!J203+'ภูเก็ต'!J203+'ยะลา'!J203+'ระนอง'!J203+'สงขลา'!J203+'สตูล'!J203+'สุราษฎร์ธานี'!J203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'กระบี่'!I204+'ชุมพร'!I204+'ตรัง'!I204+'นครศรีธรรมราช'!I204+'นราธิวาส'!I204+'ปัตตานี'!I204+'พังงา'!I204+'พัทลุง'!I204+'ภูเก็ต'!I204+'ยะลา'!I204+'ระนอง'!I204+'สงขลา'!I204+'สตูล'!I204+'สุราษฎร์ธานี'!I204</f>
        <v>100</v>
      </c>
      <c r="J204" s="317">
        <f>'กระบี่'!J204+'ชุมพร'!J204+'ตรัง'!J204+'นครศรีธรรมราช'!J204+'นราธิวาส'!J204+'ปัตตานี'!J204+'พังงา'!J204+'พัทลุง'!J204+'ภูเก็ต'!J204+'ยะลา'!J204+'ระนอง'!J204+'สงขลา'!J204+'สตูล'!J204+'สุราษฎร์ธานี'!J204</f>
        <v>52</v>
      </c>
      <c r="K204" s="318">
        <f>IF(I204&gt;0,J204*100/I204,0)</f>
        <v>52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'กระบี่'!J209+'ชุมพร'!J209+'ตรัง'!J209+'นครศรีธรรมราช'!J209+'นราธิวาส'!J209+'ปัตตานี'!J209+'พังงา'!J209+'พัทลุง'!J209+'ภูเก็ต'!J209+'ยะลา'!J209+'ระนอง'!J209+'สงขลา'!J209+'สตูล'!J209+'สุราษฎร์ธานี'!J209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'กระบี่'!J210+'ชุมพร'!J210+'ตรัง'!J210+'นครศรีธรรมราช'!J210+'นราธิวาส'!J210+'ปัตตานี'!J210+'พังงา'!J210+'พัทลุง'!J210+'ภูเก็ต'!J210+'ยะลา'!J210+'ระนอง'!J210+'สงขลา'!J210+'สตูล'!J210+'สุราษฎร์ธานี'!J210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'กระบี่'!J211+'ชุมพร'!J211+'ตรัง'!J211+'นครศรีธรรมราช'!J211+'นราธิวาส'!J211+'ปัตตานี'!J211+'พังงา'!J211+'พัทลุง'!J211+'ภูเก็ต'!J211+'ยะลา'!J211+'ระนอง'!J211+'สงขลา'!J211+'สตูล'!J211+'สุราษฎร์ธานี'!J211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'กระบี่'!J212+'ชุมพร'!J212+'ตรัง'!J212+'นครศรีธรรมราช'!J212+'นราธิวาส'!J212+'ปัตตานี'!J212+'พังงา'!J212+'พัทลุง'!J212+'ภูเก็ต'!J212+'ยะลา'!J212+'ระนอง'!J212+'สงขลา'!J212+'สตูล'!J212+'สุราษฎร์ธานี'!J212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'กระบี่'!I213+'ชุมพร'!I213+'ตรัง'!I213+'นครศรีธรรมราช'!I213+'นราธิวาส'!I213+'ปัตตานี'!I213+'พังงา'!I213+'พัทลุง'!I213+'ภูเก็ต'!I213+'ยะลา'!I213+'ระนอง'!I213+'สงขลา'!I213+'สตูล'!I213+'สุราษฎร์ธานี'!I213</f>
        <v>100</v>
      </c>
      <c r="J213" s="238">
        <f>'กระบี่'!J213+'ชุมพร'!J213+'ตรัง'!J213+'นครศรีธรรมราช'!J213+'นราธิวาส'!J213+'ปัตตานี'!J213+'พังงา'!J213+'พัทลุง'!J213+'ภูเก็ต'!J213+'ยะลา'!J213+'ระนอง'!J213+'สงขลา'!J213+'สตูล'!J213+'สุราษฎร์ธานี'!J213</f>
        <v>52</v>
      </c>
      <c r="K213" s="258">
        <f>IF(I213&gt;0,J213*100/I213,0)</f>
        <v>52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>
        <f>'กระบี่'!I214+'ชุมพร'!I214+'ตรัง'!I214+'นครศรีธรรมราช'!I214+'นราธิวาส'!I214+'ปัตตานี'!I214+'พังงา'!I214+'พัทลุง'!I214+'ภูเก็ต'!I214+'ยะลา'!I214+'ระนอง'!I214+'สงขลา'!I214+'สตูล'!I214+'สุราษฎร์ธานี'!I214</f>
        <v>0</v>
      </c>
      <c r="J214" s="222">
        <f>'กระบี่'!J214+'ชุมพร'!J214+'ตรัง'!J214+'นครศรีธรรมราช'!J214+'นราธิวาส'!J214+'ปัตตานี'!J214+'พังงา'!J214+'พัทลุง'!J214+'ภูเก็ต'!J214+'ยะลา'!J214+'ระนอง'!J214+'สงขลา'!J214+'สตูล'!J214+'สุราษฎร์ธานี'!J214</f>
        <v>0</v>
      </c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'กระบี่'!I215+'ชุมพร'!I215+'ตรัง'!I215+'นครศรีธรรมราช'!I215+'นราธิวาส'!I215+'ปัตตานี'!I215+'พังงา'!I215+'พัทลุง'!I215+'ภูเก็ต'!I215+'ยะลา'!I215+'ระนอง'!I215+'สงขลา'!I215+'สตูล'!I215+'สุราษฎร์ธานี'!I215</f>
        <v>0</v>
      </c>
      <c r="J215" s="238">
        <f>'กระบี่'!J215+'ชุมพร'!J215+'ตรัง'!J215+'นครศรีธรรมราช'!J215+'นราธิวาส'!J215+'ปัตตานี'!J215+'พังงา'!J215+'พัทลุง'!J215+'ภูเก็ต'!J215+'ยะลา'!J215+'ระนอง'!J215+'สงขลา'!J215+'สตูล'!J215+'สุราษฎร์ธานี'!J215</f>
        <v>0</v>
      </c>
      <c r="K215" s="258">
        <f t="shared" ref="K215:K216" si="57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'กระบี่'!I216+'ชุมพร'!I216+'ตรัง'!I216+'นครศรีธรรมราช'!I216+'นราธิวาส'!I216+'ปัตตานี'!I216+'พังงา'!I216+'พัทลุง'!I216+'ภูเก็ต'!I216+'ยะลา'!I216+'ระนอง'!I216+'สงขลา'!I216+'สตูล'!I216+'สุราษฎร์ธานี'!I216</f>
        <v>6</v>
      </c>
      <c r="J216" s="238">
        <f>'กระบี่'!J216+'ชุมพร'!J216+'ตรัง'!J216+'นครศรีธรรมราช'!J216+'นราธิวาส'!J216+'ปัตตานี'!J216+'พังงา'!J216+'พัทลุง'!J216+'ภูเก็ต'!J216+'ยะลา'!J216+'ระนอง'!J216+'สงขลา'!J216+'สตูล'!J216+'สุราษฎร์ธานี'!J216</f>
        <v>0</v>
      </c>
      <c r="K216" s="258">
        <f t="shared" si="57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'กระบี่'!J217+'ชุมพร'!J217+'ตรัง'!J217+'นครศรีธรรมราช'!J217+'นราธิวาส'!J217+'ปัตตานี'!J217+'พังงา'!J217+'พัทลุง'!J217+'ภูเก็ต'!J217+'ยะลา'!J217+'ระนอง'!J217+'สงขลา'!J217+'สตูล'!J217+'สุราษฎร์ธานี'!J217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'กระบี่'!J218+'ชุมพร'!J218+'ตรัง'!J218+'นครศรีธรรมราช'!J218+'นราธิวาส'!J218+'ปัตตานี'!J218+'พังงา'!J218+'พัทลุง'!J218+'ภูเก็ต'!J218+'ยะลา'!J218+'ระนอง'!J218+'สงขลา'!J218+'สตูล'!J218+'สุราษฎร์ธานี'!J218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'กระบี่'!I219+'ชุมพร'!I219+'ตรัง'!I219+'นครศรีธรรมราช'!I219+'นราธิวาส'!I219+'ปัตตานี'!I219+'พังงา'!I219+'พัทลุง'!I219+'ภูเก็ต'!I219+'ยะลา'!I219+'ระนอง'!I219+'สงขลา'!I219+'สตูล'!I219+'สุราษฎร์ธานี'!I219</f>
        <v>189</v>
      </c>
      <c r="J219" s="301">
        <f>'กระบี่'!J219+'ชุมพร'!J219+'ตรัง'!J219+'นครศรีธรรมราช'!J219+'นราธิวาส'!J219+'ปัตตานี'!J219+'พังงา'!J219+'พัทลุง'!J219+'ภูเก็ต'!J219+'ยะลา'!J219+'ระนอง'!J219+'สงขลา'!J219+'สตูล'!J219+'สุราษฎร์ธานี'!J219</f>
        <v>143</v>
      </c>
      <c r="K219" s="302">
        <f>IF(I219&gt;0,J219*100/I219,0)</f>
        <v>75.66137566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>'กระบี่'!L220+'ชุมพร'!L220+'ตรัง'!L220+'นครศรีธรรมราช'!L220+'นราธิวาส'!L220+'ปัตตานี'!L220+'พังงา'!L220+'พัทลุง'!L220+'ภูเก็ต'!L220+'ยะลา'!L220+'ระนอง'!L220+'สงขลา'!L220+'สตูล'!L220+'สุราษฎร์ธานี'!L220</f>
        <v>269135</v>
      </c>
      <c r="M220" s="183">
        <f>'กระบี่'!M220+'ชุมพร'!M220+'ตรัง'!M220+'นครศรีธรรมราช'!M220+'นราธิวาส'!M220+'ปัตตานี'!M220+'พังงา'!M220+'พัทลุง'!M220+'ภูเก็ต'!M220+'ยะลา'!M220+'ระนอง'!M220+'สงขลา'!M220+'สตูล'!M220+'สุราษฎร์ธานี'!M220</f>
        <v>269135</v>
      </c>
      <c r="N220" s="183">
        <f>'กระบี่'!N220+'ชุมพร'!N220+'ตรัง'!N220+'นครศรีธรรมราช'!N220+'นราธิวาส'!N220+'ปัตตานี'!N220+'พังงา'!N220+'พัทลุง'!N220+'ภูเก็ต'!N220+'ยะลา'!N220+'ระนอง'!N220+'สงขลา'!N220+'สตูล'!N220+'สุราษฎร์ธานี'!N220</f>
        <v>181720</v>
      </c>
      <c r="O220" s="182">
        <f t="shared" ref="O220:O222" si="58">IF(L220&gt;0,N220*100/L220,0)</f>
        <v>67.52001783</v>
      </c>
      <c r="P220" s="182">
        <f t="shared" ref="P220:P222" si="59">IF(M220&gt;0,N220*100/M220,0)</f>
        <v>67.52001783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>'กระบี่'!L221+'ชุมพร'!L221+'ตรัง'!L221+'นครศรีธรรมราช'!L221+'นราธิวาส'!L221+'ปัตตานี'!L221+'พังงา'!L221+'พัทลุง'!L221+'ภูเก็ต'!L221+'ยะลา'!L221+'ระนอง'!L221+'สงขลา'!L221+'สตูล'!L221+'สุราษฎร์ธานี'!L221</f>
        <v>0</v>
      </c>
      <c r="M221" s="188">
        <f>'กระบี่'!M221+'ชุมพร'!M221+'ตรัง'!M221+'นครศรีธรรมราช'!M221+'นราธิวาส'!M221+'ปัตตานี'!M221+'พังงา'!M221+'พัทลุง'!M221+'ภูเก็ต'!M221+'ยะลา'!M221+'ระนอง'!M221+'สงขลา'!M221+'สตูล'!M221+'สุราษฎร์ธานี'!M221</f>
        <v>0</v>
      </c>
      <c r="N221" s="188">
        <f>'กระบี่'!N221+'ชุมพร'!N221+'ตรัง'!N221+'นครศรีธรรมราช'!N221+'นราธิวาส'!N221+'ปัตตานี'!N221+'พังงา'!N221+'พัทลุง'!N221+'ภูเก็ต'!N221+'ยะลา'!N221+'ระนอง'!N221+'สงขลา'!N221+'สตูล'!N221+'สุราษฎร์ธานี'!N221</f>
        <v>0</v>
      </c>
      <c r="O221" s="187">
        <f t="shared" si="58"/>
        <v>0</v>
      </c>
      <c r="P221" s="187">
        <f t="shared" si="59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>'กระบี่'!L222+'ชุมพร'!L222+'ตรัง'!L222+'นครศรีธรรมราช'!L222+'นราธิวาส'!L222+'ปัตตานี'!L222+'พังงา'!L222+'พัทลุง'!L222+'ภูเก็ต'!L222+'ยะลา'!L222+'ระนอง'!L222+'สงขลา'!L222+'สตูล'!L222+'สุราษฎร์ธานี'!L222</f>
        <v>269135</v>
      </c>
      <c r="M222" s="188">
        <f>'กระบี่'!M222+'ชุมพร'!M222+'ตรัง'!M222+'นครศรีธรรมราช'!M222+'นราธิวาส'!M222+'ปัตตานี'!M222+'พังงา'!M222+'พัทลุง'!M222+'ภูเก็ต'!M222+'ยะลา'!M222+'ระนอง'!M222+'สงขลา'!M222+'สตูล'!M222+'สุราษฎร์ธานี'!M222</f>
        <v>269135</v>
      </c>
      <c r="N222" s="188">
        <f>'กระบี่'!N222+'ชุมพร'!N222+'ตรัง'!N222+'นครศรีธรรมราช'!N222+'นราธิวาส'!N222+'ปัตตานี'!N222+'พังงา'!N222+'พัทลุง'!N222+'ภูเก็ต'!N222+'ยะลา'!N222+'ระนอง'!N222+'สงขลา'!N222+'สตูล'!N222+'สุราษฎร์ธานี'!N222</f>
        <v>181720</v>
      </c>
      <c r="O222" s="187">
        <f t="shared" si="58"/>
        <v>67.52001783</v>
      </c>
      <c r="P222" s="187">
        <f t="shared" si="59"/>
        <v>67.52001783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f>'กระบี่'!L223+'ชุมพร'!L223+'ตรัง'!L223+'นครศรีธรรมราช'!L223+'นราธิวาส'!L223+'ปัตตานี'!L223+'พังงา'!L223+'พัทลุง'!L223+'ภูเก็ต'!L223+'ยะลา'!L223+'ระนอง'!L223+'สงขลา'!L223+'สตูล'!L223+'สุราษฎร์ธานี'!L223</f>
        <v>0</v>
      </c>
      <c r="M223" s="197">
        <f>'กระบี่'!M223+'ชุมพร'!M223+'ตรัง'!M223+'นครศรีธรรมราช'!M223+'นราธิวาส'!M223+'ปัตตานี'!M223+'พังงา'!M223+'พัทลุง'!M223+'ภูเก็ต'!M223+'ยะลา'!M223+'ระนอง'!M223+'สงขลา'!M223+'สตูล'!M223+'สุราษฎร์ธานี'!M223</f>
        <v>0</v>
      </c>
      <c r="N223" s="197">
        <f>'กระบี่'!N223+'ชุมพร'!N223+'ตรัง'!N223+'นครศรีธรรมราช'!N223+'นราธิวาส'!N223+'ปัตตานี'!N223+'พังงา'!N223+'พัทลุง'!N223+'ภูเก็ต'!N223+'ยะลา'!N223+'ระนอง'!N223+'สงขลา'!N223+'สตูล'!N223+'สุราษฎร์ธานี'!N223</f>
        <v>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'กระบี่'!L224+'ชุมพร'!L224+'ตรัง'!L224+'นครศรีธรรมราช'!L224+'นราธิวาส'!L224+'ปัตตานี'!L224+'พังงา'!L224+'พัทลุง'!L224+'ภูเก็ต'!L224+'ยะลา'!L224+'ระนอง'!L224+'สงขลา'!L224+'สตูล'!L224+'สุราษฎร์ธานี'!L224</f>
        <v>269135</v>
      </c>
      <c r="M224" s="201">
        <f>'กระบี่'!M224+'ชุมพร'!M224+'ตรัง'!M224+'นครศรีธรรมราช'!M224+'นราธิวาส'!M224+'ปัตตานี'!M224+'พังงา'!M224+'พัทลุง'!M224+'ภูเก็ต'!M224+'ยะลา'!M224+'ระนอง'!M224+'สงขลา'!M224+'สตูล'!M224+'สุราษฎร์ธานี'!M224</f>
        <v>269135</v>
      </c>
      <c r="N224" s="202">
        <f>'กระบี่'!N224+'ชุมพร'!N224+'ตรัง'!N224+'นครศรีธรรมราช'!N224+'นราธิวาส'!N224+'ปัตตานี'!N224+'พังงา'!N224+'พัทลุง'!N224+'ภูเก็ต'!N224+'ยะลา'!N224+'ระนอง'!N224+'สงขลา'!N224+'สตูล'!N224+'สุราษฎร์ธานี'!N224</f>
        <v>181720</v>
      </c>
      <c r="O224" s="203">
        <f>IF(L224&gt;0,N224*100/L224,0)</f>
        <v>67.52001783</v>
      </c>
      <c r="P224" s="203">
        <f>IF(M224&gt;0,N224*100/M224,0)</f>
        <v>67.52001783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'กระบี่'!L225+'ชุมพร'!L225+'ตรัง'!L225+'นครศรีธรรมราช'!L225+'นราธิวาส'!L225+'ปัตตานี'!L225+'พังงา'!L225+'พัทลุง'!L225+'ภูเก็ต'!L225+'ยะลา'!L225+'ระนอง'!L225+'สงขลา'!L225+'สตูล'!L225+'สุราษฎร์ธานี'!L225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'กระบี่'!L226+'ชุมพร'!L226+'ตรัง'!L226+'นครศรีธรรมราช'!L226+'นราธิวาส'!L226+'ปัตตานี'!L226+'พังงา'!L226+'พัทลุง'!L226+'ภูเก็ต'!L226+'ยะลา'!L226+'ระนอง'!L226+'สงขลา'!L226+'สตูล'!L226+'สุราษฎร์ธานี'!L226</f>
        <v>269135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f>'กระบี่'!L227+'ชุมพร'!L227+'ตรัง'!L227+'นครศรีธรรมราช'!L227+'นราธิวาส'!L227+'ปัตตานี'!L227+'พังงา'!L227+'พัทลุง'!L227+'ภูเก็ต'!L227+'ยะลา'!L227+'ระนอง'!L227+'สงขลา'!L227+'สตูล'!L227+'สุราษฎร์ธานี'!L227</f>
        <v>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'กระบี่'!L228+'ชุมพร'!L228+'ตรัง'!L228+'นครศรีธรรมราช'!L228+'นราธิวาส'!L228+'ปัตตานี'!L228+'พังงา'!L228+'พัทลุง'!L228+'ภูเก็ต'!L228+'ยะลา'!L228+'ระนอง'!L228+'สงขลา'!L228+'สตูล'!L228+'สุราษฎร์ธานี'!L228</f>
        <v>0</v>
      </c>
      <c r="M228" s="125"/>
      <c r="N228" s="115">
        <f>'กระบี่'!N228+'ชุมพร'!N228+'ตรัง'!N228+'นครศรีธรรมราช'!N228+'นราธิวาส'!N228+'ปัตตานี'!N228+'พังงา'!N228+'พัทลุง'!N228+'ภูเก็ต'!N228+'ยะลา'!N228+'ระนอง'!N228+'สงขลา'!N228+'สตูล'!N228+'สุราษฎร์ธานี'!N228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'กระบี่'!I229+'ชุมพร'!I229+'ตรัง'!I229+'นครศรีธรรมราช'!I229+'นราธิวาส'!I229+'ปัตตานี'!I229+'พังงา'!I229+'พัทลุง'!I229+'ภูเก็ต'!I229+'ยะลา'!I229+'ระนอง'!I229+'สงขลา'!I229+'สตูล'!I229+'สุราษฎร์ธานี'!I229</f>
        <v>189</v>
      </c>
      <c r="J229" s="301">
        <f>'กระบี่'!J229+'ชุมพร'!J229+'ตรัง'!J229+'นครศรีธรรมราช'!J229+'นราธิวาส'!J229+'ปัตตานี'!J229+'พังงา'!J229+'พัทลุง'!J229+'ภูเก็ต'!J229+'ยะลา'!J229+'ระนอง'!J229+'สงขลา'!J229+'สตูล'!J229+'สุราษฎร์ธานี'!J229</f>
        <v>143</v>
      </c>
      <c r="K229" s="302">
        <f>IF(I229&gt;0,J229*100/I229,0)</f>
        <v>75.66137566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'กระบี่'!J231+'ชุมพร'!J231+'ตรัง'!J231+'นครศรีธรรมราช'!J231+'นราธิวาส'!J231+'ปัตตานี'!J231+'พังงา'!J231+'พัทลุง'!J231+'ภูเก็ต'!J231+'ยะลา'!J231+'ระนอง'!J231+'สงขลา'!J231+'สตูล'!J231+'สุราษฎร์ธานี'!J231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'กระบี่'!J232+'ชุมพร'!J232+'ตรัง'!J232+'นครศรีธรรมราช'!J232+'นราธิวาส'!J232+'ปัตตานี'!J232+'พังงา'!J232+'พัทลุง'!J232+'ภูเก็ต'!J232+'ยะลา'!J232+'ระนอง'!J232+'สงขลา'!J232+'สตูล'!J232+'สุราษฎร์ธานี'!J232</f>
        <v>13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'กระบี่'!J233+'ชุมพร'!J233+'ตรัง'!J233+'นครศรีธรรมราช'!J233+'นราธิวาส'!J233+'ปัตตานี'!J233+'พังงา'!J233+'พัทลุง'!J233+'ภูเก็ต'!J233+'ยะลา'!J233+'ระนอง'!J233+'สงขลา'!J233+'สตูล'!J233+'สุราษฎร์ธานี'!J233</f>
        <v>13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'กระบี่'!J234+'ชุมพร'!J234+'ตรัง'!J234+'นครศรีธรรมราช'!J234+'นราธิวาส'!J234+'ปัตตานี'!J234+'พังงา'!J234+'พัทลุง'!J234+'ภูเก็ต'!J234+'ยะลา'!J234+'ระนอง'!J234+'สงขลา'!J234+'สตูล'!J234+'สุราษฎร์ธานี'!J234</f>
        <v>12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'กระบี่'!I235+'ชุมพร'!I235+'ตรัง'!I235+'นครศรีธรรมราช'!I235+'นราธิวาส'!I235+'ปัตตานี'!I235+'พังงา'!I235+'พัทลุง'!I235+'ภูเก็ต'!I235+'ยะลา'!I235+'ระนอง'!I235+'สงขลา'!I235+'สตูล'!I235+'สุราษฎร์ธานี'!I235</f>
        <v>189</v>
      </c>
      <c r="J235" s="223">
        <f>'กระบี่'!J235+'ชุมพร'!J235+'ตรัง'!J235+'นครศรีธรรมราช'!J235+'นราธิวาส'!J235+'ปัตตานี'!J235+'พังงา'!J235+'พัทลุง'!J235+'ภูเก็ต'!J235+'ยะลา'!J235+'ระนอง'!J235+'สงขลา'!J235+'สตูล'!J235+'สุราษฎร์ธานี'!J235</f>
        <v>143</v>
      </c>
      <c r="K235" s="196">
        <f>IF(I235&gt;0,J235*100/I235,0)</f>
        <v>75.66137566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'กระบี่'!J236+'ชุมพร'!J236+'ตรัง'!J236+'นครศรีธรรมราช'!J236+'นราธิวาส'!J236+'ปัตตานี'!J236+'พังงา'!J236+'พัทลุง'!J236+'ภูเก็ต'!J236+'ยะลา'!J236+'ระนอง'!J236+'สงขลา'!J236+'สตูล'!J236+'สุราษฎร์ธานี'!J236</f>
        <v>1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'กระบี่'!J237+'ชุมพร'!J237+'ตรัง'!J237+'นครศรีธรรมราช'!J237+'นราธิวาส'!J237+'ปัตตานี'!J237+'พังงา'!J237+'พัทลุง'!J237+'ภูเก็ต'!J237+'ยะลา'!J237+'ระนอง'!J237+'สงขลา'!J237+'สตูล'!J237+'สุราษฎร์ธานี'!J237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'กระบี่'!I238+'ชุมพร'!I238+'ตรัง'!I238+'นครศรีธรรมราช'!I238+'นราธิวาส'!I238+'ปัตตานี'!I238+'พังงา'!I238+'พัทลุง'!I238+'ภูเก็ต'!I238+'ยะลา'!I238+'ระนอง'!I238+'สงขลา'!I238+'สตูล'!I238+'สุราษฎร์ธานี'!I238</f>
        <v>0</v>
      </c>
      <c r="J238" s="301">
        <f>'กระบี่'!J238+'ชุมพร'!J238+'ตรัง'!J238+'นครศรีธรรมราช'!J238+'นราธิวาส'!J238+'ปัตตานี'!J238+'พังงา'!J238+'พัทลุง'!J238+'ภูเก็ต'!J238+'ยะลา'!J238+'ระนอง'!J238+'สงขลา'!J238+'สตูล'!J238+'สุราษฎร์ธานี'!J238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IFERROR(__xludf.DUMMYFUNCTION("IMPORTRANGE(""https://docs.google.com/spreadsheets/d/1SX6NBoVAgQJ6U1MVXOaj8PK2l7WJ3RER9xtqwdhxkhw/edit?usp=sharing"",""กาญจนบุรี!J159"")"),"")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'กระบี่'!J241+'ชุมพร'!J241+'ตรัง'!J241+'นครศรีธรรมราช'!J241+'นราธิวาส'!J241+'ปัตตานี'!J241+'พังงา'!J241+'พัทลุง'!J241+'ภูเก็ต'!J241+'ยะลา'!J241+'ระนอง'!J241+'สงขลา'!J241+'สตูล'!J241+'สุราษฎร์ธานี'!J241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'กระบี่'!J242+'ชุมพร'!J242+'ตรัง'!J242+'นครศรีธรรมราช'!J242+'นราธิวาส'!J242+'ปัตตานี'!J242+'พังงา'!J242+'พัทลุง'!J242+'ภูเก็ต'!J242+'ยะลา'!J242+'ระนอง'!J242+'สงขลา'!J242+'สตูล'!J242+'สุราษฎร์ธานี'!J242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'กระบี่'!J243+'ชุมพร'!J243+'ตรัง'!J243+'นครศรีธรรมราช'!J243+'นราธิวาส'!J243+'ปัตตานี'!J243+'พังงา'!J243+'พัทลุง'!J243+'ภูเก็ต'!J243+'ยะลา'!J243+'ระนอง'!J243+'สงขลา'!J243+'สตูล'!J243+'สุราษฎร์ธานี'!J243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'กระบี่'!I244+'ชุมพร'!I244+'ตรัง'!I244+'นครศรีธรรมราช'!I244+'นราธิวาส'!I244+'ปัตตานี'!I244+'พังงา'!I244+'พัทลุง'!I244+'ภูเก็ต'!I244+'ยะลา'!I244+'ระนอง'!I244+'สงขลา'!I244+'สตูล'!I244+'สุราษฎร์ธานี'!I244</f>
        <v>0</v>
      </c>
      <c r="J244" s="222">
        <f>'กระบี่'!J244+'ชุมพร'!J244+'ตรัง'!J244+'นครศรีธรรมราช'!J244+'นราธิวาส'!J244+'ปัตตานี'!J244+'พังงา'!J244+'พัทลุง'!J244+'ภูเก็ต'!J244+'ยะลา'!J244+'ระนอง'!J244+'สงขลา'!J244+'สตูล'!J244+'สุราษฎร์ธานี'!J244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'กระบี่'!J245+'ชุมพร'!J245+'ตรัง'!J245+'นครศรีธรรมราช'!J245+'นราธิวาส'!J245+'ปัตตานี'!J245+'พังงา'!J245+'พัทลุง'!J245+'ภูเก็ต'!J245+'ยะลา'!J245+'ระนอง'!J245+'สงขลา'!J245+'สตูล'!J245+'สุราษฎร์ธานี'!J245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'กระบี่'!J246+'ชุมพร'!J246+'ตรัง'!J246+'นครศรีธรรมราช'!J246+'นราธิวาส'!J246+'ปัตตานี'!J246+'พังงา'!J246+'พัทลุง'!J246+'ภูเก็ต'!J246+'ยะลา'!J246+'ระนอง'!J246+'สงขลา'!J246+'สตูล'!J246+'สุราษฎร์ธานี'!J246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'กระบี่'!I249+'ชุมพร'!I249+'ตรัง'!I249+'นครศรีธรรมราช'!I249+'นราธิวาส'!I249+'ปัตตานี'!I249+'พังงา'!I249+'พัทลุง'!I249+'ภูเก็ต'!I249+'ยะลา'!I249+'ระนอง'!I249+'สงขลา'!I249+'สตูล'!I249+'สุราษฎร์ธานี'!I249</f>
        <v>85</v>
      </c>
      <c r="J249" s="349">
        <f>'กระบี่'!J249+'ชุมพร'!J249+'ตรัง'!J249+'นครศรีธรรมราช'!J249+'นราธิวาส'!J249+'ปัตตานี'!J249+'พังงา'!J249+'พัทลุง'!J249+'ภูเก็ต'!J249+'ยะลา'!J249+'ระนอง'!J249+'สงขลา'!J249+'สตูล'!J249+'สุราษฎร์ธานี'!J249</f>
        <v>20</v>
      </c>
      <c r="K249" s="350">
        <f>IF(I249&gt;0,J249*100/I249,0)</f>
        <v>23.52941176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>'กระบี่'!L250+'ชุมพร'!L250+'ตรัง'!L250+'นครศรีธรรมราช'!L250+'นราธิวาส'!L250+'ปัตตานี'!L250+'พังงา'!L250+'พัทลุง'!L250+'ภูเก็ต'!L250+'ยะลา'!L250+'ระนอง'!L250+'สงขลา'!L250+'สตูล'!L250+'สุราษฎร์ธานี'!L250</f>
        <v>435200</v>
      </c>
      <c r="M250" s="183">
        <f>'กระบี่'!M250+'ชุมพร'!M250+'ตรัง'!M250+'นครศรีธรรมราช'!M250+'นราธิวาส'!M250+'ปัตตานี'!M250+'พังงา'!M250+'พัทลุง'!M250+'ภูเก็ต'!M250+'ยะลา'!M250+'ระนอง'!M250+'สงขลา'!M250+'สตูล'!M250+'สุราษฎร์ธานี'!M250</f>
        <v>219500</v>
      </c>
      <c r="N250" s="183">
        <f>'กระบี่'!N250+'ชุมพร'!N250+'ตรัง'!N250+'นครศรีธรรมราช'!N250+'นราธิวาส'!N250+'ปัตตานี'!N250+'พังงา'!N250+'พัทลุง'!N250+'ภูเก็ต'!N250+'ยะลา'!N250+'ระนอง'!N250+'สงขลา'!N250+'สตูล'!N250+'สุราษฎร์ธานี'!N250</f>
        <v>98340</v>
      </c>
      <c r="O250" s="182">
        <f t="shared" ref="O250:O252" si="60">IF(L250&gt;0,N250*100/L250,0)</f>
        <v>22.59650735</v>
      </c>
      <c r="P250" s="182">
        <f t="shared" ref="P250:P252" si="61">IF(M250&gt;0,N250*100/M250,0)</f>
        <v>44.80182232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>'กระบี่'!L251+'ชุมพร'!L251+'ตรัง'!L251+'นครศรีธรรมราช'!L251+'นราธิวาส'!L251+'ปัตตานี'!L251+'พังงา'!L251+'พัทลุง'!L251+'ภูเก็ต'!L251+'ยะลา'!L251+'ระนอง'!L251+'สงขลา'!L251+'สตูล'!L251+'สุราษฎร์ธานี'!L251</f>
        <v>0</v>
      </c>
      <c r="M251" s="188">
        <f>'กระบี่'!M251+'ชุมพร'!M251+'ตรัง'!M251+'นครศรีธรรมราช'!M251+'นราธิวาส'!M251+'ปัตตานี'!M251+'พังงา'!M251+'พัทลุง'!M251+'ภูเก็ต'!M251+'ยะลา'!M251+'ระนอง'!M251+'สงขลา'!M251+'สตูล'!M251+'สุราษฎร์ธานี'!M251</f>
        <v>0</v>
      </c>
      <c r="N251" s="188">
        <f>'กระบี่'!N251+'ชุมพร'!N251+'ตรัง'!N251+'นครศรีธรรมราช'!N251+'นราธิวาส'!N251+'ปัตตานี'!N251+'พังงา'!N251+'พัทลุง'!N251+'ภูเก็ต'!N251+'ยะลา'!N251+'ระนอง'!N251+'สงขลา'!N251+'สตูล'!N251+'สุราษฎร์ธานี'!N251</f>
        <v>0</v>
      </c>
      <c r="O251" s="187">
        <f t="shared" si="60"/>
        <v>0</v>
      </c>
      <c r="P251" s="187">
        <f t="shared" si="6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>'กระบี่'!L252+'ชุมพร'!L252+'ตรัง'!L252+'นครศรีธรรมราช'!L252+'นราธิวาส'!L252+'ปัตตานี'!L252+'พังงา'!L252+'พัทลุง'!L252+'ภูเก็ต'!L252+'ยะลา'!L252+'ระนอง'!L252+'สงขลา'!L252+'สตูล'!L252+'สุราษฎร์ธานี'!L252</f>
        <v>435200</v>
      </c>
      <c r="M252" s="188">
        <f>'กระบี่'!M252+'ชุมพร'!M252+'ตรัง'!M252+'นครศรีธรรมราช'!M252+'นราธิวาส'!M252+'ปัตตานี'!M252+'พังงา'!M252+'พัทลุง'!M252+'ภูเก็ต'!M252+'ยะลา'!M252+'ระนอง'!M252+'สงขลา'!M252+'สตูล'!M252+'สุราษฎร์ธานี'!M252</f>
        <v>219500</v>
      </c>
      <c r="N252" s="188">
        <f>'กระบี่'!N252+'ชุมพร'!N252+'ตรัง'!N252+'นครศรีธรรมราช'!N252+'นราธิวาส'!N252+'ปัตตานี'!N252+'พังงา'!N252+'พัทลุง'!N252+'ภูเก็ต'!N252+'ยะลา'!N252+'ระนอง'!N252+'สงขลา'!N252+'สตูล'!N252+'สุราษฎร์ธานี'!N252</f>
        <v>98340</v>
      </c>
      <c r="O252" s="187">
        <f t="shared" si="60"/>
        <v>22.59650735</v>
      </c>
      <c r="P252" s="187">
        <f t="shared" si="61"/>
        <v>44.80182232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f>'กระบี่'!L253+'ชุมพร'!L253+'ตรัง'!L253+'นครศรีธรรมราช'!L253+'นราธิวาส'!L253+'ปัตตานี'!L253+'พังงา'!L253+'พัทลุง'!L253+'ภูเก็ต'!L253+'ยะลา'!L253+'ระนอง'!L253+'สงขลา'!L253+'สตูล'!L253+'สุราษฎร์ธานี'!L253</f>
        <v>0</v>
      </c>
      <c r="M253" s="197">
        <f>'กระบี่'!M253+'ชุมพร'!M253+'ตรัง'!M253+'นครศรีธรรมราช'!M253+'นราธิวาส'!M253+'ปัตตานี'!M253+'พังงา'!M253+'พัทลุง'!M253+'ภูเก็ต'!M253+'ยะลา'!M253+'ระนอง'!M253+'สงขลา'!M253+'สตูล'!M253+'สุราษฎร์ธานี'!M253</f>
        <v>0</v>
      </c>
      <c r="N253" s="197">
        <f>'กระบี่'!N253+'ชุมพร'!N253+'ตรัง'!N253+'นครศรีธรรมราช'!N253+'นราธิวาส'!N253+'ปัตตานี'!N253+'พังงา'!N253+'พัทลุง'!N253+'ภูเก็ต'!N253+'ยะลา'!N253+'ระนอง'!N253+'สงขลา'!N253+'สตูล'!N253+'สุราษฎร์ธานี'!N253</f>
        <v>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'กระบี่'!L254+'ชุมพร'!L254+'ตรัง'!L254+'นครศรีธรรมราช'!L254+'นราธิวาส'!L254+'ปัตตานี'!L254+'พังงา'!L254+'พัทลุง'!L254+'ภูเก็ต'!L254+'ยะลา'!L254+'ระนอง'!L254+'สงขลา'!L254+'สตูล'!L254+'สุราษฎร์ธานี'!L254</f>
        <v>435200</v>
      </c>
      <c r="M254" s="201">
        <f>'กระบี่'!M254+'ชุมพร'!M254+'ตรัง'!M254+'นครศรีธรรมราช'!M254+'นราธิวาส'!M254+'ปัตตานี'!M254+'พังงา'!M254+'พัทลุง'!M254+'ภูเก็ต'!M254+'ยะลา'!M254+'ระนอง'!M254+'สงขลา'!M254+'สตูล'!M254+'สุราษฎร์ธานี'!M254</f>
        <v>219500</v>
      </c>
      <c r="N254" s="202">
        <f>'กระบี่'!N254+'ชุมพร'!N254+'ตรัง'!N254+'นครศรีธรรมราช'!N254+'นราธิวาส'!N254+'ปัตตานี'!N254+'พังงา'!N254+'พัทลุง'!N254+'ภูเก็ต'!N254+'ยะลา'!N254+'ระนอง'!N254+'สงขลา'!N254+'สตูล'!N254+'สุราษฎร์ธานี'!N254</f>
        <v>98340</v>
      </c>
      <c r="O254" s="203">
        <f>IF(L254&gt;0,N254*100/L254,0)</f>
        <v>22.59650735</v>
      </c>
      <c r="P254" s="203">
        <f>IF(M254&gt;0,N254*100/M254,0)</f>
        <v>44.80182232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'กระบี่'!L255+'ชุมพร'!L255+'ตรัง'!L255+'นครศรีธรรมราช'!L255+'นราธิวาส'!L255+'ปัตตานี'!L255+'พังงา'!L255+'พัทลุง'!L255+'ภูเก็ต'!L255+'ยะลา'!L255+'ระนอง'!L255+'สงขลา'!L255+'สตูล'!L255+'สุราษฎร์ธานี'!L255</f>
        <v>132000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'กระบี่'!L256+'ชุมพร'!L256+'ตรัง'!L256+'นครศรีธรรมราช'!L256+'นราธิวาส'!L256+'ปัตตานี'!L256+'พังงา'!L256+'พัทลุง'!L256+'ภูเก็ต'!L256+'ยะลา'!L256+'ระนอง'!L256+'สงขลา'!L256+'สตูล'!L256+'สุราษฎร์ธานี'!L256</f>
        <v>303200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f>'กระบี่'!L257+'ชุมพร'!L257+'ตรัง'!L257+'นครศรีธรรมราช'!L257+'นราธิวาส'!L257+'ปัตตานี'!L257+'พังงา'!L257+'พัทลุง'!L257+'ภูเก็ต'!L257+'ยะลา'!L257+'ระนอง'!L257+'สงขลา'!L257+'สตูล'!L257+'สุราษฎร์ธานี'!L257</f>
        <v>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'กระบี่'!L258+'ชุมพร'!L258+'ตรัง'!L258+'นครศรีธรรมราช'!L258+'นราธิวาส'!L258+'ปัตตานี'!L258+'พังงา'!L258+'พัทลุง'!L258+'ภูเก็ต'!L258+'ยะลา'!L258+'ระนอง'!L258+'สงขลา'!L258+'สตูล'!L258+'สุราษฎร์ธานี'!L258</f>
        <v>0</v>
      </c>
      <c r="M258" s="125"/>
      <c r="N258" s="115">
        <f>'กระบี่'!N258+'ชุมพร'!N258+'ตรัง'!N258+'นครศรีธรรมราช'!N258+'นราธิวาส'!N258+'ปัตตานี'!N258+'พังงา'!N258+'พัทลุง'!N258+'ภูเก็ต'!N258+'ยะลา'!N258+'ระนอง'!N258+'สงขลา'!N258+'สตูล'!N258+'สุราษฎร์ธานี'!N258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'กระบี่'!J260+'ชุมพร'!J260+'ตรัง'!J260+'นครศรีธรรมราช'!J260+'นราธิวาส'!J260+'ปัตตานี'!J260+'พังงา'!J260+'พัทลุง'!J260+'ภูเก็ต'!J260+'ยะลา'!J260+'ระนอง'!J260+'สงขลา'!J260+'สตูล'!J260+'สุราษฎร์ธานี'!J260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'กระบี่'!J261+'ชุมพร'!J261+'ตรัง'!J261+'นครศรีธรรมราช'!J261+'นราธิวาส'!J261+'ปัตตานี'!J261+'พังงา'!J261+'พัทลุง'!J261+'ภูเก็ต'!J261+'ยะลา'!J261+'ระนอง'!J261+'สงขลา'!J261+'สตูล'!J261+'สุราษฎร์ธานี'!J261</f>
        <v>4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'กระบี่'!J262+'ชุมพร'!J262+'ตรัง'!J262+'นครศรีธรรมราช'!J262+'นราธิวาส'!J262+'ปัตตานี'!J262+'พังงา'!J262+'พัทลุง'!J262+'ภูเก็ต'!J262+'ยะลา'!J262+'ระนอง'!J262+'สงขลา'!J262+'สตูล'!J262+'สุราษฎร์ธานี'!J262</f>
        <v>4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'กระบี่'!J263+'ชุมพร'!J263+'ตรัง'!J263+'นครศรีธรรมราช'!J263+'นราธิวาส'!J263+'ปัตตานี'!J263+'พังงา'!J263+'พัทลุง'!J263+'ภูเก็ต'!J263+'ยะลา'!J263+'ระนอง'!J263+'สงขลา'!J263+'สตูล'!J263+'สุราษฎร์ธานี'!J263</f>
        <v>3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'กระบี่'!I264+'ชุมพร'!I264+'ตรัง'!I264+'นครศรีธรรมราช'!I264+'นราธิวาส'!I264+'ปัตตานี'!I264+'พังงา'!I264+'พัทลุง'!I264+'ภูเก็ต'!I264+'ยะลา'!I264+'ระนอง'!I264+'สงขลา'!I264+'สตูล'!I264+'สุราษฎร์ธานี'!I264</f>
        <v>4</v>
      </c>
      <c r="J264" s="223">
        <f>'กระบี่'!J264+'ชุมพร'!J264+'ตรัง'!J264+'นครศรีธรรมราช'!J264+'นราธิวาส'!J264+'ปัตตานี'!J264+'พังงา'!J264+'พัทลุง'!J264+'ภูเก็ต'!J264+'ยะลา'!J264+'ระนอง'!J264+'สงขลา'!J264+'สตูล'!J264+'สุราษฎร์ธานี'!J264</f>
        <v>1</v>
      </c>
      <c r="K264" s="196">
        <f>IF(I264&gt;0,J264*100/I264,0)</f>
        <v>25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'กระบี่'!I265+'ชุมพร'!I265+'ตรัง'!I265+'นครศรีธรรมราช'!I265+'นราธิวาส'!I265+'ปัตตานี'!I265+'พังงา'!I265+'พัทลุง'!I265+'ภูเก็ต'!I265+'ยะลา'!I265+'ระนอง'!I265+'สงขลา'!I265+'สตูล'!I265+'สุราษฎร์ธานี'!I265</f>
        <v>85</v>
      </c>
      <c r="J265" s="223">
        <f>'กระบี่'!J265+'ชุมพร'!J265+'ตรัง'!J265+'นครศรีธรรมราช'!J265+'นราธิวาส'!J265+'ปัตตานี'!J265+'พังงา'!J265+'พัทลุง'!J265+'ภูเก็ต'!J265+'ยะลา'!J265+'ระนอง'!J265+'สงขลา'!J265+'สตูล'!J265+'สุราษฎร์ธานี'!J265</f>
        <v>20</v>
      </c>
      <c r="K265" s="196">
        <f>IF(I265&gt;0,J265*100/I265,0)</f>
        <v>23.52941176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'กระบี่'!I266+'ชุมพร'!I266+'ตรัง'!I266+'นครศรีธรรมราช'!I266+'นราธิวาส'!I266+'ปัตตานี'!I266+'พังงา'!I266+'พัทลุง'!I266+'ภูเก็ต'!I266+'ยะลา'!I266+'ระนอง'!I266+'สงขลา'!I266+'สตูล'!I266+'สุราษฎร์ธานี'!I266</f>
        <v>85</v>
      </c>
      <c r="J266" s="223">
        <f>'กระบี่'!J266+'ชุมพร'!J266+'ตรัง'!J266+'นครศรีธรรมราช'!J266+'นราธิวาส'!J266+'ปัตตานี'!J266+'พังงา'!J266+'พัทลุง'!J266+'ภูเก็ต'!J266+'ยะลา'!J266+'ระนอง'!J266+'สงขลา'!J266+'สตูล'!J266+'สุราษฎร์ธานี'!J266</f>
        <v>0</v>
      </c>
      <c r="K266" s="196">
        <f>IF(I266&gt;0,J266*100/I266,0)</f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'กระบี่'!I267+'ชุมพร'!I267+'ตรัง'!I267+'นครศรีธรรมราช'!I267+'นราธิวาส'!I267+'ปัตตานี'!I267+'พังงา'!I267+'พัทลุง'!I267+'ภูเก็ต'!I267+'ยะลา'!I267+'ระนอง'!I267+'สงขลา'!I267+'สตูล'!I267+'สุราษฎร์ธานี'!I267</f>
        <v>4</v>
      </c>
      <c r="J267" s="223">
        <f>'กระบี่'!J267+'ชุมพร'!J267+'ตรัง'!J267+'นครศรีธรรมราช'!J267+'นราธิวาส'!J267+'ปัตตานี'!J267+'พังงา'!J267+'พัทลุง'!J267+'ภูเก็ต'!J267+'ยะลา'!J267+'ระนอง'!J267+'สงขลา'!J267+'สตูล'!J267+'สุราษฎร์ธานี'!J267</f>
        <v>1</v>
      </c>
      <c r="K267" s="196">
        <f>IF(I267&gt;0,J267*100/I267,0)</f>
        <v>25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'กระบี่'!J268+'ชุมพร'!J268+'ตรัง'!J268+'นครศรีธรรมราช'!J268+'นราธิวาส'!J268+'ปัตตานี'!J268+'พังงา'!J268+'พัทลุง'!J268+'ภูเก็ต'!J268+'ยะลา'!J268+'ระนอง'!J268+'สงขลา'!J268+'สตูล'!J268+'สุราษฎร์ธานี'!J268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'กระบี่'!J269+'ชุมพร'!J269+'ตรัง'!J269+'นครศรีธรรมราช'!J269+'นราธิวาส'!J269+'ปัตตานี'!J269+'พังงา'!J269+'พัทลุง'!J269+'ภูเก็ต'!J269+'ยะลา'!J269+'ระนอง'!J269+'สงขลา'!J269+'สตูล'!J269+'สุราษฎร์ธานี'!J269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'กระบี่'!I270+'ชุมพร'!I270+'ตรัง'!I270+'นครศรีธรรมราช'!I270+'นราธิวาส'!I270+'ปัตตานี'!I270+'พังงา'!I270+'พัทลุง'!I270+'ภูเก็ต'!I270+'ยะลา'!I270+'ระนอง'!I270+'สงขลา'!I270+'สตูล'!I270+'สุราษฎร์ธานี'!I270</f>
        <v>85</v>
      </c>
      <c r="J270" s="349">
        <f>'กระบี่'!J270+'ชุมพร'!J270+'ตรัง'!J270+'นครศรีธรรมราช'!J270+'นราธิวาส'!J270+'ปัตตานี'!J270+'พังงา'!J270+'พัทลุง'!J270+'ภูเก็ต'!J270+'ยะลา'!J270+'ระนอง'!J270+'สงขลา'!J270+'สตูล'!J270+'สุราษฎร์ธานี'!J270</f>
        <v>50</v>
      </c>
      <c r="K270" s="350">
        <f>IF(I270&gt;0,J270*100/I270,0)</f>
        <v>58.82352941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>'กระบี่'!L271+'ชุมพร'!L271+'ตรัง'!L271+'นครศรีธรรมราช'!L271+'นราธิวาส'!L271+'ปัตตานี'!L271+'พังงา'!L271+'พัทลุง'!L271+'ภูเก็ต'!L271+'ยะลา'!L271+'ระนอง'!L271+'สงขลา'!L271+'สตูล'!L271+'สุราษฎร์ธานี'!L271</f>
        <v>1192800</v>
      </c>
      <c r="M271" s="183">
        <f>'กระบี่'!M271+'ชุมพร'!M271+'ตรัง'!M271+'นครศรีธรรมราช'!M271+'นราธิวาส'!M271+'ปัตตานี'!M271+'พังงา'!M271+'พัทลุง'!M271+'ภูเก็ต'!M271+'ยะลา'!M271+'ระนอง'!M271+'สงขลา'!M271+'สตูล'!M271+'สุราษฎร์ธานี'!M271</f>
        <v>612750</v>
      </c>
      <c r="N271" s="183">
        <f>'กระบี่'!N271+'ชุมพร'!N271+'ตรัง'!N271+'นครศรีธรรมราช'!N271+'นราธิวาส'!N271+'ปัตตานี'!N271+'พังงา'!N271+'พัทลุง'!N271+'ภูเก็ต'!N271+'ยะลา'!N271+'ระนอง'!N271+'สงขลา'!N271+'สตูล'!N271+'สุราษฎร์ธานี'!N271</f>
        <v>302923</v>
      </c>
      <c r="O271" s="182">
        <f t="shared" ref="O271:O273" si="62">IF(L271&gt;0,N271*100/L271,0)</f>
        <v>25.39595909</v>
      </c>
      <c r="P271" s="182">
        <f t="shared" ref="P271:P273" si="63">IF(M271&gt;0,N271*100/M271,0)</f>
        <v>49.43663811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>'กระบี่'!L272+'ชุมพร'!L272+'ตรัง'!L272+'นครศรีธรรมราช'!L272+'นราธิวาส'!L272+'ปัตตานี'!L272+'พังงา'!L272+'พัทลุง'!L272+'ภูเก็ต'!L272+'ยะลา'!L272+'ระนอง'!L272+'สงขลา'!L272+'สตูล'!L272+'สุราษฎร์ธานี'!L272</f>
        <v>0</v>
      </c>
      <c r="M272" s="188">
        <f>'กระบี่'!M272+'ชุมพร'!M272+'ตรัง'!M272+'นครศรีธรรมราช'!M272+'นราธิวาส'!M272+'ปัตตานี'!M272+'พังงา'!M272+'พัทลุง'!M272+'ภูเก็ต'!M272+'ยะลา'!M272+'ระนอง'!M272+'สงขลา'!M272+'สตูล'!M272+'สุราษฎร์ธานี'!M272</f>
        <v>0</v>
      </c>
      <c r="N272" s="188">
        <f>'กระบี่'!N272+'ชุมพร'!N272+'ตรัง'!N272+'นครศรีธรรมราช'!N272+'นราธิวาส'!N272+'ปัตตานี'!N272+'พังงา'!N272+'พัทลุง'!N272+'ภูเก็ต'!N272+'ยะลา'!N272+'ระนอง'!N272+'สงขลา'!N272+'สตูล'!N272+'สุราษฎร์ธานี'!N272</f>
        <v>0</v>
      </c>
      <c r="O272" s="187">
        <f t="shared" si="62"/>
        <v>0</v>
      </c>
      <c r="P272" s="187">
        <f t="shared" si="63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>'กระบี่'!L273+'ชุมพร'!L273+'ตรัง'!L273+'นครศรีธรรมราช'!L273+'นราธิวาส'!L273+'ปัตตานี'!L273+'พังงา'!L273+'พัทลุง'!L273+'ภูเก็ต'!L273+'ยะลา'!L273+'ระนอง'!L273+'สงขลา'!L273+'สตูล'!L273+'สุราษฎร์ธานี'!L273</f>
        <v>1192800</v>
      </c>
      <c r="M273" s="188">
        <f>'กระบี่'!M273+'ชุมพร'!M273+'ตรัง'!M273+'นครศรีธรรมราช'!M273+'นราธิวาส'!M273+'ปัตตานี'!M273+'พังงา'!M273+'พัทลุง'!M273+'ภูเก็ต'!M273+'ยะลา'!M273+'ระนอง'!M273+'สงขลา'!M273+'สตูล'!M273+'สุราษฎร์ธานี'!M273</f>
        <v>612750</v>
      </c>
      <c r="N273" s="188">
        <f>'กระบี่'!N273+'ชุมพร'!N273+'ตรัง'!N273+'นครศรีธรรมราช'!N273+'นราธิวาส'!N273+'ปัตตานี'!N273+'พังงา'!N273+'พัทลุง'!N273+'ภูเก็ต'!N273+'ยะลา'!N273+'ระนอง'!N273+'สงขลา'!N273+'สตูล'!N273+'สุราษฎร์ธานี'!N273</f>
        <v>302923</v>
      </c>
      <c r="O273" s="187">
        <f t="shared" si="62"/>
        <v>25.39595909</v>
      </c>
      <c r="P273" s="187">
        <f t="shared" si="63"/>
        <v>49.43663811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f>'กระบี่'!L274+'ชุมพร'!L274+'ตรัง'!L274+'นครศรีธรรมราช'!L274+'นราธิวาส'!L274+'ปัตตานี'!L274+'พังงา'!L274+'พัทลุง'!L274+'ภูเก็ต'!L274+'ยะลา'!L274+'ระนอง'!L274+'สงขลา'!L274+'สตูล'!L274+'สุราษฎร์ธานี'!L274</f>
        <v>0</v>
      </c>
      <c r="M274" s="197">
        <f>'กระบี่'!M274+'ชุมพร'!M274+'ตรัง'!M274+'นครศรีธรรมราช'!M274+'นราธิวาส'!M274+'ปัตตานี'!M274+'พังงา'!M274+'พัทลุง'!M274+'ภูเก็ต'!M274+'ยะลา'!M274+'ระนอง'!M274+'สงขลา'!M274+'สตูล'!M274+'สุราษฎร์ธานี'!M274</f>
        <v>0</v>
      </c>
      <c r="N274" s="197">
        <f>'กระบี่'!N274+'ชุมพร'!N274+'ตรัง'!N274+'นครศรีธรรมราช'!N274+'นราธิวาส'!N274+'ปัตตานี'!N274+'พังงา'!N274+'พัทลุง'!N274+'ภูเก็ต'!N274+'ยะลา'!N274+'ระนอง'!N274+'สงขลา'!N274+'สตูล'!N274+'สุราษฎร์ธานี'!N274</f>
        <v>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'กระบี่'!L275+'ชุมพร'!L275+'ตรัง'!L275+'นครศรีธรรมราช'!L275+'นราธิวาส'!L275+'ปัตตานี'!L275+'พังงา'!L275+'พัทลุง'!L275+'ภูเก็ต'!L275+'ยะลา'!L275+'ระนอง'!L275+'สงขลา'!L275+'สตูล'!L275+'สุราษฎร์ธานี'!L275</f>
        <v>1192800</v>
      </c>
      <c r="M275" s="201">
        <f>'กระบี่'!M275+'ชุมพร'!M275+'ตรัง'!M275+'นครศรีธรรมราช'!M275+'นราธิวาส'!M275+'ปัตตานี'!M275+'พังงา'!M275+'พัทลุง'!M275+'ภูเก็ต'!M275+'ยะลา'!M275+'ระนอง'!M275+'สงขลา'!M275+'สตูล'!M275+'สุราษฎร์ธานี'!M275</f>
        <v>612750</v>
      </c>
      <c r="N275" s="202">
        <f>'กระบี่'!N275+'ชุมพร'!N275+'ตรัง'!N275+'นครศรีธรรมราช'!N275+'นราธิวาส'!N275+'ปัตตานี'!N275+'พังงา'!N275+'พัทลุง'!N275+'ภูเก็ต'!N275+'ยะลา'!N275+'ระนอง'!N275+'สงขลา'!N275+'สตูล'!N275+'สุราษฎร์ธานี'!N275</f>
        <v>302923</v>
      </c>
      <c r="O275" s="203">
        <f>IF(L275&gt;0,N275*100/L275,0)</f>
        <v>25.39595909</v>
      </c>
      <c r="P275" s="203">
        <f>IF(M275&gt;0,N275*100/M275,0)</f>
        <v>49.43663811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'กระบี่'!L276+'ชุมพร'!L276+'ตรัง'!L276+'นครศรีธรรมราช'!L276+'นราธิวาส'!L276+'ปัตตานี'!L276+'พังงา'!L276+'พัทลุง'!L276+'ภูเก็ต'!L276+'ยะลา'!L276+'ระนอง'!L276+'สงขลา'!L276+'สตูล'!L276+'สุราษฎร์ธานี'!L276</f>
        <v>660000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'กระบี่'!L277+'ชุมพร'!L277+'ตรัง'!L277+'นครศรีธรรมราช'!L277+'นราธิวาส'!L277+'ปัตตานี'!L277+'พังงา'!L277+'พัทลุง'!L277+'ภูเก็ต'!L277+'ยะลา'!L277+'ระนอง'!L277+'สงขลา'!L277+'สตูล'!L277+'สุราษฎร์ธานี'!L277</f>
        <v>532800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f>'กระบี่'!L278+'ชุมพร'!L278+'ตรัง'!L278+'นครศรีธรรมราช'!L278+'นราธิวาส'!L278+'ปัตตานี'!L278+'พังงา'!L278+'พัทลุง'!L278+'ภูเก็ต'!L278+'ยะลา'!L278+'ระนอง'!L278+'สงขลา'!L278+'สตูล'!L278+'สุราษฎร์ธานี'!L278</f>
        <v>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'กระบี่'!L279+'ชุมพร'!L279+'ตรัง'!L279+'นครศรีธรรมราช'!L279+'นราธิวาส'!L279+'ปัตตานี'!L279+'พังงา'!L279+'พัทลุง'!L279+'ภูเก็ต'!L279+'ยะลา'!L279+'ระนอง'!L279+'สงขลา'!L279+'สตูล'!L279+'สุราษฎร์ธานี'!L279</f>
        <v>0</v>
      </c>
      <c r="M279" s="125"/>
      <c r="N279" s="115">
        <f>'กระบี่'!N279+'ชุมพร'!N279+'ตรัง'!N279+'นครศรีธรรมราช'!N279+'นราธิวาส'!N279+'ปัตตานี'!N279+'พังงา'!N279+'พัทลุง'!N279+'ภูเก็ต'!N279+'ยะลา'!N279+'ระนอง'!N279+'สงขลา'!N279+'สตูล'!N279+'สุราษฎร์ธานี'!N279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'กระบี่'!J281+'ชุมพร'!J281+'ตรัง'!J281+'นครศรีธรรมราช'!J281+'นราธิวาส'!J281+'ปัตตานี'!J281+'พังงา'!J281+'พัทลุง'!J281+'ภูเก็ต'!J281+'ยะลา'!J281+'ระนอง'!J281+'สงขลา'!J281+'สตูล'!J281+'สุราษฎร์ธานี'!J281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'กระบี่'!J282+'ชุมพร'!J282+'ตรัง'!J282+'นครศรีธรรมราช'!J282+'นราธิวาส'!J282+'ปัตตานี'!J282+'พังงา'!J282+'พัทลุง'!J282+'ภูเก็ต'!J282+'ยะลา'!J282+'ระนอง'!J282+'สงขลา'!J282+'สตูล'!J282+'สุราษฎร์ธานี'!J282</f>
        <v>5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'กระบี่'!J283+'ชุมพร'!J283+'ตรัง'!J283+'นครศรีธรรมราช'!J283+'นราธิวาส'!J283+'ปัตตานี'!J283+'พังงา'!J283+'พัทลุง'!J283+'ภูเก็ต'!J283+'ยะลา'!J283+'ระนอง'!J283+'สงขลา'!J283+'สตูล'!J283+'สุราษฎร์ธานี'!J283</f>
        <v>5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'กระบี่'!J284+'ชุมพร'!J284+'ตรัง'!J284+'นครศรีธรรมราช'!J284+'นราธิวาส'!J284+'ปัตตานี'!J284+'พังงา'!J284+'พัทลุง'!J284+'ภูเก็ต'!J284+'ยะลา'!J284+'ระนอง'!J284+'สงขลา'!J284+'สตูล'!J284+'สุราษฎร์ธานี'!J284</f>
        <v>5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'กระบี่'!I285+'ชุมพร'!I285+'ตรัง'!I285+'นครศรีธรรมราช'!I285+'นราธิวาส'!I285+'ปัตตานี'!I285+'พังงา'!I285+'พัทลุง'!I285+'ภูเก็ต'!I285+'ยะลา'!I285+'ระนอง'!I285+'สงขลา'!I285+'สตูล'!I285+'สุราษฎร์ธานี'!I285</f>
        <v>85</v>
      </c>
      <c r="J285" s="223">
        <f>'กระบี่'!J285+'ชุมพร'!J285+'ตรัง'!J285+'นครศรีธรรมราช'!J285+'นราธิวาส'!J285+'ปัตตานี'!J285+'พังงา'!J285+'พัทลุง'!J285+'ภูเก็ต'!J285+'ยะลา'!J285+'ระนอง'!J285+'สงขลา'!J285+'สตูล'!J285+'สุราษฎร์ธานี'!J285</f>
        <v>50</v>
      </c>
      <c r="K285" s="196">
        <f>IF(I285&gt;0,J285*100/I285,0)</f>
        <v>58.82352941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'กระบี่'!J286+'ชุมพร'!J286+'ตรัง'!J286+'นครศรีธรรมราช'!J286+'นราธิวาส'!J286+'ปัตตานี'!J286+'พังงา'!J286+'พัทลุง'!J286+'ภูเก็ต'!J286+'ยะลา'!J286+'ระนอง'!J286+'สงขลา'!J286+'สตูล'!J286+'สุราษฎร์ธานี'!J286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'กระบี่'!J287+'ชุมพร'!J287+'ตรัง'!J287+'นครศรีธรรมราช'!J287+'นราธิวาส'!J287+'ปัตตานี'!J287+'พังงา'!J287+'พัทลุง'!J287+'ภูเก็ต'!J287+'ยะลา'!J287+'ระนอง'!J287+'สงขลา'!J287+'สตูล'!J287+'สุราษฎร์ธานี'!J287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'กระบี่'!I289+'ชุมพร'!I289+'ตรัง'!I289+'นครศรีธรรมราช'!I289+'นราธิวาส'!I289+'ปัตตานี'!I289+'พังงา'!I289+'พัทลุง'!I289+'ภูเก็ต'!I289+'ยะลา'!I289+'ระนอง'!I289+'สงขลา'!I289+'สตูล'!I289+'สุราษฎร์ธานี'!I289</f>
        <v>125</v>
      </c>
      <c r="J289" s="349">
        <f>'กระบี่'!J289+'ชุมพร'!J289+'ตรัง'!J289+'นครศรีธรรมราช'!J289+'นราธิวาส'!J289+'ปัตตานี'!J289+'พังงา'!J289+'พัทลุง'!J289+'ภูเก็ต'!J289+'ยะลา'!J289+'ระนอง'!J289+'สงขลา'!J289+'สตูล'!J289+'สุราษฎร์ธานี'!J289</f>
        <v>110</v>
      </c>
      <c r="K289" s="350">
        <f>IF(I289&gt;0,J289*100/I289,0)</f>
        <v>88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>'กระบี่'!L290+'ชุมพร'!L290+'ตรัง'!L290+'นครศรีธรรมราช'!L290+'นราธิวาส'!L290+'ปัตตานี'!L290+'พังงา'!L290+'พัทลุง'!L290+'ภูเก็ต'!L290+'ยะลา'!L290+'ระนอง'!L290+'สงขลา'!L290+'สตูล'!L290+'สุราษฎร์ธานี'!L290</f>
        <v>1027480</v>
      </c>
      <c r="M290" s="183">
        <f>'กระบี่'!M290+'ชุมพร'!M290+'ตรัง'!M290+'นครศรีธรรมราช'!M290+'นราธิวาส'!M290+'ปัตตานี'!M290+'พังงา'!M290+'พัทลุง'!M290+'ภูเก็ต'!M290+'ยะลา'!M290+'ระนอง'!M290+'สงขลา'!M290+'สตูล'!M290+'สุราษฎร์ธานี'!M290</f>
        <v>198040</v>
      </c>
      <c r="N290" s="183">
        <f>'กระบี่'!N290+'ชุมพร'!N290+'ตรัง'!N290+'นครศรีธรรมราช'!N290+'นราธิวาส'!N290+'ปัตตานี'!N290+'พังงา'!N290+'พัทลุง'!N290+'ภูเก็ต'!N290+'ยะลา'!N290+'ระนอง'!N290+'สงขลา'!N290+'สตูล'!N290+'สุราษฎร์ธานี'!N290</f>
        <v>162262</v>
      </c>
      <c r="O290" s="182">
        <f t="shared" ref="O290:O292" si="64">IF(L290&gt;0,N290*100/L290,0)</f>
        <v>15.79222953</v>
      </c>
      <c r="P290" s="182">
        <f t="shared" ref="P290:P292" si="65">IF(M290&gt;0,N290*100/M290,0)</f>
        <v>81.93395274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>'กระบี่'!L291+'ชุมพร'!L291+'ตรัง'!L291+'นครศรีธรรมราช'!L291+'นราธิวาส'!L291+'ปัตตานี'!L291+'พังงา'!L291+'พัทลุง'!L291+'ภูเก็ต'!L291+'ยะลา'!L291+'ระนอง'!L291+'สงขลา'!L291+'สตูล'!L291+'สุราษฎร์ธานี'!L291</f>
        <v>0</v>
      </c>
      <c r="M291" s="188">
        <f>'กระบี่'!M291+'ชุมพร'!M291+'ตรัง'!M291+'นครศรีธรรมราช'!M291+'นราธิวาส'!M291+'ปัตตานี'!M291+'พังงา'!M291+'พัทลุง'!M291+'ภูเก็ต'!M291+'ยะลา'!M291+'ระนอง'!M291+'สงขลา'!M291+'สตูล'!M291+'สุราษฎร์ธานี'!M291</f>
        <v>0</v>
      </c>
      <c r="N291" s="188">
        <f>'กระบี่'!N291+'ชุมพร'!N291+'ตรัง'!N291+'นครศรีธรรมราช'!N291+'นราธิวาส'!N291+'ปัตตานี'!N291+'พังงา'!N291+'พัทลุง'!N291+'ภูเก็ต'!N291+'ยะลา'!N291+'ระนอง'!N291+'สงขลา'!N291+'สตูล'!N291+'สุราษฎร์ธานี'!N291</f>
        <v>0</v>
      </c>
      <c r="O291" s="187">
        <f t="shared" si="64"/>
        <v>0</v>
      </c>
      <c r="P291" s="187">
        <f t="shared" si="65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>'กระบี่'!L292+'ชุมพร'!L292+'ตรัง'!L292+'นครศรีธรรมราช'!L292+'นราธิวาส'!L292+'ปัตตานี'!L292+'พังงา'!L292+'พัทลุง'!L292+'ภูเก็ต'!L292+'ยะลา'!L292+'ระนอง'!L292+'สงขลา'!L292+'สตูล'!L292+'สุราษฎร์ธานี'!L292</f>
        <v>1027480</v>
      </c>
      <c r="M292" s="188">
        <f>'กระบี่'!M292+'ชุมพร'!M292+'ตรัง'!M292+'นครศรีธรรมราช'!M292+'นราธิวาส'!M292+'ปัตตานี'!M292+'พังงา'!M292+'พัทลุง'!M292+'ภูเก็ต'!M292+'ยะลา'!M292+'ระนอง'!M292+'สงขลา'!M292+'สตูล'!M292+'สุราษฎร์ธานี'!M292</f>
        <v>198040</v>
      </c>
      <c r="N292" s="188">
        <f>'กระบี่'!N292+'ชุมพร'!N292+'ตรัง'!N292+'นครศรีธรรมราช'!N292+'นราธิวาส'!N292+'ปัตตานี'!N292+'พังงา'!N292+'พัทลุง'!N292+'ภูเก็ต'!N292+'ยะลา'!N292+'ระนอง'!N292+'สงขลา'!N292+'สตูล'!N292+'สุราษฎร์ธานี'!N292</f>
        <v>162262</v>
      </c>
      <c r="O292" s="187">
        <f t="shared" si="64"/>
        <v>15.79222953</v>
      </c>
      <c r="P292" s="187">
        <f t="shared" si="65"/>
        <v>81.93395274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f>'กระบี่'!L293+'ชุมพร'!L293+'ตรัง'!L293+'นครศรีธรรมราช'!L293+'นราธิวาส'!L293+'ปัตตานี'!L293+'พังงา'!L293+'พัทลุง'!L293+'ภูเก็ต'!L293+'ยะลา'!L293+'ระนอง'!L293+'สงขลา'!L293+'สตูล'!L293+'สุราษฎร์ธานี'!L293</f>
        <v>0</v>
      </c>
      <c r="M293" s="197">
        <f>'กระบี่'!M293+'ชุมพร'!M293+'ตรัง'!M293+'นครศรีธรรมราช'!M293+'นราธิวาส'!M293+'ปัตตานี'!M293+'พังงา'!M293+'พัทลุง'!M293+'ภูเก็ต'!M293+'ยะลา'!M293+'ระนอง'!M293+'สงขลา'!M293+'สตูล'!M293+'สุราษฎร์ธานี'!M293</f>
        <v>0</v>
      </c>
      <c r="N293" s="197">
        <f>'กระบี่'!N293+'ชุมพร'!N293+'ตรัง'!N293+'นครศรีธรรมราช'!N293+'นราธิวาส'!N293+'ปัตตานี'!N293+'พังงา'!N293+'พัทลุง'!N293+'ภูเก็ต'!N293+'ยะลา'!N293+'ระนอง'!N293+'สงขลา'!N293+'สตูล'!N293+'สุราษฎร์ธานี'!N293</f>
        <v>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'กระบี่'!L294+'ชุมพร'!L294+'ตรัง'!L294+'นครศรีธรรมราช'!L294+'นราธิวาส'!L294+'ปัตตานี'!L294+'พังงา'!L294+'พัทลุง'!L294+'ภูเก็ต'!L294+'ยะลา'!L294+'ระนอง'!L294+'สงขลา'!L294+'สตูล'!L294+'สุราษฎร์ธานี'!L294</f>
        <v>445180</v>
      </c>
      <c r="M294" s="201">
        <f>'กระบี่'!M294+'ชุมพร'!M294+'ตรัง'!M294+'นครศรีธรรมราช'!M294+'นราธิวาส'!M294+'ปัตตานี'!M294+'พังงา'!M294+'พัทลุง'!M294+'ภูเก็ต'!M294+'ยะลา'!M294+'ระนอง'!M294+'สงขลา'!M294+'สตูล'!M294+'สุราษฎร์ธานี'!M294</f>
        <v>198040</v>
      </c>
      <c r="N294" s="202">
        <f>'กระบี่'!N294+'ชุมพร'!N294+'ตรัง'!N294+'นครศรีธรรมราช'!N294+'นราธิวาส'!N294+'ปัตตานี'!N294+'พังงา'!N294+'พัทลุง'!N294+'ภูเก็ต'!N294+'ยะลา'!N294+'ระนอง'!N294+'สงขลา'!N294+'สตูล'!N294+'สุราษฎร์ธานี'!N294</f>
        <v>150262</v>
      </c>
      <c r="O294" s="203">
        <f>IF(L294&gt;0,N294*100/L294,0)</f>
        <v>33.75308864</v>
      </c>
      <c r="P294" s="203">
        <f>IF(M294&gt;0,N294*100/M294,0)</f>
        <v>75.87457079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'กระบี่'!L295+'ชุมพร'!L295+'ตรัง'!L295+'นครศรีธรรมราช'!L295+'นราธิวาส'!L295+'ปัตตานี'!L295+'พังงา'!L295+'พัทลุง'!L295+'ภูเก็ต'!L295+'ยะลา'!L295+'ระนอง'!L295+'สงขลา'!L295+'สตูล'!L295+'สุราษฎร์ธานี'!L295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'กระบี่'!L296+'ชุมพร'!L296+'ตรัง'!L296+'นครศรีธรรมราช'!L296+'นราธิวาส'!L296+'ปัตตานี'!L296+'พังงา'!L296+'พัทลุง'!L296+'ภูเก็ต'!L296+'ยะลา'!L296+'ระนอง'!L296+'สงขลา'!L296+'สตูล'!L296+'สุราษฎร์ธานี'!L296</f>
        <v>445180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f>'กระบี่'!L297+'ชุมพร'!L297+'ตรัง'!L297+'นครศรีธรรมราช'!L297+'นราธิวาส'!L297+'ปัตตานี'!L297+'พังงา'!L297+'พัทลุง'!L297+'ภูเก็ต'!L297+'ยะลา'!L297+'ระนอง'!L297+'สงขลา'!L297+'สตูล'!L297+'สุราษฎร์ธานี'!L297</f>
        <v>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'กระบี่'!L298+'ชุมพร'!L298+'ตรัง'!L298+'นครศรีธรรมราช'!L298+'นราธิวาส'!L298+'ปัตตานี'!L298+'พังงา'!L298+'พัทลุง'!L298+'ภูเก็ต'!L298+'ยะลา'!L298+'ระนอง'!L298+'สงขลา'!L298+'สตูล'!L298+'สุราษฎร์ธานี'!L298</f>
        <v>582300</v>
      </c>
      <c r="M298" s="125"/>
      <c r="N298" s="115">
        <f>'กระบี่'!N298+'ชุมพร'!N298+'ตรัง'!N298+'นครศรีธรรมราช'!N298+'นราธิวาส'!N298+'ปัตตานี'!N298+'พังงา'!N298+'พัทลุง'!N298+'ภูเก็ต'!N298+'ยะลา'!N298+'ระนอง'!N298+'สงขลา'!N298+'สตูล'!N298+'สุราษฎร์ธานี'!N298</f>
        <v>12000</v>
      </c>
      <c r="O298" s="125">
        <f>IF(L298&gt;0,N298*100/L298,0)</f>
        <v>2.060793405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'กระบี่'!J300+'ชุมพร'!J300+'ตรัง'!J300+'นครศรีธรรมราช'!J300+'นราธิวาส'!J300+'ปัตตานี'!J300+'พังงา'!J300+'พัทลุง'!J300+'ภูเก็ต'!J300+'ยะลา'!J300+'ระนอง'!J300+'สงขลา'!J300+'สตูล'!J300+'สุราษฎร์ธานี'!J300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'กระบี่'!J301+'ชุมพร'!J301+'ตรัง'!J301+'นครศรีธรรมราช'!J301+'นราธิวาส'!J301+'ปัตตานี'!J301+'พังงา'!J301+'พัทลุง'!J301+'ภูเก็ต'!J301+'ยะลา'!J301+'ระนอง'!J301+'สงขลา'!J301+'สตูล'!J301+'สุราษฎร์ธานี'!J301</f>
        <v>4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'กระบี่'!J302+'ชุมพร'!J302+'ตรัง'!J302+'นครศรีธรรมราช'!J302+'นราธิวาส'!J302+'ปัตตานี'!J302+'พังงา'!J302+'พัทลุง'!J302+'ภูเก็ต'!J302+'ยะลา'!J302+'ระนอง'!J302+'สงขลา'!J302+'สตูล'!J302+'สุราษฎร์ธานี'!J302</f>
        <v>4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'กระบี่'!J303+'ชุมพร'!J303+'ตรัง'!J303+'นครศรีธรรมราช'!J303+'นราธิวาส'!J303+'ปัตตานี'!J303+'พังงา'!J303+'พัทลุง'!J303+'ภูเก็ต'!J303+'ยะลา'!J303+'ระนอง'!J303+'สงขลา'!J303+'สตูล'!J303+'สุราษฎร์ธานี'!J303</f>
        <v>4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'กระบี่'!I304+'ชุมพร'!I304+'ตรัง'!I304+'นครศรีธรรมราช'!I304+'นราธิวาส'!I304+'ปัตตานี'!I304+'พังงา'!I304+'พัทลุง'!I304+'ภูเก็ต'!I304+'ยะลา'!I304+'ระนอง'!I304+'สงขลา'!I304+'สตูล'!I304+'สุราษฎร์ธานี'!I304</f>
        <v>125</v>
      </c>
      <c r="J304" s="238">
        <f>'กระบี่'!J304+'ชุมพร'!J304+'ตรัง'!J304+'นครศรีธรรมราช'!J304+'นราธิวาส'!J304+'ปัตตานี'!J304+'พังงา'!J304+'พัทลุง'!J304+'ภูเก็ต'!J304+'ยะลา'!J304+'ระนอง'!J304+'สงขลา'!J304+'สตูล'!J304+'สุราษฎร์ธานี'!J304</f>
        <v>110</v>
      </c>
      <c r="K304" s="258">
        <f>IF(I304&gt;0,J304*100/I304,0)</f>
        <v>88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'กระบี่'!I306+'ชุมพร'!I306+'ตรัง'!I306+'นครศรีธรรมราช'!I306+'นราธิวาส'!I306+'ปัตตานี'!I306+'พังงา'!I306+'พัทลุง'!I306+'ภูเก็ต'!I306+'ยะลา'!I306+'ระนอง'!I306+'สงขลา'!I306+'สตูล'!I306+'สุราษฎร์ธานี'!I306</f>
        <v>125</v>
      </c>
      <c r="J306" s="238">
        <f>'กระบี่'!J306+'ชุมพร'!J306+'ตรัง'!J306+'นครศรีธรรมราช'!J306+'นราธิวาส'!J306+'ปัตตานี'!J306+'พังงา'!J306+'พัทลุง'!J306+'ภูเก็ต'!J306+'ยะลา'!J306+'ระนอง'!J306+'สงขลา'!J306+'สตูล'!J306+'สุราษฎร์ธานี'!J306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IFERROR(__xludf.DUMMYFUNCTION("IMPORTRANGE(""https://docs.google.com/spreadsheets/d/1SX6NBoVAgQJ6U1MVXOaj8PK2l7WJ3RER9xtqwdhxkhw/edit?usp=sharing"",""กาญจนบุรี!J212"")"),0.0)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'กระบี่'!J308+'ชุมพร'!J308+'ตรัง'!J308+'นครศรีธรรมราช'!J308+'นราธิวาส'!J308+'ปัตตานี'!J308+'พังงา'!J308+'พัทลุง'!J308+'ภูเก็ต'!J308+'ยะลา'!J308+'ระนอง'!J308+'สงขลา'!J308+'สตูล'!J308+'สุราษฎร์ธานี'!J308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'กระบี่'!I309+'ชุมพร'!I309+'ตรัง'!I309+'นครศรีธรรมราช'!I309+'นราธิวาส'!I309+'ปัตตานี'!I309+'พังงา'!I309+'พัทลุง'!I309+'ภูเก็ต'!I309+'ยะลา'!I309+'ระนอง'!I309+'สงขลา'!I309+'สตูล'!I309+'สุราษฎร์ธานี'!I309</f>
        <v>5</v>
      </c>
      <c r="J309" s="366">
        <f>'กระบี่'!J309+'ชุมพร'!J309+'ตรัง'!J309+'นครศรีธรรมราช'!J309+'นราธิวาส'!J309+'ปัตตานี'!J309+'พังงา'!J309+'พัทลุง'!J309+'ภูเก็ต'!J309+'ยะลา'!J309+'ระนอง'!J309+'สงขลา'!J309+'สตูล'!J309+'สุราษฎร์ธานี'!J309</f>
        <v>3</v>
      </c>
      <c r="K309" s="367">
        <f>IF(I309&gt;0,J309*100/I309,0)</f>
        <v>60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>'กระบี่'!L310+'ชุมพร'!L310+'ตรัง'!L310+'นครศรีธรรมราช'!L310+'นราธิวาส'!L310+'ปัตตานี'!L310+'พังงา'!L310+'พัทลุง'!L310+'ภูเก็ต'!L310+'ยะลา'!L310+'ระนอง'!L310+'สงขลา'!L310+'สตูล'!L310+'สุราษฎร์ธานี'!L310</f>
        <v>6921400</v>
      </c>
      <c r="M310" s="183">
        <f>'กระบี่'!M310+'ชุมพร'!M310+'ตรัง'!M310+'นครศรีธรรมราช'!M310+'นราธิวาส'!M310+'ปัตตานี'!M310+'พังงา'!M310+'พัทลุง'!M310+'ภูเก็ต'!M310+'ยะลา'!M310+'ระนอง'!M310+'สงขลา'!M310+'สตูล'!M310+'สุราษฎร์ธานี'!M310</f>
        <v>631700</v>
      </c>
      <c r="N310" s="183">
        <f>'กระบี่'!N310+'ชุมพร'!N310+'ตรัง'!N310+'นครศรีธรรมราช'!N310+'นราธิวาส'!N310+'ปัตตานี'!N310+'พังงา'!N310+'พัทลุง'!N310+'ภูเก็ต'!N310+'ยะลา'!N310+'ระนอง'!N310+'สงขลา'!N310+'สตูล'!N310+'สุราษฎร์ธานี'!N310</f>
        <v>421943</v>
      </c>
      <c r="O310" s="182">
        <f t="shared" ref="O310:O312" si="66">IF(L310&gt;0,N310*100/L310,0)</f>
        <v>6.096208859</v>
      </c>
      <c r="P310" s="182">
        <f t="shared" ref="P310:P312" si="67">IF(M310&gt;0,N310*100/M310,0)</f>
        <v>66.79483932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>'กระบี่'!L311+'ชุมพร'!L311+'ตรัง'!L311+'นครศรีธรรมราช'!L311+'นราธิวาส'!L311+'ปัตตานี'!L311+'พังงา'!L311+'พัทลุง'!L311+'ภูเก็ต'!L311+'ยะลา'!L311+'ระนอง'!L311+'สงขลา'!L311+'สตูล'!L311+'สุราษฎร์ธานี'!L311</f>
        <v>0</v>
      </c>
      <c r="M311" s="188">
        <f>'กระบี่'!M311+'ชุมพร'!M311+'ตรัง'!M311+'นครศรีธรรมราช'!M311+'นราธิวาส'!M311+'ปัตตานี'!M311+'พังงา'!M311+'พัทลุง'!M311+'ภูเก็ต'!M311+'ยะลา'!M311+'ระนอง'!M311+'สงขลา'!M311+'สตูล'!M311+'สุราษฎร์ธานี'!M311</f>
        <v>0</v>
      </c>
      <c r="N311" s="188">
        <f>'กระบี่'!N311+'ชุมพร'!N311+'ตรัง'!N311+'นครศรีธรรมราช'!N311+'นราธิวาส'!N311+'ปัตตานี'!N311+'พังงา'!N311+'พัทลุง'!N311+'ภูเก็ต'!N311+'ยะลา'!N311+'ระนอง'!N311+'สงขลา'!N311+'สตูล'!N311+'สุราษฎร์ธานี'!N311</f>
        <v>0</v>
      </c>
      <c r="O311" s="187">
        <f t="shared" si="66"/>
        <v>0</v>
      </c>
      <c r="P311" s="187">
        <f t="shared" si="6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>'กระบี่'!L312+'ชุมพร'!L312+'ตรัง'!L312+'นครศรีธรรมราช'!L312+'นราธิวาส'!L312+'ปัตตานี'!L312+'พังงา'!L312+'พัทลุง'!L312+'ภูเก็ต'!L312+'ยะลา'!L312+'ระนอง'!L312+'สงขลา'!L312+'สตูล'!L312+'สุราษฎร์ธานี'!L312</f>
        <v>6921400</v>
      </c>
      <c r="M312" s="188">
        <f>'กระบี่'!M312+'ชุมพร'!M312+'ตรัง'!M312+'นครศรีธรรมราช'!M312+'นราธิวาส'!M312+'ปัตตานี'!M312+'พังงา'!M312+'พัทลุง'!M312+'ภูเก็ต'!M312+'ยะลา'!M312+'ระนอง'!M312+'สงขลา'!M312+'สตูล'!M312+'สุราษฎร์ธานี'!M312</f>
        <v>631700</v>
      </c>
      <c r="N312" s="188">
        <f>'กระบี่'!N312+'ชุมพร'!N312+'ตรัง'!N312+'นครศรีธรรมราช'!N312+'นราธิวาส'!N312+'ปัตตานี'!N312+'พังงา'!N312+'พัทลุง'!N312+'ภูเก็ต'!N312+'ยะลา'!N312+'ระนอง'!N312+'สงขลา'!N312+'สตูล'!N312+'สุราษฎร์ธานี'!N312</f>
        <v>421943</v>
      </c>
      <c r="O312" s="187">
        <f t="shared" si="66"/>
        <v>6.096208859</v>
      </c>
      <c r="P312" s="187">
        <f t="shared" si="67"/>
        <v>66.79483932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f>'กระบี่'!L313+'ชุมพร'!L313+'ตรัง'!L313+'นครศรีธรรมราช'!L313+'นราธิวาส'!L313+'ปัตตานี'!L313+'พังงา'!L313+'พัทลุง'!L313+'ภูเก็ต'!L313+'ยะลา'!L313+'ระนอง'!L313+'สงขลา'!L313+'สตูล'!L313+'สุราษฎร์ธานี'!L313</f>
        <v>0</v>
      </c>
      <c r="M313" s="197">
        <f>'กระบี่'!M313+'ชุมพร'!M313+'ตรัง'!M313+'นครศรีธรรมราช'!M313+'นราธิวาส'!M313+'ปัตตานี'!M313+'พังงา'!M313+'พัทลุง'!M313+'ภูเก็ต'!M313+'ยะลา'!M313+'ระนอง'!M313+'สงขลา'!M313+'สตูล'!M313+'สุราษฎร์ธานี'!M313</f>
        <v>0</v>
      </c>
      <c r="N313" s="197">
        <f>'กระบี่'!N313+'ชุมพร'!N313+'ตรัง'!N313+'นครศรีธรรมราช'!N313+'นราธิวาส'!N313+'ปัตตานี'!N313+'พังงา'!N313+'พัทลุง'!N313+'ภูเก็ต'!N313+'ยะลา'!N313+'ระนอง'!N313+'สงขลา'!N313+'สตูล'!N313+'สุราษฎร์ธานี'!N313</f>
        <v>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'กระบี่'!L314+'ชุมพร'!L314+'ตรัง'!L314+'นครศรีธรรมราช'!L314+'นราธิวาส'!L314+'ปัตตานี'!L314+'พังงา'!L314+'พัทลุง'!L314+'ภูเก็ต'!L314+'ยะลา'!L314+'ระนอง'!L314+'สงขลา'!L314+'สตูล'!L314+'สุราษฎร์ธานี'!L314</f>
        <v>971400</v>
      </c>
      <c r="M314" s="201">
        <f>'กระบี่'!M314+'ชุมพร'!M314+'ตรัง'!M314+'นครศรีธรรมราช'!M314+'นราธิวาส'!M314+'ปัตตานี'!M314+'พังงา'!M314+'พัทลุง'!M314+'ภูเก็ต'!M314+'ยะลา'!M314+'ระนอง'!M314+'สงขลา'!M314+'สตูล'!M314+'สุราษฎร์ธานี'!M314</f>
        <v>631700</v>
      </c>
      <c r="N314" s="202">
        <f>'กระบี่'!N314+'ชุมพร'!N314+'ตรัง'!N314+'นครศรีธรรมราช'!N314+'นราธิวาส'!N314+'ปัตตานี'!N314+'พังงา'!N314+'พัทลุง'!N314+'ภูเก็ต'!N314+'ยะลา'!N314+'ระนอง'!N314+'สงขลา'!N314+'สตูล'!N314+'สุราษฎร์ธานี'!N314</f>
        <v>421943</v>
      </c>
      <c r="O314" s="203">
        <f>IF(L314&gt;0,N314*100/L314,0)</f>
        <v>43.43658637</v>
      </c>
      <c r="P314" s="203">
        <f>IF(M314&gt;0,N314*100/M314,0)</f>
        <v>66.79483932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'กระบี่'!L315+'ชุมพร'!L315+'ตรัง'!L315+'นครศรีธรรมราช'!L315+'นราธิวาส'!L315+'ปัตตานี'!L315+'พังงา'!L315+'พัทลุง'!L315+'ภูเก็ต'!L315+'ยะลา'!L315+'ระนอง'!L315+'สงขลา'!L315+'สตูล'!L315+'สุราษฎร์ธานี'!L315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'กระบี่'!L316+'ชุมพร'!L316+'ตรัง'!L316+'นครศรีธรรมราช'!L316+'นราธิวาส'!L316+'ปัตตานี'!L316+'พังงา'!L316+'พัทลุง'!L316+'ภูเก็ต'!L316+'ยะลา'!L316+'ระนอง'!L316+'สงขลา'!L316+'สตูล'!L316+'สุราษฎร์ธานี'!L316</f>
        <v>971400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f>'กระบี่'!L317+'ชุมพร'!L317+'ตรัง'!L317+'นครศรีธรรมราช'!L317+'นราธิวาส'!L317+'ปัตตานี'!L317+'พังงา'!L317+'พัทลุง'!L317+'ภูเก็ต'!L317+'ยะลา'!L317+'ระนอง'!L317+'สงขลา'!L317+'สตูล'!L317+'สุราษฎร์ธานี'!L317</f>
        <v>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'กระบี่'!L318+'ชุมพร'!L318+'ตรัง'!L318+'นครศรีธรรมราช'!L318+'นราธิวาส'!L318+'ปัตตานี'!L318+'พังงา'!L318+'พัทลุง'!L318+'ภูเก็ต'!L318+'ยะลา'!L318+'ระนอง'!L318+'สงขลา'!L318+'สตูล'!L318+'สุราษฎร์ธานี'!L318</f>
        <v>5950000</v>
      </c>
      <c r="M318" s="125"/>
      <c r="N318" s="115">
        <f>'กระบี่'!N318+'ชุมพร'!N318+'ตรัง'!N318+'นครศรีธรรมราช'!N318+'นราธิวาส'!N318+'ปัตตานี'!N318+'พังงา'!N318+'พัทลุง'!N318+'ภูเก็ต'!N318+'ยะลา'!N318+'ระนอง'!N318+'สงขลา'!N318+'สตูล'!N318+'สุราษฎร์ธานี'!N318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'กระบี่'!J320+'ชุมพร'!J320+'ตรัง'!J320+'นครศรีธรรมราช'!J320+'นราธิวาส'!J320+'ปัตตานี'!J320+'พังงา'!J320+'พัทลุง'!J320+'ภูเก็ต'!J320+'ยะลา'!J320+'ระนอง'!J320+'สงขลา'!J320+'สตูล'!J320+'สุราษฎร์ธานี'!J320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'กระบี่'!J321+'ชุมพร'!J321+'ตรัง'!J321+'นครศรีธรรมราช'!J321+'นราธิวาส'!J321+'ปัตตานี'!J321+'พังงา'!J321+'พัทลุง'!J321+'ภูเก็ต'!J321+'ยะลา'!J321+'ระนอง'!J321+'สงขลา'!J321+'สตูล'!J321+'สุราษฎร์ธานี'!J321</f>
        <v>4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'กระบี่'!J322+'ชุมพร'!J322+'ตรัง'!J322+'นครศรีธรรมราช'!J322+'นราธิวาส'!J322+'ปัตตานี'!J322+'พังงา'!J322+'พัทลุง'!J322+'ภูเก็ต'!J322+'ยะลา'!J322+'ระนอง'!J322+'สงขลา'!J322+'สตูล'!J322+'สุราษฎร์ธานี'!J322</f>
        <v>4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'กระบี่'!J323+'ชุมพร'!J323+'ตรัง'!J323+'นครศรีธรรมราช'!J323+'นราธิวาส'!J323+'ปัตตานี'!J323+'พังงา'!J323+'พัทลุง'!J323+'ภูเก็ต'!J323+'ยะลา'!J323+'ระนอง'!J323+'สงขลา'!J323+'สตูล'!J323+'สุราษฎร์ธานี'!J323</f>
        <v>3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'กระบี่'!I324+'ชุมพร'!I324+'ตรัง'!I324+'นครศรีธรรมราช'!I324+'นราธิวาส'!I324+'ปัตตานี'!I324+'พังงา'!I324+'พัทลุง'!I324+'ภูเก็ต'!I324+'ยะลา'!I324+'ระนอง'!I324+'สงขลา'!I324+'สตูล'!I324+'สุราษฎร์ธานี'!I324</f>
        <v>5</v>
      </c>
      <c r="J324" s="238">
        <f>'กระบี่'!J324+'ชุมพร'!J324+'ตรัง'!J324+'นครศรีธรรมราช'!J324+'นราธิวาส'!J324+'ปัตตานี'!J324+'พังงา'!J324+'พัทลุง'!J324+'ภูเก็ต'!J324+'ยะลา'!J324+'ระนอง'!J324+'สงขลา'!J324+'สตูล'!J324+'สุราษฎร์ธานี'!J324</f>
        <v>3</v>
      </c>
      <c r="K324" s="258">
        <f>IF(I324&gt;0,J324*100/I324,0)</f>
        <v>60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'กระบี่'!J325+'ชุมพร'!J325+'ตรัง'!J325+'นครศรีธรรมราช'!J325+'นราธิวาส'!J325+'ปัตตานี'!J325+'พังงา'!J325+'พัทลุง'!J325+'ภูเก็ต'!J325+'ยะลา'!J325+'ระนอง'!J325+'สงขลา'!J325+'สตูล'!J325+'สุราษฎร์ธานี'!J325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'กระบี่'!J326+'ชุมพร'!J326+'ตรัง'!J326+'นครศรีธรรมราช'!J326+'นราธิวาส'!J326+'ปัตตานี'!J326+'พังงา'!J326+'พัทลุง'!J326+'ภูเก็ต'!J326+'ยะลา'!J326+'ระนอง'!J326+'สงขลา'!J326+'สตูล'!J326+'สุราษฎร์ธานี'!J326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'กระบี่'!I328+'ชุมพร'!I328+'ตรัง'!I328+'นครศรีธรรมราช'!I328+'นราธิวาส'!I328+'ปัตตานี'!I328+'พังงา'!I328+'พัทลุง'!I328+'ภูเก็ต'!I328+'ยะลา'!I328+'ระนอง'!I328+'สงขลา'!I328+'สตูล'!I328+'สุราษฎร์ธานี'!I328</f>
        <v>2553</v>
      </c>
      <c r="J328" s="372">
        <f>'กระบี่'!J328+'ชุมพร'!J328+'ตรัง'!J328+'นครศรีธรรมราช'!J328+'นราธิวาส'!J328+'ปัตตานี'!J328+'พังงา'!J328+'พัทลุง'!J328+'ภูเก็ต'!J328+'ยะลา'!J328+'ระนอง'!J328+'สงขลา'!J328+'สตูล'!J328+'สุราษฎร์ธานี'!J328</f>
        <v>442</v>
      </c>
      <c r="K328" s="350">
        <f>IF(I328&gt;0,J328*100/I328,0)</f>
        <v>17.31296514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>'กระบี่'!L329+'ชุมพร'!L329+'ตรัง'!L329+'นครศรีธรรมราช'!L329+'นราธิวาส'!L329+'ปัตตานี'!L329+'พังงา'!L329+'พัทลุง'!L329+'ภูเก็ต'!L329+'ยะลา'!L329+'ระนอง'!L329+'สงขลา'!L329+'สตูล'!L329+'สุราษฎร์ธานี'!L329</f>
        <v>12950960</v>
      </c>
      <c r="M329" s="183">
        <f>'กระบี่'!M329+'ชุมพร'!M329+'ตรัง'!M329+'นครศรีธรรมราช'!M329+'นราธิวาส'!M329+'ปัตตานี'!M329+'พังงา'!M329+'พัทลุง'!M329+'ภูเก็ต'!M329+'ยะลา'!M329+'ระนอง'!M329+'สงขลา'!M329+'สตูล'!M329+'สุราษฎร์ธานี'!M329</f>
        <v>6308260</v>
      </c>
      <c r="N329" s="183">
        <f>'กระบี่'!N329+'ชุมพร'!N329+'ตรัง'!N329+'นครศรีธรรมราช'!N329+'นราธิวาส'!N329+'ปัตตานี'!N329+'พังงา'!N329+'พัทลุง'!N329+'ภูเก็ต'!N329+'ยะลา'!N329+'ระนอง'!N329+'สงขลา'!N329+'สตูล'!N329+'สุราษฎร์ธานี'!N329</f>
        <v>4405456</v>
      </c>
      <c r="O329" s="182">
        <f t="shared" ref="O329:O331" si="68">IF(L329&gt;0,N329*100/L329,0)</f>
        <v>34.01644357</v>
      </c>
      <c r="P329" s="182">
        <f t="shared" ref="P329:P331" si="69">IF(M329&gt;0,N329*100/M329,0)</f>
        <v>69.83630985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>'กระบี่'!L330+'ชุมพร'!L330+'ตรัง'!L330+'นครศรีธรรมราช'!L330+'นราธิวาส'!L330+'ปัตตานี'!L330+'พังงา'!L330+'พัทลุง'!L330+'ภูเก็ต'!L330+'ยะลา'!L330+'ระนอง'!L330+'สงขลา'!L330+'สตูล'!L330+'สุราษฎร์ธานี'!L330</f>
        <v>0</v>
      </c>
      <c r="M330" s="188">
        <f>'กระบี่'!M330+'ชุมพร'!M330+'ตรัง'!M330+'นครศรีธรรมราช'!M330+'นราธิวาส'!M330+'ปัตตานี'!M330+'พังงา'!M330+'พัทลุง'!M330+'ภูเก็ต'!M330+'ยะลา'!M330+'ระนอง'!M330+'สงขลา'!M330+'สตูล'!M330+'สุราษฎร์ธานี'!M330</f>
        <v>0</v>
      </c>
      <c r="N330" s="188">
        <f>'กระบี่'!N330+'ชุมพร'!N330+'ตรัง'!N330+'นครศรีธรรมราช'!N330+'นราธิวาส'!N330+'ปัตตานี'!N330+'พังงา'!N330+'พัทลุง'!N330+'ภูเก็ต'!N330+'ยะลา'!N330+'ระนอง'!N330+'สงขลา'!N330+'สตูล'!N330+'สุราษฎร์ธานี'!N330</f>
        <v>0</v>
      </c>
      <c r="O330" s="187">
        <f t="shared" si="68"/>
        <v>0</v>
      </c>
      <c r="P330" s="187">
        <f t="shared" si="69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>'กระบี่'!L331+'ชุมพร'!L331+'ตรัง'!L331+'นครศรีธรรมราช'!L331+'นราธิวาส'!L331+'ปัตตานี'!L331+'พังงา'!L331+'พัทลุง'!L331+'ภูเก็ต'!L331+'ยะลา'!L331+'ระนอง'!L331+'สงขลา'!L331+'สตูล'!L331+'สุราษฎร์ธานี'!L331</f>
        <v>12950960</v>
      </c>
      <c r="M331" s="188">
        <f>'กระบี่'!M331+'ชุมพร'!M331+'ตรัง'!M331+'นครศรีธรรมราช'!M331+'นราธิวาส'!M331+'ปัตตานี'!M331+'พังงา'!M331+'พัทลุง'!M331+'ภูเก็ต'!M331+'ยะลา'!M331+'ระนอง'!M331+'สงขลา'!M331+'สตูล'!M331+'สุราษฎร์ธานี'!M331</f>
        <v>6308260</v>
      </c>
      <c r="N331" s="188">
        <f>'กระบี่'!N331+'ชุมพร'!N331+'ตรัง'!N331+'นครศรีธรรมราช'!N331+'นราธิวาส'!N331+'ปัตตานี'!N331+'พังงา'!N331+'พัทลุง'!N331+'ภูเก็ต'!N331+'ยะลา'!N331+'ระนอง'!N331+'สงขลา'!N331+'สตูล'!N331+'สุราษฎร์ธานี'!N331</f>
        <v>4405456</v>
      </c>
      <c r="O331" s="187">
        <f t="shared" si="68"/>
        <v>34.01644357</v>
      </c>
      <c r="P331" s="187">
        <f t="shared" si="69"/>
        <v>69.83630985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f>'กระบี่'!L332+'ชุมพร'!L332+'ตรัง'!L332+'นครศรีธรรมราช'!L332+'นราธิวาส'!L332+'ปัตตานี'!L332+'พังงา'!L332+'พัทลุง'!L332+'ภูเก็ต'!L332+'ยะลา'!L332+'ระนอง'!L332+'สงขลา'!L332+'สตูล'!L332+'สุราษฎร์ธานี'!L332</f>
        <v>0</v>
      </c>
      <c r="M332" s="197">
        <f>'กระบี่'!M332+'ชุมพร'!M332+'ตรัง'!M332+'นครศรีธรรมราช'!M332+'นราธิวาส'!M332+'ปัตตานี'!M332+'พังงา'!M332+'พัทลุง'!M332+'ภูเก็ต'!M332+'ยะลา'!M332+'ระนอง'!M332+'สงขลา'!M332+'สตูล'!M332+'สุราษฎร์ธานี'!M332</f>
        <v>0</v>
      </c>
      <c r="N332" s="197">
        <f>'กระบี่'!N332+'ชุมพร'!N332+'ตรัง'!N332+'นครศรีธรรมราช'!N332+'นราธิวาส'!N332+'ปัตตานี'!N332+'พังงา'!N332+'พัทลุง'!N332+'ภูเก็ต'!N332+'ยะลา'!N332+'ระนอง'!N332+'สงขลา'!N332+'สตูล'!N332+'สุราษฎร์ธานี'!N332</f>
        <v>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'กระบี่'!L333+'ชุมพร'!L333+'ตรัง'!L333+'นครศรีธรรมราช'!L333+'นราธิวาส'!L333+'ปัตตานี'!L333+'พังงา'!L333+'พัทลุง'!L333+'ภูเก็ต'!L333+'ยะลา'!L333+'ระนอง'!L333+'สงขลา'!L333+'สตูล'!L333+'สุราษฎร์ธานี'!L333</f>
        <v>11889260</v>
      </c>
      <c r="M333" s="201">
        <f>'กระบี่'!M333+'ชุมพร'!M333+'ตรัง'!M333+'นครศรีธรรมราช'!M333+'นราธิวาส'!M333+'ปัตตานี'!M333+'พังงา'!M333+'พัทลุง'!M333+'ภูเก็ต'!M333+'ยะลา'!M333+'ระนอง'!M333+'สงขลา'!M333+'สตูล'!M333+'สุราษฎร์ธานี'!M333</f>
        <v>6308260</v>
      </c>
      <c r="N333" s="202">
        <f>'กระบี่'!N333+'ชุมพร'!N333+'ตรัง'!N333+'นครศรีธรรมราช'!N333+'นราธิวาส'!N333+'ปัตตานี'!N333+'พังงา'!N333+'พัทลุง'!N333+'ภูเก็ต'!N333+'ยะลา'!N333+'ระนอง'!N333+'สงขลา'!N333+'สตูล'!N333+'สุราษฎร์ธานี'!N333</f>
        <v>3375886</v>
      </c>
      <c r="O333" s="203">
        <f>IF(L333&gt;0,N333*100/L333,0)</f>
        <v>28.39441647</v>
      </c>
      <c r="P333" s="203">
        <f>IF(M333&gt;0,N333*100/M333,0)</f>
        <v>53.51532752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'กระบี่'!L334+'ชุมพร'!L334+'ตรัง'!L334+'นครศรีธรรมราช'!L334+'นราธิวาส'!L334+'ปัตตานี'!L334+'พังงา'!L334+'พัทลุง'!L334+'ภูเก็ต'!L334+'ยะลา'!L334+'ระนอง'!L334+'สงขลา'!L334+'สตูล'!L334+'สุราษฎร์ธานี'!L334</f>
        <v>6929700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'กระบี่'!L335+'ชุมพร'!L335+'ตรัง'!L335+'นครศรีธรรมราช'!L335+'นราธิวาส'!L335+'ปัตตานี'!L335+'พังงา'!L335+'พัทลุง'!L335+'ภูเก็ต'!L335+'ยะลา'!L335+'ระนอง'!L335+'สงขลา'!L335+'สตูล'!L335+'สุราษฎร์ธานี'!L335</f>
        <v>4959560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f>'กระบี่'!L336+'ชุมพร'!L336+'ตรัง'!L336+'นครศรีธรรมราช'!L336+'นราธิวาส'!L336+'ปัตตานี'!L336+'พังงา'!L336+'พัทลุง'!L336+'ภูเก็ต'!L336+'ยะลา'!L336+'ระนอง'!L336+'สงขลา'!L336+'สตูล'!L336+'สุราษฎร์ธานี'!L336</f>
        <v>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'กระบี่'!L337+'ชุมพร'!L337+'ตรัง'!L337+'นครศรีธรรมราช'!L337+'นราธิวาส'!L337+'ปัตตานี'!L337+'พังงา'!L337+'พัทลุง'!L337+'ภูเก็ต'!L337+'ยะลา'!L337+'ระนอง'!L337+'สงขลา'!L337+'สตูล'!L337+'สุราษฎร์ธานี'!L337</f>
        <v>1061700</v>
      </c>
      <c r="M337" s="125"/>
      <c r="N337" s="115">
        <f>'กระบี่'!N337+'ชุมพร'!N337+'ตรัง'!N337+'นครศรีธรรมราช'!N337+'นราธิวาส'!N337+'ปัตตานี'!N337+'พังงา'!N337+'พัทลุง'!N337+'ภูเก็ต'!N337+'ยะลา'!N337+'ระนอง'!N337+'สงขลา'!N337+'สตูล'!N337+'สุราษฎร์ธานี'!N337</f>
        <v>1029570</v>
      </c>
      <c r="O337" s="125">
        <f>IF(L337&gt;0,N337*100/L337,0)</f>
        <v>96.97372139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'กระบี่'!I339+'ชุมพร'!I339+'ตรัง'!I339+'นครศรีธรรมราช'!I339+'นราธิวาส'!I339+'ปัตตานี'!I339+'พังงา'!I339+'พัทลุง'!I339+'ภูเก็ต'!I339+'ยะลา'!I339+'ระนอง'!I339+'สงขลา'!I339+'สตูล'!I339+'สุราษฎร์ธานี'!I339</f>
        <v>0</v>
      </c>
      <c r="J339" s="222">
        <f>'กระบี่'!J339+'ชุมพร'!J339+'ตรัง'!J339+'นครศรีธรรมราช'!J339+'นราธิวาส'!J339+'ปัตตานี'!J339+'พังงา'!J339+'พัทลุง'!J339+'ภูเก็ต'!J339+'ยะลา'!J339+'ระนอง'!J339+'สงขลา'!J339+'สตูล'!J339+'สุราษฎร์ธานี'!J339</f>
        <v>886</v>
      </c>
      <c r="K339" s="375">
        <f t="shared" ref="K339:K346" si="70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'กระบี่'!I340+'ชุมพร'!I340+'ตรัง'!I340+'นครศรีธรรมราช'!I340+'นราธิวาส'!I340+'ปัตตานี'!I340+'พังงา'!I340+'พัทลุง'!I340+'ภูเก็ต'!I340+'ยะลา'!I340+'ระนอง'!I340+'สงขลา'!I340+'สตูล'!I340+'สุราษฎร์ธานี'!I340</f>
        <v>22324</v>
      </c>
      <c r="J340" s="222">
        <f>'กระบี่'!J340+'ชุมพร'!J340+'ตรัง'!J340+'นครศรีธรรมราช'!J340+'นราธิวาส'!J340+'ปัตตานี'!J340+'พังงา'!J340+'พัทลุง'!J340+'ภูเก็ต'!J340+'ยะลา'!J340+'ระนอง'!J340+'สงขลา'!J340+'สตูล'!J340+'สุราษฎร์ธานี'!J340</f>
        <v>8947.48</v>
      </c>
      <c r="K340" s="375">
        <f t="shared" si="70"/>
        <v>40.08009317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'กระบี่'!I341+'ชุมพร'!I341+'ตรัง'!I341+'นครศรีธรรมราช'!I341+'นราธิวาส'!I341+'ปัตตานี'!I341+'พังงา'!I341+'พัทลุง'!I341+'ภูเก็ต'!I341+'ยะลา'!I341+'ระนอง'!I341+'สงขลา'!I341+'สตูล'!I341+'สุราษฎร์ธานี'!I341</f>
        <v>2553</v>
      </c>
      <c r="J341" s="222">
        <f>'กระบี่'!J341+'ชุมพร'!J341+'ตรัง'!J341+'นครศรีธรรมราช'!J341+'นราธิวาส'!J341+'ปัตตานี'!J341+'พังงา'!J341+'พัทลุง'!J341+'ภูเก็ต'!J341+'ยะลา'!J341+'ระนอง'!J341+'สงขลา'!J341+'สตูล'!J341+'สุราษฎร์ธานี'!J341</f>
        <v>925</v>
      </c>
      <c r="K341" s="375">
        <f t="shared" si="70"/>
        <v>36.23188406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'กระบี่'!I342+'ชุมพร'!I342+'ตรัง'!I342+'นครศรีธรรมราช'!I342+'นราธิวาส'!I342+'ปัตตานี'!I342+'พังงา'!I342+'พัทลุง'!I342+'ภูเก็ต'!I342+'ยะลา'!I342+'ระนอง'!I342+'สงขลา'!I342+'สตูล'!I342+'สุราษฎร์ธานี'!I342</f>
        <v>0</v>
      </c>
      <c r="J342" s="222">
        <f>'กระบี่'!J342+'ชุมพร'!J342+'ตรัง'!J342+'นครศรีธรรมราช'!J342+'นราธิวาส'!J342+'ปัตตานี'!J342+'พังงา'!J342+'พัทลุง'!J342+'ภูเก็ต'!J342+'ยะลา'!J342+'ระนอง'!J342+'สงขลา'!J342+'สตูล'!J342+'สุราษฎร์ธานี'!J342</f>
        <v>10210.97</v>
      </c>
      <c r="K342" s="375">
        <f t="shared" si="70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'กระบี่'!I343+'ชุมพร'!I343+'ตรัง'!I343+'นครศรีธรรมราช'!I343+'นราธิวาส'!I343+'ปัตตานี'!I343+'พังงา'!I343+'พัทลุง'!I343+'ภูเก็ต'!I343+'ยะลา'!I343+'ระนอง'!I343+'สงขลา'!I343+'สตูล'!I343+'สุราษฎร์ธานี'!I343</f>
        <v>2553</v>
      </c>
      <c r="J343" s="222">
        <f>'กระบี่'!J343+'ชุมพร'!J343+'ตรัง'!J343+'นครศรีธรรมราช'!J343+'นราธิวาส'!J343+'ปัตตานี'!J343+'พังงา'!J343+'พัทลุง'!J343+'ภูเก็ต'!J343+'ยะลา'!J343+'ระนอง'!J343+'สงขลา'!J343+'สตูล'!J343+'สุราษฎร์ธานี'!J343</f>
        <v>0</v>
      </c>
      <c r="K343" s="375">
        <f t="shared" si="70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'กระบี่'!I344+'ชุมพร'!I344+'ตรัง'!I344+'นครศรีธรรมราช'!I344+'นราธิวาส'!I344+'ปัตตานี'!I344+'พังงา'!I344+'พัทลุง'!I344+'ภูเก็ต'!I344+'ยะลา'!I344+'ระนอง'!I344+'สงขลา'!I344+'สตูล'!I344+'สุราษฎร์ธานี'!I344</f>
        <v>0</v>
      </c>
      <c r="J344" s="222">
        <f>'กระบี่'!J344+'ชุมพร'!J344+'ตรัง'!J344+'นครศรีธรรมราช'!J344+'นราธิวาส'!J344+'ปัตตานี'!J344+'พังงา'!J344+'พัทลุง'!J344+'ภูเก็ต'!J344+'ยะลา'!J344+'ระนอง'!J344+'สงขลา'!J344+'สตูล'!J344+'สุราษฎร์ธานี'!J344</f>
        <v>0</v>
      </c>
      <c r="K344" s="375">
        <f t="shared" si="70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'กระบี่'!I345+'ชุมพร'!I345+'ตรัง'!I345+'นครศรีธรรมราช'!I345+'นราธิวาส'!I345+'ปัตตานี'!I345+'พังงา'!I345+'พัทลุง'!I345+'ภูเก็ต'!I345+'ยะลา'!I345+'ระนอง'!I345+'สงขลา'!I345+'สตูล'!I345+'สุราษฎร์ธานี'!I345</f>
        <v>2553</v>
      </c>
      <c r="J345" s="222">
        <f>'กระบี่'!J345+'ชุมพร'!J345+'ตรัง'!J345+'นครศรีธรรมราช'!J345+'นราธิวาส'!J345+'ปัตตานี'!J345+'พังงา'!J345+'พัทลุง'!J345+'ภูเก็ต'!J345+'ยะลา'!J345+'ระนอง'!J345+'สงขลา'!J345+'สตูล'!J345+'สุราษฎร์ธานี'!J345</f>
        <v>442</v>
      </c>
      <c r="K345" s="375">
        <f t="shared" si="70"/>
        <v>17.31296514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'กระบี่'!I346+'ชุมพร'!I346+'ตรัง'!I346+'นครศรีธรรมราช'!I346+'นราธิวาส'!I346+'ปัตตานี'!I346+'พังงา'!I346+'พัทลุง'!I346+'ภูเก็ต'!I346+'ยะลา'!I346+'ระนอง'!I346+'สงขลา'!I346+'สตูล'!I346+'สุราษฎร์ธานี'!I346</f>
        <v>0</v>
      </c>
      <c r="J346" s="222">
        <f>'กระบี่'!J346+'ชุมพร'!J346+'ตรัง'!J346+'นครศรีธรรมราช'!J346+'นราธิวาส'!J346+'ปัตตานี'!J346+'พังงา'!J346+'พัทลุง'!J346+'ภูเก็ต'!J346+'ยะลา'!J346+'ระนอง'!J346+'สงขลา'!J346+'สตูล'!J346+'สุราษฎร์ธานี'!J346</f>
        <v>5695.43</v>
      </c>
      <c r="K346" s="384">
        <f t="shared" si="70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'กระบี่'!L347+'ชุมพร'!L347+'ตรัง'!L347+'นครศรีธรรมราช'!L347+'นราธิวาส'!L347+'ปัตตานี'!L347+'พังงา'!L347+'พัทลุง'!L347+'ภูเก็ต'!L347+'ยะลา'!L347+'ระนอง'!L347+'สงขลา'!L347+'สตูล'!L347+'สุราษฎร์ธานี'!L347</f>
        <v>17196994</v>
      </c>
      <c r="M347" s="391"/>
      <c r="N347" s="391">
        <f>'กระบี่'!N347+'ชุมพร'!N347+'ตรัง'!N347+'นครศรีธรรมราช'!N347+'นราธิวาส'!N347+'ปัตตานี'!N347+'พังงา'!N347+'พัทลุง'!N347+'ภูเก็ต'!N347+'ยะลา'!N347+'ระนอง'!N347+'สงขลา'!N347+'สตูล'!N347+'สุราษฎร์ธานี'!N347</f>
        <v>2759544.11</v>
      </c>
      <c r="O347" s="391">
        <f>+IF(L347&gt;0,N347*100/L347,0)</f>
        <v>16.04666554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'กระบี่'!I349+'ชุมพร'!I349+'ตรัง'!I349+'นครศรีธรรมราช'!I349+'นราธิวาส'!I349+'ปัตตานี'!I349+'พังงา'!I349+'พัทลุง'!I349+'ภูเก็ต'!I349+'ยะลา'!I349+'ระนอง'!I349+'สงขลา'!I349+'สตูล'!I349+'สุราษฎร์ธานี'!I349</f>
        <v>793</v>
      </c>
      <c r="J349" s="404">
        <f>'กระบี่'!J349+'ชุมพร'!J349+'ตรัง'!J349+'นครศรีธรรมราช'!J349+'นราธิวาส'!J349+'ปัตตานี'!J349+'พังงา'!J349+'พัทลุง'!J349+'ภูเก็ต'!J349+'ยะลา'!J349+'ระนอง'!J349+'สงขลา'!J349+'สตูล'!J349+'สุราษฎร์ธานี'!J349</f>
        <v>40</v>
      </c>
      <c r="K349" s="405">
        <f t="shared" ref="K349:K350" si="71">IF(I349&gt;0,J349*100/I349,0)</f>
        <v>5.044136192</v>
      </c>
      <c r="L349" s="406">
        <f>'กระบี่'!L349+'ชุมพร'!L349+'ตรัง'!L349+'นครศรีธรรมราช'!L349+'นราธิวาส'!L349+'ปัตตานี'!L349+'พังงา'!L349+'พัทลุง'!L349+'ภูเก็ต'!L349+'ยะลา'!L349+'ระนอง'!L349+'สงขลา'!L349+'สตูล'!L349+'สุราษฎร์ธานี'!L349</f>
        <v>2192930</v>
      </c>
      <c r="M349" s="406"/>
      <c r="N349" s="406">
        <f>'กระบี่'!N349+'ชุมพร'!N349+'ตรัง'!N349+'นครศรีธรรมราช'!N349+'นราธิวาส'!N349+'ปัตตานี'!N349+'พังงา'!N349+'พัทลุง'!N349+'ภูเก็ต'!N349+'ยะลา'!N349+'ระนอง'!N349+'สงขลา'!N349+'สตูล'!N349+'สุราษฎร์ธานี'!N349</f>
        <v>292973.39</v>
      </c>
      <c r="O349" s="406">
        <f>+IF(L349&gt;0,N349*100/L349,0)</f>
        <v>13.35990615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'กระบี่'!I350+'ชุมพร'!I350+'ตรัง'!I350+'นครศรีธรรมราช'!I350+'นราธิวาส'!I350+'ปัตตานี'!I350+'พังงา'!I350+'พัทลุง'!I350+'ภูเก็ต'!I350+'ยะลา'!I350+'ระนอง'!I350+'สงขลา'!I350+'สตูล'!I350+'สุราษฎร์ธานี'!I350</f>
        <v>257</v>
      </c>
      <c r="J350" s="404">
        <f>'กระบี่'!J350+'ชุมพร'!J350+'ตรัง'!J350+'นครศรีธรรมราช'!J350+'นราธิวาส'!J350+'ปัตตานี'!J350+'พังงา'!J350+'พัทลุง'!J350+'ภูเก็ต'!J350+'ยะลา'!J350+'ระนอง'!J350+'สงขลา'!J350+'สตูล'!J350+'สุราษฎร์ธานี'!J350</f>
        <v>62</v>
      </c>
      <c r="K350" s="405">
        <f t="shared" si="71"/>
        <v>24.12451362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'กระบี่'!L351+'ชุมพร'!L351+'ตรัง'!L351+'นครศรีธรรมราช'!L351+'นราธิวาส'!L351+'ปัตตานี'!L351+'พังงา'!L351+'พัทลุง'!L351+'ภูเก็ต'!L351+'ยะลา'!L351+'ระนอง'!L351+'สงขลา'!L351+'สตูล'!L351+'สุราษฎร์ธานี'!L351</f>
        <v>0</v>
      </c>
      <c r="M351" s="197"/>
      <c r="N351" s="197">
        <f>'กระบี่'!N351+'ชุมพร'!N351+'ตรัง'!N351+'นครศรีธรรมราช'!N351+'นราธิวาส'!N351+'ปัตตานี'!N351+'พังงา'!N351+'พัทลุง'!N351+'ภูเก็ต'!N351+'ยะลา'!N351+'ระนอง'!N351+'สงขลา'!N351+'สตูล'!N351+'สุราษฎร์ธานี'!N351</f>
        <v>0</v>
      </c>
      <c r="O351" s="198">
        <f t="shared" ref="O351:O354" si="72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'กระบี่'!L352+'ชุมพร'!L352+'ตรัง'!L352+'นครศรีธรรมราช'!L352+'นราธิวาส'!L352+'ปัตตานี'!L352+'พังงา'!L352+'พัทลุง'!L352+'ภูเก็ต'!L352+'ยะลา'!L352+'ระนอง'!L352+'สงขลา'!L352+'สตูล'!L352+'สุราษฎร์ธานี'!L352</f>
        <v>2192930</v>
      </c>
      <c r="M352" s="198"/>
      <c r="N352" s="197">
        <f>'กระบี่'!N352+'ชุมพร'!N352+'ตรัง'!N352+'นครศรีธรรมราช'!N352+'นราธิวาส'!N352+'ปัตตานี'!N352+'พังงา'!N352+'พัทลุง'!N352+'ภูเก็ต'!N352+'ยะลา'!N352+'ระนอง'!N352+'สงขลา'!N352+'สตูล'!N352+'สุราษฎร์ธานี'!N352</f>
        <v>292973.39</v>
      </c>
      <c r="O352" s="198">
        <f t="shared" si="72"/>
        <v>13.35990615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'กระบี่'!L353+'ชุมพร'!L353+'ตรัง'!L353+'นครศรีธรรมราช'!L353+'นราธิวาส'!L353+'ปัตตานี'!L353+'พังงา'!L353+'พัทลุง'!L353+'ภูเก็ต'!L353+'ยะลา'!L353+'ระนอง'!L353+'สงขลา'!L353+'สตูล'!L353+'สุราษฎร์ธานี'!L353</f>
        <v>0</v>
      </c>
      <c r="M353" s="203"/>
      <c r="N353" s="203">
        <f>'กระบี่'!N353+'ชุมพร'!N353+'ตรัง'!N353+'นครศรีธรรมราช'!N353+'นราธิวาส'!N353+'ปัตตานี'!N353+'พังงา'!N353+'พัทลุง'!N353+'ภูเก็ต'!N353+'ยะลา'!N353+'ระนอง'!N353+'สงขลา'!N353+'สตูล'!N353+'สุราษฎร์ธานี'!N353</f>
        <v>0</v>
      </c>
      <c r="O353" s="203">
        <f t="shared" si="72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'กระบี่'!L354+'ชุมพร'!L354+'ตรัง'!L354+'นครศรีธรรมราช'!L354+'นราธิวาส'!L354+'ปัตตานี'!L354+'พังงา'!L354+'พัทลุง'!L354+'ภูเก็ต'!L354+'ยะลา'!L354+'ระนอง'!L354+'สงขลา'!L354+'สตูล'!L354+'สุราษฎร์ธานี'!L354</f>
        <v>2192930</v>
      </c>
      <c r="M354" s="203"/>
      <c r="N354" s="200">
        <f>'กระบี่'!N354+'ชุมพร'!N354+'ตรัง'!N354+'นครศรีธรรมราช'!N354+'นราธิวาส'!N354+'ปัตตานี'!N354+'พังงา'!N354+'พัทลุง'!N354+'ภูเก็ต'!N354+'ยะลา'!N354+'ระนอง'!N354+'สงขลา'!N354+'สตูล'!N354+'สุราษฎร์ธานี'!N354</f>
        <v>292973.39</v>
      </c>
      <c r="O354" s="203">
        <f t="shared" si="72"/>
        <v>13.35990615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'กระบี่'!N355+'ชุมพร'!N355+'ตรัง'!N355+'นครศรีธรรมราช'!N355+'นราธิวาส'!N355+'ปัตตานี'!N355+'พังงา'!N355+'พัทลุง'!N355+'ภูเก็ต'!N355+'ยะลา'!N355+'ระนอง'!N355+'สงขลา'!N355+'สตูล'!N355+'สุราษฎร์ธานี'!N355</f>
        <v>90600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'กระบี่'!N356+'ชุมพร'!N356+'ตรัง'!N356+'นครศรีธรรมราช'!N356+'นราธิวาส'!N356+'ปัตตานี'!N356+'พังงา'!N356+'พัทลุง'!N356+'ภูเก็ต'!N356+'ยะลา'!N356+'ระนอง'!N356+'สงขลา'!N356+'สตูล'!N356+'สุราษฎร์ธานี'!N356</f>
        <v>45100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'กระบี่'!N357+'ชุมพร'!N357+'ตรัง'!N357+'นครศรีธรรมราช'!N357+'นราธิวาส'!N357+'ปัตตานี'!N357+'พังงา'!N357+'พัทลุง'!N357+'ภูเก็ต'!N357+'ยะลา'!N357+'ระนอง'!N357+'สงขลา'!N357+'สตูล'!N357+'สุราษฎร์ธานี'!N357</f>
        <v>109999.3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'กระบี่'!N358+'ชุมพร'!N358+'ตรัง'!N358+'นครศรีธรรมราช'!N358+'นราธิวาส'!N358+'ปัตตานี'!N358+'พังงา'!N358+'พัทลุง'!N358+'ภูเก็ต'!N358+'ยะลา'!N358+'ระนอง'!N358+'สงขลา'!N358+'สตูล'!N358+'สุราษฎร์ธานี'!N358</f>
        <v>47274.09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'กระบี่'!J360+'ชุมพร'!J360+'ตรัง'!J360+'นครศรีธรรมราช'!J360+'นราธิวาส'!J360+'ปัตตานี'!J360+'พังงา'!J360+'พัทลุง'!J360+'ภูเก็ต'!J360+'ยะลา'!J360+'ระนอง'!J360+'สงขลา'!J360+'สตูล'!J360+'สุราษฎร์ธานี'!J360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'กระบี่'!J361+'ชุมพร'!J361+'ตรัง'!J361+'นครศรีธรรมราช'!J361+'นราธิวาส'!J361+'ปัตตานี'!J361+'พังงา'!J361+'พัทลุง'!J361+'ภูเก็ต'!J361+'ยะลา'!J361+'ระนอง'!J361+'สงขลา'!J361+'สตูล'!J361+'สุราษฎร์ธานี'!J361</f>
        <v>9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'กระบี่'!J362+'ชุมพร'!J362+'ตรัง'!J362+'นครศรีธรรมราช'!J362+'นราธิวาส'!J362+'ปัตตานี'!J362+'พังงา'!J362+'พัทลุง'!J362+'ภูเก็ต'!J362+'ยะลา'!J362+'ระนอง'!J362+'สงขลา'!J362+'สตูล'!J362+'สุราษฎร์ธานี'!J362</f>
        <v>8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'กระบี่'!J363+'ชุมพร'!J363+'ตรัง'!J363+'นครศรีธรรมราช'!J363+'นราธิวาส'!J363+'ปัตตานี'!J363+'พังงา'!J363+'พัทลุง'!J363+'ภูเก็ต'!J363+'ยะลา'!J363+'ระนอง'!J363+'สงขลา'!J363+'สตูล'!J363+'สุราษฎร์ธานี'!J363</f>
        <v>6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'กระบี่'!J364+'ชุมพร'!J364+'ตรัง'!J364+'นครศรีธรรมราช'!J364+'นราธิวาส'!J364+'ปัตตานี'!J364+'พังงา'!J364+'พัทลุง'!J364+'ภูเก็ต'!J364+'ยะลา'!J364+'ระนอง'!J364+'สงขลา'!J364+'สตูล'!J364+'สุราษฎร์ธานี'!J364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'กระบี่'!J365+'ชุมพร'!J365+'ตรัง'!J365+'นครศรีธรรมราช'!J365+'นราธิวาส'!J365+'ปัตตานี'!J365+'พังงา'!J365+'พัทลุง'!J365+'ภูเก็ต'!J365+'ยะลา'!J365+'ระนอง'!J365+'สงขลา'!J365+'สตูล'!J365+'สุราษฎร์ธานี'!J365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'กระบี่'!J366+'ชุมพร'!J366+'ตรัง'!J366+'นครศรีธรรมราช'!J366+'นราธิวาส'!J366+'ปัตตานี'!J366+'พังงา'!J366+'พัทลุง'!J366+'ภูเก็ต'!J366+'ยะลา'!J366+'ระนอง'!J366+'สงขลา'!J366+'สตูล'!J366+'สุราษฎร์ธานี'!J366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'กระบี่'!J367+'ชุมพร'!J367+'ตรัง'!J367+'นครศรีธรรมราช'!J367+'นราธิวาส'!J367+'ปัตตานี'!J367+'พังงา'!J367+'พัทลุง'!J367+'ภูเก็ต'!J367+'ยะลา'!J367+'ระนอง'!J367+'สงขลา'!J367+'สตูล'!J367+'สุราษฎร์ธานี'!J367</f>
        <v>0</v>
      </c>
      <c r="K367" s="196">
        <f t="shared" ref="K367:K373" si="73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'กระบี่'!I368+'ชุมพร'!I368+'ตรัง'!I368+'นครศรีธรรมราช'!I368+'นราธิวาส'!I368+'ปัตตานี'!I368+'พังงา'!I368+'พัทลุง'!I368+'ภูเก็ต'!I368+'ยะลา'!I368+'ระนอง'!I368+'สงขลา'!I368+'สตูล'!I368+'สุราษฎร์ธานี'!I368</f>
        <v>257</v>
      </c>
      <c r="J368" s="222">
        <f>'กระบี่'!J368+'ชุมพร'!J368+'ตรัง'!J368+'นครศรีธรรมราช'!J368+'นราธิวาส'!J368+'ปัตตานี'!J368+'พังงา'!J368+'พัทลุง'!J368+'ภูเก็ต'!J368+'ยะลา'!J368+'ระนอง'!J368+'สงขลา'!J368+'สตูล'!J368+'สุราษฎร์ธานี'!J368</f>
        <v>62</v>
      </c>
      <c r="K368" s="196">
        <f t="shared" si="73"/>
        <v>24.12451362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'กระบี่'!I369+'ชุมพร'!I369+'ตรัง'!I369+'นครศรีธรรมราช'!I369+'นราธิวาส'!I369+'ปัตตานี'!I369+'พังงา'!I369+'พัทลุง'!I369+'ภูเก็ต'!I369+'ยะลา'!I369+'ระนอง'!I369+'สงขลา'!I369+'สตูล'!I369+'สุราษฎร์ธานี'!I369</f>
        <v>0</v>
      </c>
      <c r="J369" s="238">
        <f>'กระบี่'!J369+'ชุมพร'!J369+'ตรัง'!J369+'นครศรีธรรมราช'!J369+'นราธิวาส'!J369+'ปัตตานี'!J369+'พังงา'!J369+'พัทลุง'!J369+'ภูเก็ต'!J369+'ยะลา'!J369+'ระนอง'!J369+'สงขลา'!J369+'สตูล'!J369+'สุราษฎร์ธานี'!J369</f>
        <v>0</v>
      </c>
      <c r="K369" s="196">
        <f t="shared" si="73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'กระบี่'!I370+'ชุมพร'!I370+'ตรัง'!I370+'นครศรีธรรมราช'!I370+'นราธิวาส'!I370+'ปัตตานี'!I370+'พังงา'!I370+'พัทลุง'!I370+'ภูเก็ต'!I370+'ยะลา'!I370+'ระนอง'!I370+'สงขลา'!I370+'สตูล'!I370+'สุราษฎร์ธานี'!I370</f>
        <v>257</v>
      </c>
      <c r="J370" s="238">
        <f>'กระบี่'!J370+'ชุมพร'!J370+'ตรัง'!J370+'นครศรีธรรมราช'!J370+'นราธิวาส'!J370+'ปัตตานี'!J370+'พังงา'!J370+'พัทลุง'!J370+'ภูเก็ต'!J370+'ยะลา'!J370+'ระนอง'!J370+'สงขลา'!J370+'สตูล'!J370+'สุราษฎร์ธานี'!J370</f>
        <v>97</v>
      </c>
      <c r="K370" s="196">
        <f t="shared" si="73"/>
        <v>37.74319066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'กระบี่'!I371+'ชุมพร'!I371+'ตรัง'!I371+'นครศรีธรรมราช'!I371+'นราธิวาส'!I371+'ปัตตานี'!I371+'พังงา'!I371+'พัทลุง'!I371+'ภูเก็ต'!I371+'ยะลา'!I371+'ระนอง'!I371+'สงขลา'!I371+'สตูล'!I371+'สุราษฎร์ธานี'!I371</f>
        <v>0</v>
      </c>
      <c r="J371" s="223">
        <f>'กระบี่'!J371+'ชุมพร'!J371+'ตรัง'!J371+'นครศรีธรรมราช'!J371+'นราธิวาส'!J371+'ปัตตานี'!J371+'พังงา'!J371+'พัทลุง'!J371+'ภูเก็ต'!J371+'ยะลา'!J371+'ระนอง'!J371+'สงขลา'!J371+'สตูล'!J371+'สุราษฎร์ธานี'!J371</f>
        <v>0</v>
      </c>
      <c r="K371" s="196">
        <f t="shared" si="73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'กระบี่'!I372+'ชุมพร'!I372+'ตรัง'!I372+'นครศรีธรรมราช'!I372+'นราธิวาส'!I372+'ปัตตานี'!I372+'พังงา'!I372+'พัทลุง'!I372+'ภูเก็ต'!I372+'ยะลา'!I372+'ระนอง'!I372+'สงขลา'!I372+'สตูล'!I372+'สุราษฎร์ธานี'!I372</f>
        <v>257</v>
      </c>
      <c r="J372" s="223">
        <f>'กระบี่'!J372+'ชุมพร'!J372+'ตรัง'!J372+'นครศรีธรรมราช'!J372+'นราธิวาส'!J372+'ปัตตานี'!J372+'พังงา'!J372+'พัทลุง'!J372+'ภูเก็ต'!J372+'ยะลา'!J372+'ระนอง'!J372+'สงขลา'!J372+'สตูล'!J372+'สุราษฎร์ธานี'!J372</f>
        <v>62</v>
      </c>
      <c r="K372" s="196">
        <f t="shared" si="73"/>
        <v>24.12451362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'กระบี่'!I373+'ชุมพร'!I373+'ตรัง'!I373+'นครศรีธรรมราช'!I373+'นราธิวาส'!I373+'ปัตตานี'!I373+'พังงา'!I373+'พัทลุง'!I373+'ภูเก็ต'!I373+'ยะลา'!I373+'ระนอง'!I373+'สงขลา'!I373+'สตูล'!I373+'สุราษฎร์ธานี'!I373</f>
        <v>0</v>
      </c>
      <c r="J373" s="238">
        <f>'กระบี่'!J373+'ชุมพร'!J373+'ตรัง'!J373+'นครศรีธรรมราช'!J373+'นราธิวาส'!J373+'ปัตตานี'!J373+'พังงา'!J373+'พัทลุง'!J373+'ภูเก็ต'!J373+'ยะลา'!J373+'ระนอง'!J373+'สงขลา'!J373+'สตูล'!J373+'สุราษฎร์ธานี'!J373</f>
        <v>0</v>
      </c>
      <c r="K373" s="196">
        <f t="shared" si="73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'กระบี่'!I374+'ชุมพร'!I374+'ตรัง'!I374+'นครศรีธรรมราช'!I374+'นราธิวาส'!I374+'ปัตตานี'!I374+'พังงา'!I374+'พัทลุง'!I374+'ภูเก็ต'!I374+'ยะลา'!I374+'ระนอง'!I374+'สงขลา'!I374+'สตูล'!I374+'สุราษฎร์ธานี'!I374</f>
        <v>0</v>
      </c>
      <c r="J374" s="222">
        <f>'กระบี่'!J374+'ชุมพร'!J374+'ตรัง'!J374+'นครศรีธรรมราช'!J374+'นราธิวาส'!J374+'ปัตตานี'!J374+'พังงา'!J374+'พัทลุง'!J374+'ภูเก็ต'!J374+'ยะลา'!J374+'ระนอง'!J374+'สงขลา'!J374+'สตูล'!J374+'สุราษฎร์ธานี'!J374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'กระบี่'!I375+'ชุมพร'!I375+'ตรัง'!I375+'นครศรีธรรมราช'!I375+'นราธิวาส'!I375+'ปัตตานี'!I375+'พังงา'!I375+'พัทลุง'!I375+'ภูเก็ต'!I375+'ยะลา'!I375+'ระนอง'!I375+'สงขลา'!I375+'สตูล'!I375+'สุราษฎร์ธานี'!I375</f>
        <v>793</v>
      </c>
      <c r="J375" s="222">
        <f>'กระบี่'!J375+'ชุมพร'!J375+'ตรัง'!J375+'นครศรีธรรมราช'!J375+'นราธิวาส'!J375+'ปัตตานี'!J375+'พังงา'!J375+'พัทลุง'!J375+'ภูเก็ต'!J375+'ยะลา'!J375+'ระนอง'!J375+'สงขลา'!J375+'สตูล'!J375+'สุราษฎร์ธานี'!J375</f>
        <v>40</v>
      </c>
      <c r="K375" s="196">
        <f t="shared" ref="K375:K377" si="74">IF(I375&gt;0,J375*100/I375,0)</f>
        <v>5.044136192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'กระบี่'!I376+'ชุมพร'!I376+'ตรัง'!I376+'นครศรีธรรมราช'!I376+'นราธิวาส'!I376+'ปัตตานี'!I376+'พังงา'!I376+'พัทลุง'!I376+'ภูเก็ต'!I376+'ยะลา'!I376+'ระนอง'!I376+'สงขลา'!I376+'สตูล'!I376+'สุราษฎร์ธานี'!I376</f>
        <v>250</v>
      </c>
      <c r="J376" s="223">
        <f>'กระบี่'!J376+'ชุมพร'!J376+'ตรัง'!J376+'นครศรีธรรมราช'!J376+'นราธิวาส'!J376+'ปัตตานี'!J376+'พังงา'!J376+'พัทลุง'!J376+'ภูเก็ต'!J376+'ยะลา'!J376+'ระนอง'!J376+'สงขลา'!J376+'สตูล'!J376+'สุราษฎร์ธานี'!J376</f>
        <v>20</v>
      </c>
      <c r="K376" s="196">
        <f t="shared" si="74"/>
        <v>8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'กระบี่'!I377+'ชุมพร'!I377+'ตรัง'!I377+'นครศรีธรรมราช'!I377+'นราธิวาส'!I377+'ปัตตานี'!I377+'พังงา'!I377+'พัทลุง'!I377+'ภูเก็ต'!I377+'ยะลา'!I377+'ระนอง'!I377+'สงขลา'!I377+'สตูล'!I377+'สุราษฎร์ธานี'!I377</f>
        <v>543</v>
      </c>
      <c r="J377" s="238">
        <f>'กระบี่'!J377+'ชุมพร'!J377+'ตรัง'!J377+'นครศรีธรรมราช'!J377+'นราธิวาส'!J377+'ปัตตานี'!J377+'พังงา'!J377+'พัทลุง'!J377+'ภูเก็ต'!J377+'ยะลา'!J377+'ระนอง'!J377+'สงขลา'!J377+'สตูล'!J377+'สุราษฎร์ธานี'!J377</f>
        <v>20</v>
      </c>
      <c r="K377" s="196">
        <f t="shared" si="74"/>
        <v>3.683241252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'กระบี่'!J378+'ชุมพร'!J378+'ตรัง'!J378+'นครศรีธรรมราช'!J378+'นราธิวาส'!J378+'ปัตตานี'!J378+'พังงา'!J378+'พัทลุง'!J378+'ภูเก็ต'!J378+'ยะลา'!J378+'ระนอง'!J378+'สงขลา'!J378+'สตูล'!J378+'สุราษฎร์ธานี'!J378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'กระบี่'!J379+'ชุมพร'!J379+'ตรัง'!J379+'นครศรีธรรมราช'!J379+'นราธิวาส'!J379+'ปัตตานี'!J379+'พังงา'!J379+'พัทลุง'!J379+'ภูเก็ต'!J379+'ยะลา'!J379+'ระนอง'!J379+'สงขลา'!J379+'สตูล'!J379+'สุราษฎร์ธานี'!J379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'กระบี่'!I380+'ชุมพร'!I380+'ตรัง'!I380+'นครศรีธรรมราช'!I380+'นราธิวาส'!I380+'ปัตตานี'!I380+'พังงา'!I380+'พัทลุง'!I380+'ภูเก็ต'!I380+'ยะลา'!I380+'ระนอง'!I380+'สงขลา'!I380+'สตูล'!I380+'สุราษฎร์ธานี'!I380</f>
        <v>4700</v>
      </c>
      <c r="J380" s="404">
        <f>'กระบี่'!J380+'ชุมพร'!J380+'ตรัง'!J380+'นครศรีธรรมราช'!J380+'นราธิวาส'!J380+'ปัตตานี'!J380+'พังงา'!J380+'พัทลุง'!J380+'ภูเก็ต'!J380+'ยะลา'!J380+'ระนอง'!J380+'สงขลา'!J380+'สตูล'!J380+'สุราษฎร์ธานี'!J380</f>
        <v>150</v>
      </c>
      <c r="K380" s="405">
        <f t="shared" ref="K380:K381" si="75">IF(I380&gt;0,J380*100/I380,0)</f>
        <v>3.191489362</v>
      </c>
      <c r="L380" s="406">
        <f>'กระบี่'!L380+'ชุมพร'!L380+'ตรัง'!L380+'นครศรีธรรมราช'!L380+'นราธิวาส'!L380+'ปัตตานี'!L380+'พังงา'!L380+'พัทลุง'!L380+'ภูเก็ต'!L380+'ยะลา'!L380+'ระนอง'!L380+'สงขลา'!L380+'สตูล'!L380+'สุราษฎร์ธานี'!L380</f>
        <v>4832540</v>
      </c>
      <c r="M380" s="406"/>
      <c r="N380" s="406">
        <f>'กระบี่'!N380+'ชุมพร'!N380+'ตรัง'!N380+'นครศรีธรรมราช'!N380+'นราธิวาส'!N380+'ปัตตานี'!N380+'พังงา'!N380+'พัทลุง'!N380+'ภูเก็ต'!N380+'ยะลา'!N380+'ระนอง'!N380+'สงขลา'!N380+'สตูล'!N380+'สุราษฎร์ธานี'!N380</f>
        <v>686552.17</v>
      </c>
      <c r="O380" s="406">
        <f>+IF(L380&gt;0,N380*100/L380,0)</f>
        <v>14.20685954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'กระบี่'!I381+'ชุมพร'!I381+'ตรัง'!I381+'นครศรีธรรมราช'!I381+'นราธิวาส'!I381+'ปัตตานี'!I381+'พังงา'!I381+'พัทลุง'!I381+'ภูเก็ต'!I381+'ยะลา'!I381+'ระนอง'!I381+'สงขลา'!I381+'สตูล'!I381+'สุราษฎร์ธานี'!I381</f>
        <v>470</v>
      </c>
      <c r="J381" s="404">
        <f>'กระบี่'!J381+'ชุมพร'!J381+'ตรัง'!J381+'นครศรีธรรมราช'!J381+'นราธิวาส'!J381+'ปัตตานี'!J381+'พังงา'!J381+'พัทลุง'!J381+'ภูเก็ต'!J381+'ยะลา'!J381+'ระนอง'!J381+'สงขลา'!J381+'สตูล'!J381+'สุราษฎร์ธานี'!J381</f>
        <v>200</v>
      </c>
      <c r="K381" s="405">
        <f t="shared" si="75"/>
        <v>42.55319149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'กระบี่'!L382+'ชุมพร'!L382+'ตรัง'!L382+'นครศรีธรรมราช'!L382+'นราธิวาส'!L382+'ปัตตานี'!L382+'พังงา'!L382+'พัทลุง'!L382+'ภูเก็ต'!L382+'ยะลา'!L382+'ระนอง'!L382+'สงขลา'!L382+'สตูล'!L382+'สุราษฎร์ธานี'!L382</f>
        <v>0</v>
      </c>
      <c r="M382" s="197"/>
      <c r="N382" s="197">
        <f>'กระบี่'!N382+'ชุมพร'!N382+'ตรัง'!N382+'นครศรีธรรมราช'!N382+'นราธิวาส'!N382+'ปัตตานี'!N382+'พังงา'!N382+'พัทลุง'!N382+'ภูเก็ต'!N382+'ยะลา'!N382+'ระนอง'!N382+'สงขลา'!N382+'สตูล'!N382+'สุราษฎร์ธานี'!N382</f>
        <v>0</v>
      </c>
      <c r="O382" s="198">
        <f t="shared" ref="O382:O385" si="76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'กระบี่'!L383+'ชุมพร'!L383+'ตรัง'!L383+'นครศรีธรรมราช'!L383+'นราธิวาส'!L383+'ปัตตานี'!L383+'พังงา'!L383+'พัทลุง'!L383+'ภูเก็ต'!L383+'ยะลา'!L383+'ระนอง'!L383+'สงขลา'!L383+'สตูล'!L383+'สุราษฎร์ธานี'!L383</f>
        <v>4832540</v>
      </c>
      <c r="M383" s="198"/>
      <c r="N383" s="198">
        <f>'กระบี่'!N383+'ชุมพร'!N383+'ตรัง'!N383+'นครศรีธรรมราช'!N383+'นราธิวาส'!N383+'ปัตตานี'!N383+'พังงา'!N383+'พัทลุง'!N383+'ภูเก็ต'!N383+'ยะลา'!N383+'ระนอง'!N383+'สงขลา'!N383+'สตูล'!N383+'สุราษฎร์ธานี'!N383</f>
        <v>686552.17</v>
      </c>
      <c r="O383" s="198">
        <f t="shared" si="76"/>
        <v>14.20685954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'กระบี่'!L384+'ชุมพร'!L384+'ตรัง'!L384+'นครศรีธรรมราช'!L384+'นราธิวาส'!L384+'ปัตตานี'!L384+'พังงา'!L384+'พัทลุง'!L384+'ภูเก็ต'!L384+'ยะลา'!L384+'ระนอง'!L384+'สงขลา'!L384+'สตูล'!L384+'สุราษฎร์ธานี'!L384</f>
        <v>0</v>
      </c>
      <c r="M384" s="203"/>
      <c r="N384" s="203">
        <f>'กระบี่'!N384+'ชุมพร'!N384+'ตรัง'!N384+'นครศรีธรรมราช'!N384+'นราธิวาส'!N384+'ปัตตานี'!N384+'พังงา'!N384+'พัทลุง'!N384+'ภูเก็ต'!N384+'ยะลา'!N384+'ระนอง'!N384+'สงขลา'!N384+'สตูล'!N384+'สุราษฎร์ธานี'!N384</f>
        <v>0</v>
      </c>
      <c r="O384" s="203">
        <f t="shared" si="76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'กระบี่'!L385+'ชุมพร'!L385+'ตรัง'!L385+'นครศรีธรรมราช'!L385+'นราธิวาส'!L385+'ปัตตานี'!L385+'พังงา'!L385+'พัทลุง'!L385+'ภูเก็ต'!L385+'ยะลา'!L385+'ระนอง'!L385+'สงขลา'!L385+'สตูล'!L385+'สุราษฎร์ธานี'!L385</f>
        <v>4832540</v>
      </c>
      <c r="M385" s="203"/>
      <c r="N385" s="200">
        <f>'กระบี่'!N385+'ชุมพร'!N385+'ตรัง'!N385+'นครศรีธรรมราช'!N385+'นราธิวาส'!N385+'ปัตตานี'!N385+'พังงา'!N385+'พัทลุง'!N385+'ภูเก็ต'!N385+'ยะลา'!N385+'ระนอง'!N385+'สงขลา'!N385+'สตูล'!N385+'สุราษฎร์ธานี'!N385</f>
        <v>686552.17</v>
      </c>
      <c r="O385" s="203">
        <f t="shared" si="76"/>
        <v>14.20685954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'กระบี่'!N386+'ชุมพร'!N386+'ตรัง'!N386+'นครศรีธรรมราช'!N386+'นราธิวาส'!N386+'ปัตตานี'!N386+'พังงา'!N386+'พัทลุง'!N386+'ภูเก็ต'!N386+'ยะลา'!N386+'ระนอง'!N386+'สงขลา'!N386+'สตูล'!N386+'สุราษฎร์ธานี'!N386</f>
        <v>440130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'กระบี่'!N387+'ชุมพร'!N387+'ตรัง'!N387+'นครศรีธรรมราช'!N387+'นราธิวาส'!N387+'ปัตตานี'!N387+'พังงา'!N387+'พัทลุง'!N387+'ภูเก็ต'!N387+'ยะลา'!N387+'ระนอง'!N387+'สงขลา'!N387+'สตูล'!N387+'สุราษฎร์ธานี'!N387</f>
        <v>88600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'กระบี่'!N388+'ชุมพร'!N388+'ตรัง'!N388+'นครศรีธรรมราช'!N388+'นราธิวาส'!N388+'ปัตตานี'!N388+'พังงา'!N388+'พัทลุง'!N388+'ภูเก็ต'!N388+'ยะลา'!N388+'ระนอง'!N388+'สงขลา'!N388+'สตูล'!N388+'สุราษฎร์ธานี'!N388</f>
        <v>74102.17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'กระบี่'!N389+'ชุมพร'!N389+'ตรัง'!N389+'นครศรีธรรมราช'!N389+'นราธิวาส'!N389+'ปัตตานี'!N389+'พังงา'!N389+'พัทลุง'!N389+'ภูเก็ต'!N389+'ยะลา'!N389+'ระนอง'!N389+'สงขลา'!N389+'สตูล'!N389+'สุราษฎร์ธานี'!N389</f>
        <v>83720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'กระบี่'!J391+'ชุมพร'!J391+'ตรัง'!J391+'นครศรีธรรมราช'!J391+'นราธิวาส'!J391+'ปัตตานี'!J391+'พังงา'!J391+'พัทลุง'!J391+'ภูเก็ต'!J391+'ยะลา'!J391+'ระนอง'!J391+'สงขลา'!J391+'สตูล'!J391+'สุราษฎร์ธานี'!J391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'กระบี่'!J392+'ชุมพร'!J392+'ตรัง'!J392+'นครศรีธรรมราช'!J392+'นราธิวาส'!J392+'ปัตตานี'!J392+'พังงา'!J392+'พัทลุง'!J392+'ภูเก็ต'!J392+'ยะลา'!J392+'ระนอง'!J392+'สงขลา'!J392+'สตูล'!J392+'สุราษฎร์ธานี'!J392</f>
        <v>14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'กระบี่'!J393+'ชุมพร'!J393+'ตรัง'!J393+'นครศรีธรรมราช'!J393+'นราธิวาส'!J393+'ปัตตานี'!J393+'พังงา'!J393+'พัทลุง'!J393+'ภูเก็ต'!J393+'ยะลา'!J393+'ระนอง'!J393+'สงขลา'!J393+'สตูล'!J393+'สุราษฎร์ธานี'!J393</f>
        <v>13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'กระบี่'!J394+'ชุมพร'!J394+'ตรัง'!J394+'นครศรีธรรมราช'!J394+'นราธิวาส'!J394+'ปัตตานี'!J394+'พังงา'!J394+'พัทลุง'!J394+'ภูเก็ต'!J394+'ยะลา'!J394+'ระนอง'!J394+'สงขลา'!J394+'สตูล'!J394+'สุราษฎร์ธานี'!J394</f>
        <v>11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'กระบี่'!I396+'ชุมพร'!I396+'ตรัง'!I396+'นครศรีธรรมราช'!I396+'นราธิวาส'!I396+'ปัตตานี'!I396+'พังงา'!I396+'พัทลุง'!I396+'ภูเก็ต'!I396+'ยะลา'!I396+'ระนอง'!I396+'สงขลา'!I396+'สตูล'!I396+'สุราษฎร์ธานี'!I396</f>
        <v>470</v>
      </c>
      <c r="J396" s="232">
        <f>'กระบี่'!J396+'ชุมพร'!J396+'ตรัง'!J396+'นครศรีธรรมราช'!J396+'นราธิวาส'!J396+'ปัตตานี'!J396+'พังงา'!J396+'พัทลุง'!J396+'ภูเก็ต'!J396+'ยะลา'!J396+'ระนอง'!J396+'สงขลา'!J396+'สตูล'!J396+'สุราษฎร์ธานี'!J396</f>
        <v>200</v>
      </c>
      <c r="K396" s="196">
        <f t="shared" ref="K396:K398" si="77">IF(I396&gt;0,J396*100/I396,0)</f>
        <v>42.55319149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'กระบี่'!I397+'ชุมพร'!I397+'ตรัง'!I397+'นครศรีธรรมราช'!I397+'นราธิวาส'!I397+'ปัตตานี'!I397+'พังงา'!I397+'พัทลุง'!I397+'ภูเก็ต'!I397+'ยะลา'!I397+'ระนอง'!I397+'สงขลา'!I397+'สตูล'!I397+'สุราษฎร์ธานี'!I397</f>
        <v>4700</v>
      </c>
      <c r="J397" s="232">
        <f>'กระบี่'!J397+'ชุมพร'!J397+'ตรัง'!J397+'นครศรีธรรมราช'!J397+'นราธิวาส'!J397+'ปัตตานี'!J397+'พังงา'!J397+'พัทลุง'!J397+'ภูเก็ต'!J397+'ยะลา'!J397+'ระนอง'!J397+'สงขลา'!J397+'สตูล'!J397+'สุราษฎร์ธานี'!J397</f>
        <v>150</v>
      </c>
      <c r="K397" s="196">
        <f t="shared" si="77"/>
        <v>3.191489362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'กระบี่'!I398+'ชุมพร'!I398+'ตรัง'!I398+'นครศรีธรรมราช'!I398+'นราธิวาส'!I398+'ปัตตานี'!I398+'พังงา'!I398+'พัทลุง'!I398+'ภูเก็ต'!I398+'ยะลา'!I398+'ระนอง'!I398+'สงขลา'!I398+'สตูล'!I398+'สุราษฎร์ธานี'!I398</f>
        <v>470</v>
      </c>
      <c r="J398" s="232">
        <f>'กระบี่'!J398+'ชุมพร'!J398+'ตรัง'!J398+'นครศรีธรรมราช'!J398+'นราธิวาส'!J398+'ปัตตานี'!J398+'พังงา'!J398+'พัทลุง'!J398+'ภูเก็ต'!J398+'ยะลา'!J398+'ระนอง'!J398+'สงขลา'!J398+'สตูล'!J398+'สุราษฎร์ธานี'!J398</f>
        <v>15</v>
      </c>
      <c r="K398" s="196">
        <f t="shared" si="77"/>
        <v>3.191489362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'กระบี่'!J399+'ชุมพร'!J399+'ตรัง'!J399+'นครศรีธรรมราช'!J399+'นราธิวาส'!J399+'ปัตตานี'!J399+'พังงา'!J399+'พัทลุง'!J399+'ภูเก็ต'!J399+'ยะลา'!J399+'ระนอง'!J399+'สงขลา'!J399+'สตูล'!J399+'สุราษฎร์ธานี'!J399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'กระบี่'!J400+'ชุมพร'!J400+'ตรัง'!J400+'นครศรีธรรมราช'!J400+'นราธิวาส'!J400+'ปัตตานี'!J400+'พังงา'!J400+'พัทลุง'!J400+'ภูเก็ต'!J400+'ยะลา'!J400+'ระนอง'!J400+'สงขลา'!J400+'สตูล'!J400+'สุราษฎร์ธานี'!J400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'กระบี่'!I401+'ชุมพร'!I401+'ตรัง'!I401+'นครศรีธรรมราช'!I401+'นราธิวาส'!I401+'ปัตตานี'!I401+'พังงา'!I401+'พัทลุง'!I401+'ภูเก็ต'!I401+'ยะลา'!I401+'ระนอง'!I401+'สงขลา'!I401+'สตูล'!I401+'สุราษฎร์ธานี'!I401</f>
        <v>1620</v>
      </c>
      <c r="J401" s="404">
        <f>'กระบี่'!J401+'ชุมพร'!J401+'ตรัง'!J401+'นครศรีธรรมราช'!J401+'นราธิวาส'!J401+'ปัตตานี'!J401+'พังงา'!J401+'พัทลุง'!J401+'ภูเก็ต'!J401+'ยะลา'!J401+'ระนอง'!J401+'สงขลา'!J401+'สตูล'!J401+'สุราษฎร์ธานี'!J401</f>
        <v>420</v>
      </c>
      <c r="K401" s="405">
        <f t="shared" ref="K401:K402" si="78">IF(I401&gt;0,J401*100/I401,0)</f>
        <v>25.92592593</v>
      </c>
      <c r="L401" s="406">
        <f>'กระบี่'!L401+'ชุมพร'!L401+'ตรัง'!L401+'นครศรีธรรมราช'!L401+'นราธิวาส'!L401+'ปัตตานี'!L401+'พังงา'!L401+'พัทลุง'!L401+'ภูเก็ต'!L401+'ยะลา'!L401+'ระนอง'!L401+'สงขลา'!L401+'สตูล'!L401+'สุราษฎร์ธานี'!L401</f>
        <v>1883810</v>
      </c>
      <c r="M401" s="406"/>
      <c r="N401" s="406">
        <f>'กระบี่'!N401+'ชุมพร'!N401+'ตรัง'!N401+'นครศรีธรรมราช'!N401+'นราธิวาส'!N401+'ปัตตานี'!N401+'พังงา'!N401+'พัทลุง'!N401+'ภูเก็ต'!N401+'ยะลา'!N401+'ระนอง'!N401+'สงขลา'!N401+'สตูล'!N401+'สุราษฎร์ธานี'!N401</f>
        <v>520757</v>
      </c>
      <c r="O401" s="406">
        <f>+IF(L401&gt;0,N401*100/L401,0)</f>
        <v>27.64381758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'กระบี่'!I402+'ชุมพร'!I402+'ตรัง'!I402+'นครศรีธรรมราช'!I402+'นราธิวาส'!I402+'ปัตตานี'!I402+'พังงา'!I402+'พัทลุง'!I402+'ภูเก็ต'!I402+'ยะลา'!I402+'ระนอง'!I402+'สงขลา'!I402+'สตูล'!I402+'สุราษฎร์ธานี'!I402</f>
        <v>540</v>
      </c>
      <c r="J402" s="404">
        <f>'กระบี่'!J402+'ชุมพร'!J402+'ตรัง'!J402+'นครศรีธรรมราช'!J402+'นราธิวาส'!J402+'ปัตตานี'!J402+'พังงา'!J402+'พัทลุง'!J402+'ภูเก็ต'!J402+'ยะลา'!J402+'ระนอง'!J402+'สงขลา'!J402+'สตูล'!J402+'สุราษฎร์ธานี'!J402</f>
        <v>220</v>
      </c>
      <c r="K402" s="405">
        <f t="shared" si="78"/>
        <v>40.74074074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'กระบี่'!L403+'ชุมพร'!L403+'ตรัง'!L403+'นครศรีธรรมราช'!L403+'นราธิวาส'!L403+'ปัตตานี'!L403+'พังงา'!L403+'พัทลุง'!L403+'ภูเก็ต'!L403+'ยะลา'!L403+'ระนอง'!L403+'สงขลา'!L403+'สตูล'!L403+'สุราษฎร์ธานี'!L403</f>
        <v>0</v>
      </c>
      <c r="M403" s="197"/>
      <c r="N403" s="203">
        <f>'กระบี่'!N403+'ชุมพร'!N403+'ตรัง'!N403+'นครศรีธรรมราช'!N403+'นราธิวาส'!N403+'ปัตตานี'!N403+'พังงา'!N403+'พัทลุง'!N403+'ภูเก็ต'!N403+'ยะลา'!N403+'ระนอง'!N403+'สงขลา'!N403+'สตูล'!N403+'สุราษฎร์ธานี'!N403</f>
        <v>0</v>
      </c>
      <c r="O403" s="203">
        <f t="shared" ref="O403:O406" si="79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'กระบี่'!L404+'ชุมพร'!L404+'ตรัง'!L404+'นครศรีธรรมราช'!L404+'นราธิวาส'!L404+'ปัตตานี'!L404+'พังงา'!L404+'พัทลุง'!L404+'ภูเก็ต'!L404+'ยะลา'!L404+'ระนอง'!L404+'สงขลา'!L404+'สตูล'!L404+'สุราษฎร์ธานี'!L404</f>
        <v>1883810</v>
      </c>
      <c r="M404" s="198"/>
      <c r="N404" s="203">
        <f>'กระบี่'!N404+'ชุมพร'!N404+'ตรัง'!N404+'นครศรีธรรมราช'!N404+'นราธิวาส'!N404+'ปัตตานี'!N404+'พังงา'!N404+'พัทลุง'!N404+'ภูเก็ต'!N404+'ยะลา'!N404+'ระนอง'!N404+'สงขลา'!N404+'สตูล'!N404+'สุราษฎร์ธานี'!N404</f>
        <v>520757</v>
      </c>
      <c r="O404" s="203">
        <f t="shared" si="79"/>
        <v>27.64381758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'กระบี่'!L405+'ชุมพร'!L405+'ตรัง'!L405+'นครศรีธรรมราช'!L405+'นราธิวาส'!L405+'ปัตตานี'!L405+'พังงา'!L405+'พัทลุง'!L405+'ภูเก็ต'!L405+'ยะลา'!L405+'ระนอง'!L405+'สงขลา'!L405+'สตูล'!L405+'สุราษฎร์ธานี'!L405</f>
        <v>0</v>
      </c>
      <c r="M405" s="203"/>
      <c r="N405" s="203">
        <f>'กระบี่'!N405+'ชุมพร'!N405+'ตรัง'!N405+'นครศรีธรรมราช'!N405+'นราธิวาส'!N405+'ปัตตานี'!N405+'พังงา'!N405+'พัทลุง'!N405+'ภูเก็ต'!N405+'ยะลา'!N405+'ระนอง'!N405+'สงขลา'!N405+'สตูล'!N405+'สุราษฎร์ธานี'!N405</f>
        <v>0</v>
      </c>
      <c r="O405" s="203">
        <f t="shared" si="79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'กระบี่'!L406+'ชุมพร'!L406+'ตรัง'!L406+'นครศรีธรรมราช'!L406+'นราธิวาส'!L406+'ปัตตานี'!L406+'พังงา'!L406+'พัทลุง'!L406+'ภูเก็ต'!L406+'ยะลา'!L406+'ระนอง'!L406+'สงขลา'!L406+'สตูล'!L406+'สุราษฎร์ธานี'!L406</f>
        <v>1883810</v>
      </c>
      <c r="M406" s="203"/>
      <c r="N406" s="203">
        <f>'กระบี่'!N406+'ชุมพร'!N406+'ตรัง'!N406+'นครศรีธรรมราช'!N406+'นราธิวาส'!N406+'ปัตตานี'!N406+'พังงา'!N406+'พัทลุง'!N406+'ภูเก็ต'!N406+'ยะลา'!N406+'ระนอง'!N406+'สงขลา'!N406+'สตูล'!N406+'สุราษฎร์ธานี'!N406</f>
        <v>520757</v>
      </c>
      <c r="O406" s="203">
        <f t="shared" si="79"/>
        <v>27.64381758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'กระบี่'!N407+'ชุมพร'!N407+'ตรัง'!N407+'นครศรีธรรมราช'!N407+'นราธิวาส'!N407+'ปัตตานี'!N407+'พังงา'!N407+'พัทลุง'!N407+'ภูเก็ต'!N407+'ยะลา'!N407+'ระนอง'!N407+'สงขลา'!N407+'สตูล'!N407+'สุราษฎร์ธานี'!N407</f>
        <v>396593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'กระบี่'!N408+'ชุมพร'!N408+'ตรัง'!N408+'นครศรีธรรมราช'!N408+'นราธิวาส'!N408+'ปัตตานี'!N408+'พังงา'!N408+'พัทลุง'!N408+'ภูเก็ต'!N408+'ยะลา'!N408+'ระนอง'!N408+'สงขลา'!N408+'สตูล'!N408+'สุราษฎร์ธานี'!N408</f>
        <v>47250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'กระบี่'!N409+'ชุมพร'!N409+'ตรัง'!N409+'นครศรีธรรมราช'!N409+'นราธิวาส'!N409+'ปัตตานี'!N409+'พังงา'!N409+'พัทลุง'!N409+'ภูเก็ต'!N409+'ยะลา'!N409+'ระนอง'!N409+'สงขลา'!N409+'สตูล'!N409+'สุราษฎร์ธานี'!N409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'กระบี่'!N410+'ชุมพร'!N410+'ตรัง'!N410+'นครศรีธรรมราช'!N410+'นราธิวาส'!N410+'ปัตตานี'!N410+'พังงา'!N410+'พัทลุง'!N410+'ภูเก็ต'!N410+'ยะลา'!N410+'ระนอง'!N410+'สงขลา'!N410+'สตูล'!N410+'สุราษฎร์ธานี'!N410</f>
        <v>76914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'กระบี่'!J412+'ชุมพร'!J412+'ตรัง'!J412+'นครศรีธรรมราช'!J412+'นราธิวาส'!J412+'ปัตตานี'!J412+'พังงา'!J412+'พัทลุง'!J412+'ภูเก็ต'!J412+'ยะลา'!J412+'ระนอง'!J412+'สงขลา'!J412+'สตูล'!J412+'สุราษฎร์ธานี'!J412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'กระบี่'!J413+'ชุมพร'!J413+'ตรัง'!J413+'นครศรีธรรมราช'!J413+'นราธิวาส'!J413+'ปัตตานี'!J413+'พังงา'!J413+'พัทลุง'!J413+'ภูเก็ต'!J413+'ยะลา'!J413+'ระนอง'!J413+'สงขลา'!J413+'สตูล'!J413+'สุราษฎร์ธานี'!J413</f>
        <v>14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'กระบี่'!J414+'ชุมพร'!J414+'ตรัง'!J414+'นครศรีธรรมราช'!J414+'นราธิวาส'!J414+'ปัตตานี'!J414+'พังงา'!J414+'พัทลุง'!J414+'ภูเก็ต'!J414+'ยะลา'!J414+'ระนอง'!J414+'สงขลา'!J414+'สตูล'!J414+'สุราษฎร์ธานี'!J414</f>
        <v>13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'กระบี่'!J415+'ชุมพร'!J415+'ตรัง'!J415+'นครศรีธรรมราช'!J415+'นราธิวาส'!J415+'ปัตตานี'!J415+'พังงา'!J415+'พัทลุง'!J415+'ภูเก็ต'!J415+'ยะลา'!J415+'ระนอง'!J415+'สงขลา'!J415+'สตูล'!J415+'สุราษฎร์ธานี'!J415</f>
        <v>13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'กระบี่'!I416+'ชุมพร'!I416+'ตรัง'!I416+'นครศรีธรรมราช'!I416+'นราธิวาส'!I416+'ปัตตานี'!I416+'พังงา'!I416+'พัทลุง'!I416+'ภูเก็ต'!I416+'ยะลา'!I416+'ระนอง'!I416+'สงขลา'!I416+'สตูล'!I416+'สุราษฎร์ธานี'!I416</f>
        <v>540</v>
      </c>
      <c r="J416" s="235">
        <f>'กระบี่'!J416+'ชุมพร'!J416+'ตรัง'!J416+'นครศรีธรรมราช'!J416+'นราธิวาส'!J416+'ปัตตานี'!J416+'พังงา'!J416+'พัทลุง'!J416+'ภูเก็ต'!J416+'ยะลา'!J416+'ระนอง'!J416+'สงขลา'!J416+'สตูล'!J416+'สุราษฎร์ธานี'!J416</f>
        <v>220</v>
      </c>
      <c r="K416" s="236">
        <f t="shared" ref="K416:K432" si="80">IF(I416&gt;0,J416*100/I416,0)</f>
        <v>40.74074074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'กระบี่'!I417+'ชุมพร'!I417+'ตรัง'!I417+'นครศรีธรรมราช'!I417+'นราธิวาส'!I417+'ปัตตานี'!I417+'พังงา'!I417+'พัทลุง'!I417+'ภูเก็ต'!I417+'ยะลา'!I417+'ระนอง'!I417+'สงขลา'!I417+'สตูล'!I417+'สุราษฎร์ธานี'!I417</f>
        <v>135</v>
      </c>
      <c r="J417" s="425">
        <f>'กระบี่'!J417+'ชุมพร'!J417+'ตรัง'!J417+'นครศรีธรรมราช'!J417+'นราธิวาส'!J417+'ปัตตานี'!J417+'พังงา'!J417+'พัทลุง'!J417+'ภูเก็ต'!J417+'ยะลา'!J417+'ระนอง'!J417+'สงขลา'!J417+'สตูล'!J417+'สุราษฎร์ธานี'!J417</f>
        <v>75</v>
      </c>
      <c r="K417" s="236">
        <f t="shared" si="80"/>
        <v>55.55555556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'กระบี่'!I418+'ชุมพร'!I418+'ตรัง'!I418+'นครศรีธรรมราช'!I418+'นราธิวาส'!I418+'ปัตตานี'!I418+'พังงา'!I418+'พัทลุง'!I418+'ภูเก็ต'!I418+'ยะลา'!I418+'ระนอง'!I418+'สงขลา'!I418+'สตูล'!I418+'สุราษฎร์ธานี'!I418</f>
        <v>405</v>
      </c>
      <c r="J418" s="426">
        <f>'กระบี่'!J418+'ชุมพร'!J418+'ตรัง'!J418+'นครศรีธรรมราช'!J418+'นราธิวาส'!J418+'ปัตตานี'!J418+'พังงา'!J418+'พัทลุง'!J418+'ภูเก็ต'!J418+'ยะลา'!J418+'ระนอง'!J418+'สงขลา'!J418+'สตูล'!J418+'สุราษฎร์ธานี'!J418</f>
        <v>135</v>
      </c>
      <c r="K418" s="236">
        <f t="shared" si="80"/>
        <v>33.33333333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'กระบี่'!I419+'ชุมพร'!I419+'ตรัง'!I419+'นครศรีธรรมราช'!I419+'นราธิวาส'!I419+'ปัตตานี'!I419+'พังงา'!I419+'พัทลุง'!I419+'ภูเก็ต'!I419+'ยะลา'!I419+'ระนอง'!I419+'สงขลา'!I419+'สตูล'!I419+'สุราษฎร์ธานี'!I419</f>
        <v>135</v>
      </c>
      <c r="J419" s="427">
        <f>'กระบี่'!J419+'ชุมพร'!J419+'ตรัง'!J419+'นครศรีธรรมราช'!J419+'นราธิวาส'!J419+'ปัตตานี'!J419+'พังงา'!J419+'พัทลุง'!J419+'ภูเก็ต'!J419+'ยะลา'!J419+'ระนอง'!J419+'สงขลา'!J419+'สตูล'!J419+'สุราษฎร์ธานี'!J419</f>
        <v>85</v>
      </c>
      <c r="K419" s="196">
        <f t="shared" si="80"/>
        <v>62.96296296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'กระบี่'!I420+'ชุมพร'!I420+'ตรัง'!I420+'นครศรีธรรมราช'!I420+'นราธิวาส'!I420+'ปัตตานี'!I420+'พังงา'!I420+'พัทลุง'!I420+'ภูเก็ต'!I420+'ยะลา'!I420+'ระนอง'!I420+'สงขลา'!I420+'สตูล'!I420+'สุราษฎร์ธานี'!I420</f>
        <v>135</v>
      </c>
      <c r="J420" s="427">
        <f>'กระบี่'!J420+'ชุมพร'!J420+'ตรัง'!J420+'นครศรีธรรมราช'!J420+'นราธิวาส'!J420+'ปัตตานี'!J420+'พังงา'!J420+'พัทลุง'!J420+'ภูเก็ต'!J420+'ยะลา'!J420+'ระนอง'!J420+'สงขลา'!J420+'สตูล'!J420+'สุราษฎร์ธานี'!J420</f>
        <v>95</v>
      </c>
      <c r="K420" s="321">
        <f t="shared" si="80"/>
        <v>70.37037037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'กระบี่'!I421+'ชุมพร'!I421+'ตรัง'!I421+'นครศรีธรรมราช'!I421+'นราธิวาส'!I421+'ปัตตานี'!I421+'พังงา'!I421+'พัทลุง'!I421+'ภูเก็ต'!I421+'ยะลา'!I421+'ระนอง'!I421+'สงขลา'!I421+'สตูล'!I421+'สุราษฎร์ธานี'!I421</f>
        <v>235</v>
      </c>
      <c r="J421" s="425">
        <f>'กระบี่'!J421+'ชุมพร'!J421+'ตรัง'!J421+'นครศรีธรรมราช'!J421+'นราธิวาส'!J421+'ปัตตานี'!J421+'พังงา'!J421+'พัทลุง'!J421+'ภูเก็ต'!J421+'ยะลา'!J421+'ระนอง'!J421+'สงขลา'!J421+'สตูล'!J421+'สุราษฎร์ธานี'!J421</f>
        <v>75</v>
      </c>
      <c r="K421" s="236">
        <f t="shared" si="80"/>
        <v>31.91489362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'กระบี่'!I422+'ชุมพร'!I422+'ตรัง'!I422+'นครศรีธรรมราช'!I422+'นราธิวาส'!I422+'ปัตตานี'!I422+'พังงา'!I422+'พัทลุง'!I422+'ภูเก็ต'!I422+'ยะลา'!I422+'ระนอง'!I422+'สงขลา'!I422+'สตูล'!I422+'สุราษฎร์ธานี'!I422</f>
        <v>705</v>
      </c>
      <c r="J422" s="426">
        <f>'กระบี่'!J422+'ชุมพร'!J422+'ตรัง'!J422+'นครศรีธรรมราช'!J422+'นราธิวาส'!J422+'ปัตตานี'!J422+'พังงา'!J422+'พัทลุง'!J422+'ภูเก็ต'!J422+'ยะลา'!J422+'ระนอง'!J422+'สงขลา'!J422+'สตูล'!J422+'สุราษฎร์ธานี'!J422</f>
        <v>180</v>
      </c>
      <c r="K422" s="236">
        <f t="shared" si="80"/>
        <v>25.53191489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'กระบี่'!I423+'ชุมพร'!I423+'ตรัง'!I423+'นครศรีธรรมราช'!I423+'นราธิวาส'!I423+'ปัตตานี'!I423+'พังงา'!I423+'พัทลุง'!I423+'ภูเก็ต'!I423+'ยะลา'!I423+'ระนอง'!I423+'สงขลา'!I423+'สตูล'!I423+'สุราษฎร์ธานี'!I423</f>
        <v>235</v>
      </c>
      <c r="J423" s="427">
        <f>'กระบี่'!J423+'ชุมพร'!J423+'ตรัง'!J423+'นครศรีธรรมราช'!J423+'นราธิวาส'!J423+'ปัตตานี'!J423+'พังงา'!J423+'พัทลุง'!J423+'ภูเก็ต'!J423+'ยะลา'!J423+'ระนอง'!J423+'สงขลา'!J423+'สตูล'!J423+'สุราษฎร์ธานี'!J423</f>
        <v>75</v>
      </c>
      <c r="K423" s="196">
        <f t="shared" si="80"/>
        <v>31.91489362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'กระบี่'!I424+'ชุมพร'!I424+'ตรัง'!I424+'นครศรีธรรมราช'!I424+'นราธิวาส'!I424+'ปัตตานี'!I424+'พังงา'!I424+'พัทลุง'!I424+'ภูเก็ต'!I424+'ยะลา'!I424+'ระนอง'!I424+'สงขลา'!I424+'สตูล'!I424+'สุราษฎร์ธานี'!I424</f>
        <v>235</v>
      </c>
      <c r="J424" s="427">
        <f>'กระบี่'!J424+'ชุมพร'!J424+'ตรัง'!J424+'นครศรีธรรมราช'!J424+'นราธิวาส'!J424+'ปัตตานี'!J424+'พังงา'!J424+'พัทลุง'!J424+'ภูเก็ต'!J424+'ยะลา'!J424+'ระนอง'!J424+'สงขลา'!J424+'สตูล'!J424+'สุราษฎร์ธานี'!J424</f>
        <v>75</v>
      </c>
      <c r="K424" s="196">
        <f t="shared" si="80"/>
        <v>31.91489362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'กระบี่'!I425+'ชุมพร'!I425+'ตรัง'!I425+'นครศรีธรรมราช'!I425+'นราธิวาส'!I425+'ปัตตานี'!I425+'พังงา'!I425+'พัทลุง'!I425+'ภูเก็ต'!I425+'ยะลา'!I425+'ระนอง'!I425+'สงขลา'!I425+'สตูล'!I425+'สุราษฎร์ธานี'!I425</f>
        <v>235</v>
      </c>
      <c r="J425" s="427">
        <f>'กระบี่'!J425+'ชุมพร'!J425+'ตรัง'!J425+'นครศรีธรรมราช'!J425+'นราธิวาส'!J425+'ปัตตานี'!J425+'พังงา'!J425+'พัทลุง'!J425+'ภูเก็ต'!J425+'ยะลา'!J425+'ระนอง'!J425+'สงขลา'!J425+'สตูล'!J425+'สุราษฎร์ธานี'!J425</f>
        <v>75</v>
      </c>
      <c r="K425" s="196">
        <f t="shared" si="80"/>
        <v>31.91489362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'กระบี่'!I426+'ชุมพร'!I426+'ตรัง'!I426+'นครศรีธรรมราช'!I426+'นราธิวาส'!I426+'ปัตตานี'!I426+'พังงา'!I426+'พัทลุง'!I426+'ภูเก็ต'!I426+'ยะลา'!I426+'ระนอง'!I426+'สงขลา'!I426+'สตูล'!I426+'สุราษฎร์ธานี'!I426</f>
        <v>170</v>
      </c>
      <c r="J426" s="425">
        <f>'กระบี่'!J426+'ชุมพร'!J426+'ตรัง'!J426+'นครศรีธรรมราช'!J426+'นราธิวาส'!J426+'ปัตตานี'!J426+'พังงา'!J426+'พัทลุง'!J426+'ภูเก็ต'!J426+'ยะลา'!J426+'ระนอง'!J426+'สงขลา'!J426+'สตูล'!J426+'สุราษฎร์ธานี'!J426</f>
        <v>70</v>
      </c>
      <c r="K426" s="236">
        <f t="shared" si="80"/>
        <v>41.17647059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'กระบี่'!I427+'ชุมพร'!I427+'ตรัง'!I427+'นครศรีธรรมราช'!I427+'นราธิวาส'!I427+'ปัตตานี'!I427+'พังงา'!I427+'พัทลุง'!I427+'ภูเก็ต'!I427+'ยะลา'!I427+'ระนอง'!I427+'สงขลา'!I427+'สตูล'!I427+'สุราษฎร์ธานี'!I427</f>
        <v>510</v>
      </c>
      <c r="J427" s="426">
        <f>'กระบี่'!J427+'ชุมพร'!J427+'ตรัง'!J427+'นครศรีธรรมราช'!J427+'นราธิวาส'!J427+'ปัตตานี'!J427+'พังงา'!J427+'พัทลุง'!J427+'ภูเก็ต'!J427+'ยะลา'!J427+'ระนอง'!J427+'สงขลา'!J427+'สตูล'!J427+'สุราษฎร์ธานี'!J427</f>
        <v>105</v>
      </c>
      <c r="K427" s="236">
        <f t="shared" si="80"/>
        <v>20.58823529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'กระบี่'!I428+'ชุมพร'!I428+'ตรัง'!I428+'นครศรีธรรมราช'!I428+'นราธิวาส'!I428+'ปัตตานี'!I428+'พังงา'!I428+'พัทลุง'!I428+'ภูเก็ต'!I428+'ยะลา'!I428+'ระนอง'!I428+'สงขลา'!I428+'สตูล'!I428+'สุราษฎร์ธานี'!I428</f>
        <v>170</v>
      </c>
      <c r="J428" s="427">
        <f>'กระบี่'!J428+'ชุมพร'!J428+'ตรัง'!J428+'นครศรีธรรมราช'!J428+'นราธิวาส'!J428+'ปัตตานี'!J428+'พังงา'!J428+'พัทลุง'!J428+'ภูเก็ต'!J428+'ยะลา'!J428+'ระนอง'!J428+'สงขลา'!J428+'สตูล'!J428+'สุราษฎร์ธานี'!J428</f>
        <v>70</v>
      </c>
      <c r="K428" s="196">
        <f t="shared" si="80"/>
        <v>41.17647059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'กระบี่'!I429+'ชุมพร'!I429+'ตรัง'!I429+'นครศรีธรรมราช'!I429+'นราธิวาส'!I429+'ปัตตานี'!I429+'พังงา'!I429+'พัทลุง'!I429+'ภูเก็ต'!I429+'ยะลา'!I429+'ระนอง'!I429+'สงขลา'!I429+'สตูล'!I429+'สุราษฎร์ธานี'!I429</f>
        <v>170</v>
      </c>
      <c r="J429" s="427">
        <f>'กระบี่'!J429+'ชุมพร'!J429+'ตรัง'!J429+'นครศรีธรรมราช'!J429+'นราธิวาส'!J429+'ปัตตานี'!J429+'พังงา'!J429+'พัทลุง'!J429+'ภูเก็ต'!J429+'ยะลา'!J429+'ระนอง'!J429+'สงขลา'!J429+'สตูล'!J429+'สุราษฎร์ธานี'!J429</f>
        <v>70</v>
      </c>
      <c r="K429" s="196">
        <f t="shared" si="80"/>
        <v>41.17647059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'กระบี่'!I430+'ชุมพร'!I430+'ตรัง'!I430+'นครศรีธรรมราช'!I430+'นราธิวาส'!I430+'ปัตตานี'!I430+'พังงา'!I430+'พัทลุง'!I430+'ภูเก็ต'!I430+'ยะลา'!I430+'ระนอง'!I430+'สงขลา'!I430+'สตูล'!I430+'สุราษฎร์ธานี'!I430</f>
        <v>370</v>
      </c>
      <c r="J430" s="425">
        <f>'กระบี่'!J430+'ชุมพร'!J430+'ตรัง'!J430+'นครศรีธรรมราช'!J430+'นราธิวาส'!J430+'ปัตตานี'!J430+'พังงา'!J430+'พัทลุง'!J430+'ภูเก็ต'!J430+'ยะลา'!J430+'ระนอง'!J430+'สงขลา'!J430+'สตูล'!J430+'สุราษฎร์ธานี'!J430</f>
        <v>10</v>
      </c>
      <c r="K430" s="236">
        <f t="shared" si="80"/>
        <v>2.702702703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'กระบี่'!I431+'ชุมพร'!I431+'ตรัง'!I431+'นครศรีธรรมราช'!I431+'นราธิวาส'!I431+'ปัตตานี'!I431+'พังงา'!I431+'พัทลุง'!I431+'ภูเก็ต'!I431+'ยะลา'!I431+'ระนอง'!I431+'สงขลา'!I431+'สตูล'!I431+'สุราษฎร์ธานี'!I431</f>
        <v>135</v>
      </c>
      <c r="J431" s="427">
        <f>'กระบี่'!J431+'ชุมพร'!J431+'ตรัง'!J431+'นครศรีธรรมราช'!J431+'นราธิวาส'!J431+'ปัตตานี'!J431+'พังงา'!J431+'พัทลุง'!J431+'ภูเก็ต'!J431+'ยะลา'!J431+'ระนอง'!J431+'สงขลา'!J431+'สตูล'!J431+'สุราษฎร์ธานี'!J431</f>
        <v>10</v>
      </c>
      <c r="K431" s="196">
        <f t="shared" si="80"/>
        <v>7.407407407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'กระบี่'!I432+'ชุมพร'!I432+'ตรัง'!I432+'นครศรีธรรมราช'!I432+'นราธิวาส'!I432+'ปัตตานี'!I432+'พังงา'!I432+'พัทลุง'!I432+'ภูเก็ต'!I432+'ยะลา'!I432+'ระนอง'!I432+'สงขลา'!I432+'สตูล'!I432+'สุราษฎร์ธานี'!I432</f>
        <v>235</v>
      </c>
      <c r="J432" s="427">
        <f>'กระบี่'!J432+'ชุมพร'!J432+'ตรัง'!J432+'นครศรีธรรมราช'!J432+'นราธิวาส'!J432+'ปัตตานี'!J432+'พังงา'!J432+'พัทลุง'!J432+'ภูเก็ต'!J432+'ยะลา'!J432+'ระนอง'!J432+'สงขลา'!J432+'สตูล'!J432+'สุราษฎร์ธานี'!J432</f>
        <v>15</v>
      </c>
      <c r="K432" s="196">
        <f t="shared" si="80"/>
        <v>6.382978723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'กระบี่'!J433+'ชุมพร'!J433+'ตรัง'!J433+'นครศรีธรรมราช'!J433+'นราธิวาส'!J433+'ปัตตานี'!J433+'พังงา'!J433+'พัทลุง'!J433+'ภูเก็ต'!J433+'ยะลา'!J433+'ระนอง'!J433+'สงขลา'!J433+'สตูล'!J433+'สุราษฎร์ธานี'!J433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'กระบี่'!J434+'ชุมพร'!J434+'ตรัง'!J434+'นครศรีธรรมราช'!J434+'นราธิวาส'!J434+'ปัตตานี'!J434+'พังงา'!J434+'พัทลุง'!J434+'ภูเก็ต'!J434+'ยะลา'!J434+'ระนอง'!J434+'สงขลา'!J434+'สตูล'!J434+'สุราษฎร์ธานี'!J434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'กระบี่'!I435+'ชุมพร'!I435+'ตรัง'!I435+'นครศรีธรรมราช'!I435+'นราธิวาส'!I435+'ปัตตานี'!I435+'พังงา'!I435+'พัทลุง'!I435+'ภูเก็ต'!I435+'ยะลา'!I435+'ระนอง'!I435+'สงขลา'!I435+'สตูล'!I435+'สุราษฎร์ธานี'!I435</f>
        <v>235</v>
      </c>
      <c r="J435" s="443">
        <f>'กระบี่'!J435+'ชุมพร'!J435+'ตรัง'!J435+'นครศรีธรรมราช'!J435+'นราธิวาส'!J435+'ปัตตานี'!J435+'พังงา'!J435+'พัทลุง'!J435+'ภูเก็ต'!J435+'ยะลา'!J435+'ระนอง'!J435+'สงขลา'!J435+'สตูล'!J435+'สุราษฎร์ธานี'!J435</f>
        <v>140</v>
      </c>
      <c r="K435" s="444">
        <f>IF(I435&gt;0,J435*100/I435,0)</f>
        <v>59.57446809</v>
      </c>
      <c r="L435" s="445">
        <f>'กระบี่'!L435+'ชุมพร'!L435+'ตรัง'!L435+'นครศรีธรรมราช'!L435+'นราธิวาส'!L435+'ปัตตานี'!L435+'พังงา'!L435+'พัทลุง'!L435+'ภูเก็ต'!L435+'ยะลา'!L435+'ระนอง'!L435+'สงขลา'!L435+'สตูล'!L435+'สุราษฎร์ธานี'!L435</f>
        <v>1204500</v>
      </c>
      <c r="M435" s="445"/>
      <c r="N435" s="445">
        <f>'กระบี่'!N435+'ชุมพร'!N435+'ตรัง'!N435+'นครศรีธรรมราช'!N435+'นราธิวาส'!N435+'ปัตตานี'!N435+'พังงา'!N435+'พัทลุง'!N435+'ภูเก็ต'!N435+'ยะลา'!N435+'ระนอง'!N435+'สงขลา'!N435+'สตูล'!N435+'สุราษฎร์ธานี'!N435</f>
        <v>368278.74</v>
      </c>
      <c r="O435" s="445">
        <f t="shared" ref="O435:O439" si="81">+IF(L435&gt;0,N435*100/L435,0)</f>
        <v>30.57523786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'กระบี่'!L436+'ชุมพร'!L436+'ตรัง'!L436+'นครศรีธรรมราช'!L436+'นราธิวาส'!L436+'ปัตตานี'!L436+'พังงา'!L436+'พัทลุง'!L436+'ภูเก็ต'!L436+'ยะลา'!L436+'ระนอง'!L436+'สงขลา'!L436+'สตูล'!L436+'สุราษฎร์ธานี'!L436</f>
        <v>0</v>
      </c>
      <c r="M436" s="197"/>
      <c r="N436" s="203">
        <f>'กระบี่'!N436+'ชุมพร'!N436+'ตรัง'!N436+'นครศรีธรรมราช'!N436+'นราธิวาส'!N436+'ปัตตานี'!N436+'พังงา'!N436+'พัทลุง'!N436+'ภูเก็ต'!N436+'ยะลา'!N436+'ระนอง'!N436+'สงขลา'!N436+'สตูล'!N436+'สุราษฎร์ธานี'!N436</f>
        <v>0</v>
      </c>
      <c r="O436" s="203">
        <f t="shared" si="81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'กระบี่'!L437+'ชุมพร'!L437+'ตรัง'!L437+'นครศรีธรรมราช'!L437+'นราธิวาส'!L437+'ปัตตานี'!L437+'พังงา'!L437+'พัทลุง'!L437+'ภูเก็ต'!L437+'ยะลา'!L437+'ระนอง'!L437+'สงขลา'!L437+'สตูล'!L437+'สุราษฎร์ธานี'!L437</f>
        <v>2211500</v>
      </c>
      <c r="M437" s="198"/>
      <c r="N437" s="203">
        <f>'กระบี่'!N437+'ชุมพร'!N437+'ตรัง'!N437+'นครศรีธรรมราช'!N437+'นราธิวาส'!N437+'ปัตตานี'!N437+'พังงา'!N437+'พัทลุง'!N437+'ภูเก็ต'!N437+'ยะลา'!N437+'ระนอง'!N437+'สงขลา'!N437+'สตูล'!N437+'สุราษฎร์ธานี'!N437</f>
        <v>368278.74</v>
      </c>
      <c r="O437" s="203">
        <f t="shared" si="81"/>
        <v>16.65289351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'กระบี่'!L438+'ชุมพร'!L438+'ตรัง'!L438+'นครศรีธรรมราช'!L438+'นราธิวาส'!L438+'ปัตตานี'!L438+'พังงา'!L438+'พัทลุง'!L438+'ภูเก็ต'!L438+'ยะลา'!L438+'ระนอง'!L438+'สงขลา'!L438+'สตูล'!L438+'สุราษฎร์ธานี'!L438</f>
        <v>0</v>
      </c>
      <c r="M438" s="203"/>
      <c r="N438" s="203">
        <f>'กระบี่'!N438+'ชุมพร'!N438+'ตรัง'!N438+'นครศรีธรรมราช'!N438+'นราธิวาส'!N438+'ปัตตานี'!N438+'พังงา'!N438+'พัทลุง'!N438+'ภูเก็ต'!N438+'ยะลา'!N438+'ระนอง'!N438+'สงขลา'!N438+'สตูล'!N438+'สุราษฎร์ธานี'!N438</f>
        <v>0</v>
      </c>
      <c r="O438" s="203">
        <f t="shared" si="81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'กระบี่'!L439+'ชุมพร'!L439+'ตรัง'!L439+'นครศรีธรรมราช'!L439+'นราธิวาส'!L439+'ปัตตานี'!L439+'พังงา'!L439+'พัทลุง'!L439+'ภูเก็ต'!L439+'ยะลา'!L439+'ระนอง'!L439+'สงขลา'!L439+'สตูล'!L439+'สุราษฎร์ธานี'!L439</f>
        <v>1204500</v>
      </c>
      <c r="M439" s="203"/>
      <c r="N439" s="203">
        <f>'กระบี่'!N439+'ชุมพร'!N439+'ตรัง'!N439+'นครศรีธรรมราช'!N439+'นราธิวาส'!N439+'ปัตตานี'!N439+'พังงา'!N439+'พัทลุง'!N439+'ภูเก็ต'!N439+'ยะลา'!N439+'ระนอง'!N439+'สงขลา'!N439+'สตูล'!N439+'สุราษฎร์ธานี'!N439</f>
        <v>368278.74</v>
      </c>
      <c r="O439" s="203">
        <f t="shared" si="81"/>
        <v>30.57523786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'กระบี่'!N440+'ชุมพร'!N440+'ตรัง'!N440+'นครศรีธรรมราช'!N440+'นราธิวาส'!N440+'ปัตตานี'!N440+'พังงา'!N440+'พัทลุง'!N440+'ภูเก็ต'!N440+'ยะลา'!N440+'ระนอง'!N440+'สงขลา'!N440+'สตูล'!N440+'สุราษฎร์ธานี'!N440</f>
        <v>231308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'กระบี่'!N441+'ชุมพร'!N441+'ตรัง'!N441+'นครศรีธรรมราช'!N441+'นราธิวาส'!N441+'ปัตตานี'!N441+'พังงา'!N441+'พัทลุง'!N441+'ภูเก็ต'!N441+'ยะลา'!N441+'ระนอง'!N441+'สงขลา'!N441+'สตูล'!N441+'สุราษฎร์ธานี'!N441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'กระบี่'!N442+'ชุมพร'!N442+'ตรัง'!N442+'นครศรีธรรมราช'!N442+'นราธิวาส'!N442+'ปัตตานี'!N442+'พังงา'!N442+'พัทลุง'!N442+'ภูเก็ต'!N442+'ยะลา'!N442+'ระนอง'!N442+'สงขลา'!N442+'สตูล'!N442+'สุราษฎร์ธานี'!N442</f>
        <v>4900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'กระบี่'!N443+'ชุมพร'!N443+'ตรัง'!N443+'นครศรีธรรมราช'!N443+'นราธิวาส'!N443+'ปัตตานี'!N443+'พังงา'!N443+'พัทลุง'!N443+'ภูเก็ต'!N443+'ยะลา'!N443+'ระนอง'!N443+'สงขลา'!N443+'สตูล'!N443+'สุราษฎร์ธานี'!N443</f>
        <v>132070.74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'กระบี่'!J445+'ชุมพร'!J445+'ตรัง'!J445+'นครศรีธรรมราช'!J445+'นราธิวาส'!J445+'ปัตตานี'!J445+'พังงา'!J445+'พัทลุง'!J445+'ภูเก็ต'!J445+'ยะลา'!J445+'ระนอง'!J445+'สงขลา'!J445+'สตูล'!J445+'สุราษฎร์ธานี'!J445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'กระบี่'!J446+'ชุมพร'!J446+'ตรัง'!J446+'นครศรีธรรมราช'!J446+'นราธิวาส'!J446+'ปัตตานี'!J446+'พังงา'!J446+'พัทลุง'!J446+'ภูเก็ต'!J446+'ยะลา'!J446+'ระนอง'!J446+'สงขลา'!J446+'สตูล'!J446+'สุราษฎร์ธานี'!J446</f>
        <v>14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'กระบี่'!J447+'ชุมพร'!J447+'ตรัง'!J447+'นครศรีธรรมราช'!J447+'นราธิวาส'!J447+'ปัตตานี'!J447+'พังงา'!J447+'พัทลุง'!J447+'ภูเก็ต'!J447+'ยะลา'!J447+'ระนอง'!J447+'สงขลา'!J447+'สตูล'!J447+'สุราษฎร์ธานี'!J447</f>
        <v>13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'กระบี่'!J448+'ชุมพร'!J448+'ตรัง'!J448+'นครศรีธรรมราช'!J448+'นราธิวาส'!J448+'ปัตตานี'!J448+'พังงา'!J448+'พัทลุง'!J448+'ภูเก็ต'!J448+'ยะลา'!J448+'ระนอง'!J448+'สงขลา'!J448+'สตูล'!J448+'สุราษฎร์ธานี'!J448</f>
        <v>13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'กระบี่'!I449+'ชุมพร'!I449+'ตรัง'!I449+'นครศรีธรรมราช'!I449+'นราธิวาส'!I449+'ปัตตานี'!I449+'พังงา'!I449+'พัทลุง'!I449+'ภูเก็ต'!I449+'ยะลา'!I449+'ระนอง'!I449+'สงขลา'!I449+'สตูล'!I449+'สุราษฎร์ธานี'!I449</f>
        <v>235</v>
      </c>
      <c r="J449" s="235">
        <f>'กระบี่'!J449+'ชุมพร'!J449+'ตรัง'!J449+'นครศรีธรรมราช'!J449+'นราธิวาส'!J449+'ปัตตานี'!J449+'พังงา'!J449+'พัทลุง'!J449+'ภูเก็ต'!J449+'ยะลา'!J449+'ระนอง'!J449+'สงขลา'!J449+'สตูล'!J449+'สุราษฎร์ธานี'!J449</f>
        <v>140</v>
      </c>
      <c r="K449" s="196">
        <f t="shared" ref="K449:K452" si="82">IF(I449&gt;0,J449*100/I449,0)</f>
        <v>59.57446809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'กระบี่'!I450+'ชุมพร'!I450+'ตรัง'!I450+'นครศรีธรรมราช'!I450+'นราธิวาส'!I450+'ปัตตานี'!I450+'พังงา'!I450+'พัทลุง'!I450+'ภูเก็ต'!I450+'ยะลา'!I450+'ระนอง'!I450+'สงขลา'!I450+'สตูล'!I450+'สุราษฎร์ธานี'!I450</f>
        <v>195</v>
      </c>
      <c r="J450" s="223">
        <f>'กระบี่'!J450+'ชุมพร'!J450+'ตรัง'!J450+'นครศรีธรรมราช'!J450+'นราธิวาส'!J450+'ปัตตานี'!J450+'พังงา'!J450+'พัทลุง'!J450+'ภูเก็ต'!J450+'ยะลา'!J450+'ระนอง'!J450+'สงขลา'!J450+'สตูล'!J450+'สุราษฎร์ธานี'!J450</f>
        <v>140</v>
      </c>
      <c r="K450" s="196">
        <f t="shared" si="82"/>
        <v>71.79487179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'กระบี่'!I451+'ชุมพร'!I451+'ตรัง'!I451+'นครศรีธรรมราช'!I451+'นราธิวาส'!I451+'ปัตตานี'!I451+'พังงา'!I451+'พัทลุง'!I451+'ภูเก็ต'!I451+'ยะลา'!I451+'ระนอง'!I451+'สงขลา'!I451+'สตูล'!I451+'สุราษฎร์ธานี'!I451</f>
        <v>40</v>
      </c>
      <c r="J451" s="222">
        <f>'กระบี่'!J451+'ชุมพร'!J451+'ตรัง'!J451+'นครศรีธรรมราช'!J451+'นราธิวาส'!J451+'ปัตตานี'!J451+'พังงา'!J451+'พัทลุง'!J451+'ภูเก็ต'!J451+'ยะลา'!J451+'ระนอง'!J451+'สงขลา'!J451+'สตูล'!J451+'สุราษฎร์ธานี'!J451</f>
        <v>0</v>
      </c>
      <c r="K451" s="196">
        <f t="shared" si="82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'กระบี่'!I452+'ชุมพร'!I452+'ตรัง'!I452+'นครศรีธรรมราช'!I452+'นราธิวาส'!I452+'ปัตตานี'!I452+'พังงา'!I452+'พัทลุง'!I452+'ภูเก็ต'!I452+'ยะลา'!I452+'ระนอง'!I452+'สงขลา'!I452+'สตูล'!I452+'สุราษฎร์ธานี'!I452</f>
        <v>0</v>
      </c>
      <c r="J452" s="222">
        <f>'กระบี่'!J452+'ชุมพร'!J452+'ตรัง'!J452+'นครศรีธรรมราช'!J452+'นราธิวาส'!J452+'ปัตตานี'!J452+'พังงา'!J452+'พัทลุง'!J452+'ภูเก็ต'!J452+'ยะลา'!J452+'ระนอง'!J452+'สงขลา'!J452+'สตูล'!J452+'สุราษฎร์ธานี'!J452</f>
        <v>0</v>
      </c>
      <c r="K452" s="196">
        <f t="shared" si="82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'กระบี่'!J453+'ชุมพร'!J453+'ตรัง'!J453+'นครศรีธรรมราช'!J453+'นราธิวาส'!J453+'ปัตตานี'!J453+'พังงา'!J453+'พัทลุง'!J453+'ภูเก็ต'!J453+'ยะลา'!J453+'ระนอง'!J453+'สงขลา'!J453+'สตูล'!J453+'สุราษฎร์ธานี'!J453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'กระบี่'!J454+'ชุมพร'!J454+'ตรัง'!J454+'นครศรีธรรมราช'!J454+'นราธิวาส'!J454+'ปัตตานี'!J454+'พังงา'!J454+'พัทลุง'!J454+'ภูเก็ต'!J454+'ยะลา'!J454+'ระนอง'!J454+'สงขลา'!J454+'สตูล'!J454+'สุราษฎร์ธานี'!J454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'กระบี่'!I455+'ชุมพร'!I455+'ตรัง'!I455+'นครศรีธรรมราช'!I455+'นราธิวาส'!I455+'ปัตตานี'!I455+'พังงา'!I455+'พัทลุง'!I455+'ภูเก็ต'!I455+'ยะลา'!I455+'ระนอง'!I455+'สงขลา'!I455+'สตูล'!I455+'สุราษฎร์ธานี'!I455</f>
        <v>489792</v>
      </c>
      <c r="J455" s="404">
        <f>'กระบี่'!J455+'ชุมพร'!J455+'ตรัง'!J455+'นครศรีธรรมราช'!J455+'นราธิวาส'!J455+'ปัตตานี'!J455+'พังงา'!J455+'พัทลุง'!J455+'ภูเก็ต'!J455+'ยะลา'!J455+'ระนอง'!J455+'สงขลา'!J455+'สตูล'!J455+'สุราษฎร์ธานี'!J455</f>
        <v>0</v>
      </c>
      <c r="K455" s="405">
        <f>IF(I455&gt;0,J455*100/I455,0)</f>
        <v>0</v>
      </c>
      <c r="L455" s="406">
        <f>'กระบี่'!L455+'ชุมพร'!L455+'ตรัง'!L455+'นครศรีธรรมราช'!L455+'นราธิวาส'!L455+'ปัตตานี'!L455+'พังงา'!L455+'พัทลุง'!L455+'ภูเก็ต'!L455+'ยะลา'!L455+'ระนอง'!L455+'สงขลา'!L455+'สตูล'!L455+'สุราษฎร์ธานี'!L455</f>
        <v>4025062</v>
      </c>
      <c r="M455" s="406"/>
      <c r="N455" s="406">
        <f>'กระบี่'!N455+'ชุมพร'!N455+'ตรัง'!N455+'นครศรีธรรมราช'!N455+'นราธิวาส'!N455+'ปัตตานี'!N455+'พังงา'!N455+'พัทลุง'!N455+'ภูเก็ต'!N455+'ยะลา'!N455+'ระนอง'!N455+'สงขลา'!N455+'สตูล'!N455+'สุราษฎร์ธานี'!N455</f>
        <v>320151.03</v>
      </c>
      <c r="O455" s="406">
        <f t="shared" ref="O455:O459" si="83">+IF(L455&gt;0,N455*100/L455,0)</f>
        <v>7.953940337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'กระบี่'!L456+'ชุมพร'!L456+'ตรัง'!L456+'นครศรีธรรมราช'!L456+'นราธิวาส'!L456+'ปัตตานี'!L456+'พังงา'!L456+'พัทลุง'!L456+'ภูเก็ต'!L456+'ยะลา'!L456+'ระนอง'!L456+'สงขลา'!L456+'สตูล'!L456+'สุราษฎร์ธานี'!L456</f>
        <v>0</v>
      </c>
      <c r="M456" s="197"/>
      <c r="N456" s="203">
        <f>'กระบี่'!N456+'ชุมพร'!N456+'ตรัง'!N456+'นครศรีธรรมราช'!N456+'นราธิวาส'!N456+'ปัตตานี'!N456+'พังงา'!N456+'พัทลุง'!N456+'ภูเก็ต'!N456+'ยะลา'!N456+'ระนอง'!N456+'สงขลา'!N456+'สตูล'!N456+'สุราษฎร์ธานี'!N456</f>
        <v>0</v>
      </c>
      <c r="O456" s="203">
        <f t="shared" si="83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'กระบี่'!L457+'ชุมพร'!L457+'ตรัง'!L457+'นครศรีธรรมราช'!L457+'นราธิวาส'!L457+'ปัตตานี'!L457+'พังงา'!L457+'พัทลุง'!L457+'ภูเก็ต'!L457+'ยะลา'!L457+'ระนอง'!L457+'สงขลา'!L457+'สตูล'!L457+'สุราษฎร์ธานี'!L457</f>
        <v>4025062</v>
      </c>
      <c r="M457" s="198"/>
      <c r="N457" s="203">
        <f>'กระบี่'!N457+'ชุมพร'!N457+'ตรัง'!N457+'นครศรีธรรมราช'!N457+'นราธิวาส'!N457+'ปัตตานี'!N457+'พังงา'!N457+'พัทลุง'!N457+'ภูเก็ต'!N457+'ยะลา'!N457+'ระนอง'!N457+'สงขลา'!N457+'สตูล'!N457+'สุราษฎร์ธานี'!N457</f>
        <v>320151.03</v>
      </c>
      <c r="O457" s="203">
        <f t="shared" si="83"/>
        <v>7.953940337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'กระบี่'!L458+'ชุมพร'!L458+'ตรัง'!L458+'นครศรีธรรมราช'!L458+'นราธิวาส'!L458+'ปัตตานี'!L458+'พังงา'!L458+'พัทลุง'!L458+'ภูเก็ต'!L458+'ยะลา'!L458+'ระนอง'!L458+'สงขลา'!L458+'สตูล'!L458+'สุราษฎร์ธานี'!L458</f>
        <v>0</v>
      </c>
      <c r="M458" s="203"/>
      <c r="N458" s="203">
        <f>'กระบี่'!N458+'ชุมพร'!N458+'ตรัง'!N458+'นครศรีธรรมราช'!N458+'นราธิวาส'!N458+'ปัตตานี'!N458+'พังงา'!N458+'พัทลุง'!N458+'ภูเก็ต'!N458+'ยะลา'!N458+'ระนอง'!N458+'สงขลา'!N458+'สตูล'!N458+'สุราษฎร์ธานี'!N458</f>
        <v>0</v>
      </c>
      <c r="O458" s="203">
        <f t="shared" si="83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'กระบี่'!L459+'ชุมพร'!L459+'ตรัง'!L459+'นครศรีธรรมราช'!L459+'นราธิวาส'!L459+'ปัตตานี'!L459+'พังงา'!L459+'พัทลุง'!L459+'ภูเก็ต'!L459+'ยะลา'!L459+'ระนอง'!L459+'สงขลา'!L459+'สตูล'!L459+'สุราษฎร์ธานี'!L459</f>
        <v>4025062</v>
      </c>
      <c r="M459" s="203"/>
      <c r="N459" s="203">
        <f>'กระบี่'!N459+'ชุมพร'!N459+'ตรัง'!N459+'นครศรีธรรมราช'!N459+'นราธิวาส'!N459+'ปัตตานี'!N459+'พังงา'!N459+'พัทลุง'!N459+'ภูเก็ต'!N459+'ยะลา'!N459+'ระนอง'!N459+'สงขลา'!N459+'สตูล'!N459+'สุราษฎร์ธานี'!N459</f>
        <v>320151.03</v>
      </c>
      <c r="O459" s="203">
        <f t="shared" si="83"/>
        <v>7.953940337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'กระบี่'!N460+'ชุมพร'!N460+'ตรัง'!N460+'นครศรีธรรมราช'!N460+'นราธิวาส'!N460+'ปัตตานี'!N460+'พังงา'!N460+'พัทลุง'!N460+'ภูเก็ต'!N460+'ยะลา'!N460+'ระนอง'!N460+'สงขลา'!N460+'สตูล'!N460+'สุราษฎร์ธานี'!N460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'กระบี่'!N461+'ชุมพร'!N461+'ตรัง'!N461+'นครศรีธรรมราช'!N461+'นราธิวาส'!N461+'ปัตตานี'!N461+'พังงา'!N461+'พัทลุง'!N461+'ภูเก็ต'!N461+'ยะลา'!N461+'ระนอง'!N461+'สงขลา'!N461+'สตูล'!N461+'สุราษฎร์ธานี'!N461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'กระบี่'!N462+'ชุมพร'!N462+'ตรัง'!N462+'นครศรีธรรมราช'!N462+'นราธิวาส'!N462+'ปัตตานี'!N462+'พังงา'!N462+'พัทลุง'!N462+'ภูเก็ต'!N462+'ยะลา'!N462+'ระนอง'!N462+'สงขลา'!N462+'สตูล'!N462+'สุราษฎร์ธานี'!N462</f>
        <v>140937.53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'กระบี่'!N463+'ชุมพร'!N463+'ตรัง'!N463+'นครศรีธรรมราช'!N463+'นราธิวาส'!N463+'ปัตตานี'!N463+'พังงา'!N463+'พัทลุง'!N463+'ภูเก็ต'!N463+'ยะลา'!N463+'ระนอง'!N463+'สงขลา'!N463+'สตูล'!N463+'สุราษฎร์ธานี'!N463</f>
        <v>179213.5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'กระบี่'!I464+'ชุมพร'!I464+'ตรัง'!I464+'นครศรีธรรมราช'!I464+'นราธิวาส'!I464+'ปัตตานี'!I464+'พังงา'!I464+'พัทลุง'!I464+'ภูเก็ต'!I464+'ยะลา'!I464+'ระนอง'!I464+'สงขลา'!I464+'สตูล'!I464+'สุราษฎร์ธานี'!I464</f>
        <v>489792</v>
      </c>
      <c r="J464" s="301">
        <f>'กระบี่'!J464+'ชุมพร'!J464+'ตรัง'!J464+'นครศรีธรรมราช'!J464+'นราธิวาส'!J464+'ปัตตานี'!J464+'พังงา'!J464+'พัทลุง'!J464+'ภูเก็ต'!J464+'ยะลา'!J464+'ระนอง'!J464+'สงขลา'!J464+'สตูล'!J464+'สุราษฎร์ธานี'!J464</f>
        <v>0</v>
      </c>
      <c r="K464" s="302">
        <f t="shared" ref="K464:K515" si="84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'กระบี่'!I465+'ชุมพร'!I465+'ตรัง'!I465+'นครศรีธรรมราช'!I465+'นราธิวาส'!I465+'ปัตตานี'!I465+'พังงา'!I465+'พัทลุง'!I465+'ภูเก็ต'!I465+'ยะลา'!I465+'ระนอง'!I465+'สงขลา'!I465+'สตูล'!I465+'สุราษฎร์ธานี'!I465</f>
        <v>489792</v>
      </c>
      <c r="J465" s="453">
        <f>'กระบี่'!J465+'ชุมพร'!J465+'ตรัง'!J465+'นครศรีธรรมราช'!J465+'นราธิวาส'!J465+'ปัตตานี'!J465+'พังงา'!J465+'พัทลุง'!J465+'ภูเก็ต'!J465+'ยะลา'!J465+'ระนอง'!J465+'สงขลา'!J465+'สตูล'!J465+'สุราษฎร์ธานี'!J465</f>
        <v>362951</v>
      </c>
      <c r="K465" s="236">
        <f t="shared" si="84"/>
        <v>74.10308866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'กระบี่'!I466+'ชุมพร'!I466+'ตรัง'!I466+'นครศรีธรรมราช'!I466+'นราธิวาส'!I466+'ปัตตานี'!I466+'พังงา'!I466+'พัทลุง'!I466+'ภูเก็ต'!I466+'ยะลา'!I466+'ระนอง'!I466+'สงขลา'!I466+'สตูล'!I466+'สุราษฎร์ธานี'!I466</f>
        <v>51592</v>
      </c>
      <c r="J466" s="453">
        <f>'กระบี่'!J466+'ชุมพร'!J466+'ตรัง'!J466+'นครศรีธรรมราช'!J466+'นราธิวาส'!J466+'ปัตตานี'!J466+'พังงา'!J466+'พัทลุง'!J466+'ภูเก็ต'!J466+'ยะลา'!J466+'ระนอง'!J466+'สงขลา'!J466+'สตูล'!J466+'สุราษฎร์ธานี'!J466</f>
        <v>33806</v>
      </c>
      <c r="K466" s="236">
        <f t="shared" si="84"/>
        <v>65.52566289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'กระบี่'!I467+'ชุมพร'!I467+'ตรัง'!I467+'นครศรีธรรมราช'!I467+'นราธิวาส'!I467+'ปัตตานี'!I467+'พังงา'!I467+'พัทลุง'!I467+'ภูเก็ต'!I467+'ยะลา'!I467+'ระนอง'!I467+'สงขลา'!I467+'สตูล'!I467+'สุราษฎร์ธานี'!I467</f>
        <v>0</v>
      </c>
      <c r="J467" s="223">
        <f>'กระบี่'!J467+'ชุมพร'!J467+'ตรัง'!J467+'นครศรีธรรมราช'!J467+'นราธิวาส'!J467+'ปัตตานี'!J467+'พังงา'!J467+'พัทลุง'!J467+'ภูเก็ต'!J467+'ยะลา'!J467+'ระนอง'!J467+'สงขลา'!J467+'สตูล'!J467+'สุราษฎร์ธานี'!J467</f>
        <v>317664</v>
      </c>
      <c r="K467" s="196">
        <f t="shared" si="84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'กระบี่'!I468+'ชุมพร'!I468+'ตรัง'!I468+'นครศรีธรรมราช'!I468+'นราธิวาส'!I468+'ปัตตานี'!I468+'พังงา'!I468+'พัทลุง'!I468+'ภูเก็ต'!I468+'ยะลา'!I468+'ระนอง'!I468+'สงขลา'!I468+'สตูล'!I468+'สุราษฎร์ธานี'!I468</f>
        <v>0</v>
      </c>
      <c r="J468" s="223">
        <f>'กระบี่'!J468+'ชุมพร'!J468+'ตรัง'!J468+'นครศรีธรรมราช'!J468+'นราธิวาส'!J468+'ปัตตานี'!J468+'พังงา'!J468+'พัทลุง'!J468+'ภูเก็ต'!J468+'ยะลา'!J468+'ระนอง'!J468+'สงขลา'!J468+'สตูล'!J468+'สุราษฎร์ธานี'!J468</f>
        <v>30187</v>
      </c>
      <c r="K468" s="196">
        <f t="shared" si="84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'กระบี่'!I469+'ชุมพร'!I469+'ตรัง'!I469+'นครศรีธรรมราช'!I469+'นราธิวาส'!I469+'ปัตตานี'!I469+'พังงา'!I469+'พัทลุง'!I469+'ภูเก็ต'!I469+'ยะลา'!I469+'ระนอง'!I469+'สงขลา'!I469+'สตูล'!I469+'สุราษฎร์ธานี'!I469</f>
        <v>0</v>
      </c>
      <c r="J469" s="223">
        <f>'กระบี่'!J469+'ชุมพร'!J469+'ตรัง'!J469+'นครศรีธรรมราช'!J469+'นราธิวาส'!J469+'ปัตตานี'!J469+'พังงา'!J469+'พัทลุง'!J469+'ภูเก็ต'!J469+'ยะลา'!J469+'ระนอง'!J469+'สงขลา'!J469+'สตูล'!J469+'สุราษฎร์ธานี'!J469</f>
        <v>40705</v>
      </c>
      <c r="K469" s="196">
        <f t="shared" si="84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'กระบี่'!I470+'ชุมพร'!I470+'ตรัง'!I470+'นครศรีธรรมราช'!I470+'นราธิวาส'!I470+'ปัตตานี'!I470+'พังงา'!I470+'พัทลุง'!I470+'ภูเก็ต'!I470+'ยะลา'!I470+'ระนอง'!I470+'สงขลา'!I470+'สตูล'!I470+'สุราษฎร์ธานี'!I470</f>
        <v>0</v>
      </c>
      <c r="J470" s="223">
        <f>'กระบี่'!J470+'ชุมพร'!J470+'ตรัง'!J470+'นครศรีธรรมราช'!J470+'นราธิวาส'!J470+'ปัตตานี'!J470+'พังงา'!J470+'พัทลุง'!J470+'ภูเก็ต'!J470+'ยะลา'!J470+'ระนอง'!J470+'สงขลา'!J470+'สตูล'!J470+'สุราษฎร์ธานี'!J470</f>
        <v>3215</v>
      </c>
      <c r="K470" s="196">
        <f t="shared" si="84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'กระบี่'!I471+'ชุมพร'!I471+'ตรัง'!I471+'นครศรีธรรมราช'!I471+'นราธิวาส'!I471+'ปัตตานี'!I471+'พังงา'!I471+'พัทลุง'!I471+'ภูเก็ต'!I471+'ยะลา'!I471+'ระนอง'!I471+'สงขลา'!I471+'สตูล'!I471+'สุราษฎร์ธานี'!I471</f>
        <v>0</v>
      </c>
      <c r="J471" s="223">
        <f>'กระบี่'!J471+'ชุมพร'!J471+'ตรัง'!J471+'นครศรีธรรมราช'!J471+'นราธิวาส'!J471+'ปัตตานี'!J471+'พังงา'!J471+'พัทลุง'!J471+'ภูเก็ต'!J471+'ยะลา'!J471+'ระนอง'!J471+'สงขลา'!J471+'สตูล'!J471+'สุราษฎร์ธานี'!J471</f>
        <v>4582</v>
      </c>
      <c r="K471" s="196">
        <f t="shared" si="84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'กระบี่'!I472+'ชุมพร'!I472+'ตรัง'!I472+'นครศรีธรรมราช'!I472+'นราธิวาส'!I472+'ปัตตานี'!I472+'พังงา'!I472+'พัทลุง'!I472+'ภูเก็ต'!I472+'ยะลา'!I472+'ระนอง'!I472+'สงขลา'!I472+'สตูล'!I472+'สุราษฎร์ธานี'!I472</f>
        <v>0</v>
      </c>
      <c r="J472" s="223">
        <f>'กระบี่'!J472+'ชุมพร'!J472+'ตรัง'!J472+'นครศรีธรรมราช'!J472+'นราธิวาส'!J472+'ปัตตานี'!J472+'พังงา'!J472+'พัทลุง'!J472+'ภูเก็ต'!J472+'ยะลา'!J472+'ระนอง'!J472+'สงขลา'!J472+'สตูล'!J472+'สุราษฎร์ธานี'!J472</f>
        <v>404</v>
      </c>
      <c r="K472" s="196">
        <f t="shared" si="84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'กระบี่'!I473+'ชุมพร'!I473+'ตรัง'!I473+'นครศรีธรรมราช'!I473+'นราธิวาส'!I473+'ปัตตานี'!I473+'พังงา'!I473+'พัทลุง'!I473+'ภูเก็ต'!I473+'ยะลา'!I473+'ระนอง'!I473+'สงขลา'!I473+'สตูล'!I473+'สุราษฎร์ธานี'!I473</f>
        <v>489792</v>
      </c>
      <c r="J473" s="453">
        <f>'กระบี่'!J473+'ชุมพร'!J473+'ตรัง'!J473+'นครศรีธรรมราช'!J473+'นราธิวาส'!J473+'ปัตตานี'!J473+'พังงา'!J473+'พัทลุง'!J473+'ภูเก็ต'!J473+'ยะลา'!J473+'ระนอง'!J473+'สงขลา'!J473+'สตูล'!J473+'สุราษฎร์ธานี'!J473</f>
        <v>0</v>
      </c>
      <c r="K473" s="236">
        <f t="shared" si="84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'กระบี่'!I474+'ชุมพร'!I474+'ตรัง'!I474+'นครศรีธรรมราช'!I474+'นราธิวาส'!I474+'ปัตตานี'!I474+'พังงา'!I474+'พัทลุง'!I474+'ภูเก็ต'!I474+'ยะลา'!I474+'ระนอง'!I474+'สงขลา'!I474+'สตูล'!I474+'สุราษฎร์ธานี'!I474</f>
        <v>51592</v>
      </c>
      <c r="J474" s="453">
        <f>'กระบี่'!J474+'ชุมพร'!J474+'ตรัง'!J474+'นครศรีธรรมราช'!J474+'นราธิวาส'!J474+'ปัตตานี'!J474+'พังงา'!J474+'พัทลุง'!J474+'ภูเก็ต'!J474+'ยะลา'!J474+'ระนอง'!J474+'สงขลา'!J474+'สตูล'!J474+'สุราษฎร์ธานี'!J474</f>
        <v>0</v>
      </c>
      <c r="K474" s="196">
        <f t="shared" si="84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'กระบี่'!I475+'ชุมพร'!I475+'ตรัง'!I475+'นครศรีธรรมราช'!I475+'นราธิวาส'!I475+'ปัตตานี'!I475+'พังงา'!I475+'พัทลุง'!I475+'ภูเก็ต'!I475+'ยะลา'!I475+'ระนอง'!I475+'สงขลา'!I475+'สตูล'!I475+'สุราษฎร์ธานี'!I475</f>
        <v>0</v>
      </c>
      <c r="J475" s="223">
        <f>'กระบี่'!J475+'ชุมพร'!J475+'ตรัง'!J475+'นครศรีธรรมราช'!J475+'นราธิวาส'!J475+'ปัตตานี'!J475+'พังงา'!J475+'พัทลุง'!J475+'ภูเก็ต'!J475+'ยะลา'!J475+'ระนอง'!J475+'สงขลา'!J475+'สตูล'!J475+'สุราษฎร์ธานี'!J475</f>
        <v>0</v>
      </c>
      <c r="K475" s="196">
        <f t="shared" si="84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'กระบี่'!I476+'ชุมพร'!I476+'ตรัง'!I476+'นครศรีธรรมราช'!I476+'นราธิวาส'!I476+'ปัตตานี'!I476+'พังงา'!I476+'พัทลุง'!I476+'ภูเก็ต'!I476+'ยะลา'!I476+'ระนอง'!I476+'สงขลา'!I476+'สตูล'!I476+'สุราษฎร์ธานี'!I476</f>
        <v>0</v>
      </c>
      <c r="J476" s="223">
        <f>'กระบี่'!J476+'ชุมพร'!J476+'ตรัง'!J476+'นครศรีธรรมราช'!J476+'นราธิวาส'!J476+'ปัตตานี'!J476+'พังงา'!J476+'พัทลุง'!J476+'ภูเก็ต'!J476+'ยะลา'!J476+'ระนอง'!J476+'สงขลา'!J476+'สตูล'!J476+'สุราษฎร์ธานี'!J476</f>
        <v>0</v>
      </c>
      <c r="K476" s="196">
        <f t="shared" si="84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'กระบี่'!I477+'ชุมพร'!I477+'ตรัง'!I477+'นครศรีธรรมราช'!I477+'นราธิวาส'!I477+'ปัตตานี'!I477+'พังงา'!I477+'พัทลุง'!I477+'ภูเก็ต'!I477+'ยะลา'!I477+'ระนอง'!I477+'สงขลา'!I477+'สตูล'!I477+'สุราษฎร์ธานี'!I477</f>
        <v>0</v>
      </c>
      <c r="J477" s="223">
        <f>'กระบี่'!J477+'ชุมพร'!J477+'ตรัง'!J477+'นครศรีธรรมราช'!J477+'นราธิวาส'!J477+'ปัตตานี'!J477+'พังงา'!J477+'พัทลุง'!J477+'ภูเก็ต'!J477+'ยะลา'!J477+'ระนอง'!J477+'สงขลา'!J477+'สตูล'!J477+'สุราษฎร์ธานี'!J477</f>
        <v>0</v>
      </c>
      <c r="K477" s="196">
        <f t="shared" si="84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'กระบี่'!I478+'ชุมพร'!I478+'ตรัง'!I478+'นครศรีธรรมราช'!I478+'นราธิวาส'!I478+'ปัตตานี'!I478+'พังงา'!I478+'พัทลุง'!I478+'ภูเก็ต'!I478+'ยะลา'!I478+'ระนอง'!I478+'สงขลา'!I478+'สตูล'!I478+'สุราษฎร์ธานี'!I478</f>
        <v>0</v>
      </c>
      <c r="J478" s="223">
        <f>'กระบี่'!J478+'ชุมพร'!J478+'ตรัง'!J478+'นครศรีธรรมราช'!J478+'นราธิวาส'!J478+'ปัตตานี'!J478+'พังงา'!J478+'พัทลุง'!J478+'ภูเก็ต'!J478+'ยะลา'!J478+'ระนอง'!J478+'สงขลา'!J478+'สตูล'!J478+'สุราษฎร์ธานี'!J478</f>
        <v>0</v>
      </c>
      <c r="K478" s="196">
        <f t="shared" si="84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'กระบี่'!I479+'ชุมพร'!I479+'ตรัง'!I479+'นครศรีธรรมราช'!I479+'นราธิวาส'!I479+'ปัตตานี'!I479+'พังงา'!I479+'พัทลุง'!I479+'ภูเก็ต'!I479+'ยะลา'!I479+'ระนอง'!I479+'สงขลา'!I479+'สตูล'!I479+'สุราษฎร์ธานี'!I479</f>
        <v>0</v>
      </c>
      <c r="J479" s="223">
        <f>'กระบี่'!J479+'ชุมพร'!J479+'ตรัง'!J479+'นครศรีธรรมราช'!J479+'นราธิวาส'!J479+'ปัตตานี'!J479+'พังงา'!J479+'พัทลุง'!J479+'ภูเก็ต'!J479+'ยะลา'!J479+'ระนอง'!J479+'สงขลา'!J479+'สตูล'!J479+'สุราษฎร์ธานี'!J479</f>
        <v>0</v>
      </c>
      <c r="K479" s="196">
        <f t="shared" si="84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'กระบี่'!I480+'ชุมพร'!I480+'ตรัง'!I480+'นครศรีธรรมราช'!I480+'นราธิวาส'!I480+'ปัตตานี'!I480+'พังงา'!I480+'พัทลุง'!I480+'ภูเก็ต'!I480+'ยะลา'!I480+'ระนอง'!I480+'สงขลา'!I480+'สตูล'!I480+'สุราษฎร์ธานี'!I480</f>
        <v>0</v>
      </c>
      <c r="J480" s="223">
        <f>'กระบี่'!J480+'ชุมพร'!J480+'ตรัง'!J480+'นครศรีธรรมราช'!J480+'นราธิวาส'!J480+'ปัตตานี'!J480+'พังงา'!J480+'พัทลุง'!J480+'ภูเก็ต'!J480+'ยะลา'!J480+'ระนอง'!J480+'สงขลา'!J480+'สตูล'!J480+'สุราษฎร์ธานี'!J480</f>
        <v>0</v>
      </c>
      <c r="K480" s="196">
        <f t="shared" si="84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'กระบี่'!I481+'ชุมพร'!I481+'ตรัง'!I481+'นครศรีธรรมราช'!I481+'นราธิวาส'!I481+'ปัตตานี'!I481+'พังงา'!I481+'พัทลุง'!I481+'ภูเก็ต'!I481+'ยะลา'!I481+'ระนอง'!I481+'สงขลา'!I481+'สตูล'!I481+'สุราษฎร์ธานี'!I481</f>
        <v>489792</v>
      </c>
      <c r="J481" s="453">
        <f>'กระบี่'!J481+'ชุมพร'!J481+'ตรัง'!J481+'นครศรีธรรมราช'!J481+'นราธิวาส'!J481+'ปัตตานี'!J481+'พังงา'!J481+'พัทลุง'!J481+'ภูเก็ต'!J481+'ยะลา'!J481+'ระนอง'!J481+'สงขลา'!J481+'สตูล'!J481+'สุราษฎร์ธานี'!J481</f>
        <v>0</v>
      </c>
      <c r="K481" s="236">
        <f t="shared" si="84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'กระบี่'!I482+'ชุมพร'!I482+'ตรัง'!I482+'นครศรีธรรมราช'!I482+'นราธิวาส'!I482+'ปัตตานี'!I482+'พังงา'!I482+'พัทลุง'!I482+'ภูเก็ต'!I482+'ยะลา'!I482+'ระนอง'!I482+'สงขลา'!I482+'สตูล'!I482+'สุราษฎร์ธานี'!I482</f>
        <v>51592</v>
      </c>
      <c r="J482" s="453">
        <f>'กระบี่'!J482+'ชุมพร'!J482+'ตรัง'!J482+'นครศรีธรรมราช'!J482+'นราธิวาส'!J482+'ปัตตานี'!J482+'พังงา'!J482+'พัทลุง'!J482+'ภูเก็ต'!J482+'ยะลา'!J482+'ระนอง'!J482+'สงขลา'!J482+'สตูล'!J482+'สุราษฎร์ธานี'!J482</f>
        <v>0</v>
      </c>
      <c r="K482" s="196">
        <f t="shared" si="84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'กระบี่'!I483+'ชุมพร'!I483+'ตรัง'!I483+'นครศรีธรรมราช'!I483+'นราธิวาส'!I483+'ปัตตานี'!I483+'พังงา'!I483+'พัทลุง'!I483+'ภูเก็ต'!I483+'ยะลา'!I483+'ระนอง'!I483+'สงขลา'!I483+'สตูล'!I483+'สุราษฎร์ธานี'!I483</f>
        <v>0</v>
      </c>
      <c r="J483" s="223">
        <f>'กระบี่'!J483+'ชุมพร'!J483+'ตรัง'!J483+'นครศรีธรรมราช'!J483+'นราธิวาส'!J483+'ปัตตานี'!J483+'พังงา'!J483+'พัทลุง'!J483+'ภูเก็ต'!J483+'ยะลา'!J483+'ระนอง'!J483+'สงขลา'!J483+'สตูล'!J483+'สุราษฎร์ธานี'!J483</f>
        <v>0</v>
      </c>
      <c r="K483" s="196">
        <f t="shared" si="84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'กระบี่'!I484+'ชุมพร'!I484+'ตรัง'!I484+'นครศรีธรรมราช'!I484+'นราธิวาส'!I484+'ปัตตานี'!I484+'พังงา'!I484+'พัทลุง'!I484+'ภูเก็ต'!I484+'ยะลา'!I484+'ระนอง'!I484+'สงขลา'!I484+'สตูล'!I484+'สุราษฎร์ธานี'!I484</f>
        <v>0</v>
      </c>
      <c r="J484" s="223">
        <f>'กระบี่'!J484+'ชุมพร'!J484+'ตรัง'!J484+'นครศรีธรรมราช'!J484+'นราธิวาส'!J484+'ปัตตานี'!J484+'พังงา'!J484+'พัทลุง'!J484+'ภูเก็ต'!J484+'ยะลา'!J484+'ระนอง'!J484+'สงขลา'!J484+'สตูล'!J484+'สุราษฎร์ธานี'!J484</f>
        <v>0</v>
      </c>
      <c r="K484" s="196">
        <f t="shared" si="84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'กระบี่'!I485+'ชุมพร'!I485+'ตรัง'!I485+'นครศรีธรรมราช'!I485+'นราธิวาส'!I485+'ปัตตานี'!I485+'พังงา'!I485+'พัทลุง'!I485+'ภูเก็ต'!I485+'ยะลา'!I485+'ระนอง'!I485+'สงขลา'!I485+'สตูล'!I485+'สุราษฎร์ธานี'!I485</f>
        <v>0</v>
      </c>
      <c r="J485" s="223">
        <f>'กระบี่'!J485+'ชุมพร'!J485+'ตรัง'!J485+'นครศรีธรรมราช'!J485+'นราธิวาส'!J485+'ปัตตานี'!J485+'พังงา'!J485+'พัทลุง'!J485+'ภูเก็ต'!J485+'ยะลา'!J485+'ระนอง'!J485+'สงขลา'!J485+'สตูล'!J485+'สุราษฎร์ธานี'!J485</f>
        <v>0</v>
      </c>
      <c r="K485" s="196">
        <f t="shared" si="84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'กระบี่'!I486+'ชุมพร'!I486+'ตรัง'!I486+'นครศรีธรรมราช'!I486+'นราธิวาส'!I486+'ปัตตานี'!I486+'พังงา'!I486+'พัทลุง'!I486+'ภูเก็ต'!I486+'ยะลา'!I486+'ระนอง'!I486+'สงขลา'!I486+'สตูล'!I486+'สุราษฎร์ธานี'!I486</f>
        <v>0</v>
      </c>
      <c r="J486" s="223">
        <f>'กระบี่'!J486+'ชุมพร'!J486+'ตรัง'!J486+'นครศรีธรรมราช'!J486+'นราธิวาส'!J486+'ปัตตานี'!J486+'พังงา'!J486+'พัทลุง'!J486+'ภูเก็ต'!J486+'ยะลา'!J486+'ระนอง'!J486+'สงขลา'!J486+'สตูล'!J486+'สุราษฎร์ธานี'!J486</f>
        <v>0</v>
      </c>
      <c r="K486" s="196">
        <f t="shared" si="84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'กระบี่'!I487+'ชุมพร'!I487+'ตรัง'!I487+'นครศรีธรรมราช'!I487+'นราธิวาส'!I487+'ปัตตานี'!I487+'พังงา'!I487+'พัทลุง'!I487+'ภูเก็ต'!I487+'ยะลา'!I487+'ระนอง'!I487+'สงขลา'!I487+'สตูล'!I487+'สุราษฎร์ธานี'!I487</f>
        <v>0</v>
      </c>
      <c r="J487" s="453">
        <f>'กระบี่'!J487+'ชุมพร'!J487+'ตรัง'!J487+'นครศรีธรรมราช'!J487+'นราธิวาส'!J487+'ปัตตานี'!J487+'พังงา'!J487+'พัทลุง'!J487+'ภูเก็ต'!J487+'ยะลา'!J487+'ระนอง'!J487+'สงขลา'!J487+'สตูล'!J487+'สุราษฎร์ธานี'!J487</f>
        <v>0</v>
      </c>
      <c r="K487" s="196">
        <f t="shared" si="84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'กระบี่'!I488+'ชุมพร'!I488+'ตรัง'!I488+'นครศรีธรรมราช'!I488+'นราธิวาส'!I488+'ปัตตานี'!I488+'พังงา'!I488+'พัทลุง'!I488+'ภูเก็ต'!I488+'ยะลา'!I488+'ระนอง'!I488+'สงขลา'!I488+'สตูล'!I488+'สุราษฎร์ธานี'!I488</f>
        <v>0</v>
      </c>
      <c r="J488" s="453">
        <f>'กระบี่'!J488+'ชุมพร'!J488+'ตรัง'!J488+'นครศรีธรรมราช'!J488+'นราธิวาส'!J488+'ปัตตานี'!J488+'พังงา'!J488+'พัทลุง'!J488+'ภูเก็ต'!J488+'ยะลา'!J488+'ระนอง'!J488+'สงขลา'!J488+'สตูล'!J488+'สุราษฎร์ธานี'!J488</f>
        <v>0</v>
      </c>
      <c r="K488" s="196">
        <f t="shared" si="84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'กระบี่'!I489+'ชุมพร'!I489+'ตรัง'!I489+'นครศรีธรรมราช'!I489+'นราธิวาส'!I489+'ปัตตานี'!I489+'พังงา'!I489+'พัทลุง'!I489+'ภูเก็ต'!I489+'ยะลา'!I489+'ระนอง'!I489+'สงขลา'!I489+'สตูล'!I489+'สุราษฎร์ธานี'!I489</f>
        <v>0</v>
      </c>
      <c r="J489" s="223">
        <f>'กระบี่'!J489+'ชุมพร'!J489+'ตรัง'!J489+'นครศรีธรรมราช'!J489+'นราธิวาส'!J489+'ปัตตานี'!J489+'พังงา'!J489+'พัทลุง'!J489+'ภูเก็ต'!J489+'ยะลา'!J489+'ระนอง'!J489+'สงขลา'!J489+'สตูล'!J489+'สุราษฎร์ธานี'!J489</f>
        <v>0</v>
      </c>
      <c r="K489" s="196">
        <f t="shared" si="84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'กระบี่'!I490+'ชุมพร'!I490+'ตรัง'!I490+'นครศรีธรรมราช'!I490+'นราธิวาส'!I490+'ปัตตานี'!I490+'พังงา'!I490+'พัทลุง'!I490+'ภูเก็ต'!I490+'ยะลา'!I490+'ระนอง'!I490+'สงขลา'!I490+'สตูล'!I490+'สุราษฎร์ธานี'!I490</f>
        <v>0</v>
      </c>
      <c r="J490" s="223">
        <f>'กระบี่'!J490+'ชุมพร'!J490+'ตรัง'!J490+'นครศรีธรรมราช'!J490+'นราธิวาส'!J490+'ปัตตานี'!J490+'พังงา'!J490+'พัทลุง'!J490+'ภูเก็ต'!J490+'ยะลา'!J490+'ระนอง'!J490+'สงขลา'!J490+'สตูล'!J490+'สุราษฎร์ธานี'!J490</f>
        <v>0</v>
      </c>
      <c r="K490" s="196">
        <f t="shared" si="84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'กระบี่'!I491+'ชุมพร'!I491+'ตรัง'!I491+'นครศรีธรรมราช'!I491+'นราธิวาส'!I491+'ปัตตานี'!I491+'พังงา'!I491+'พัทลุง'!I491+'ภูเก็ต'!I491+'ยะลา'!I491+'ระนอง'!I491+'สงขลา'!I491+'สตูล'!I491+'สุราษฎร์ธานี'!I491</f>
        <v>0</v>
      </c>
      <c r="J491" s="223">
        <f>'กระบี่'!J491+'ชุมพร'!J491+'ตรัง'!J491+'นครศรีธรรมราช'!J491+'นราธิวาส'!J491+'ปัตตานี'!J491+'พังงา'!J491+'พัทลุง'!J491+'ภูเก็ต'!J491+'ยะลา'!J491+'ระนอง'!J491+'สงขลา'!J491+'สตูล'!J491+'สุราษฎร์ธานี'!J491</f>
        <v>0</v>
      </c>
      <c r="K491" s="196">
        <f t="shared" si="84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'กระบี่'!I492+'ชุมพร'!I492+'ตรัง'!I492+'นครศรีธรรมราช'!I492+'นราธิวาส'!I492+'ปัตตานี'!I492+'พังงา'!I492+'พัทลุง'!I492+'ภูเก็ต'!I492+'ยะลา'!I492+'ระนอง'!I492+'สงขลา'!I492+'สตูล'!I492+'สุราษฎร์ธานี'!I492</f>
        <v>0</v>
      </c>
      <c r="J492" s="223">
        <f>'กระบี่'!J492+'ชุมพร'!J492+'ตรัง'!J492+'นครศรีธรรมราช'!J492+'นราธิวาส'!J492+'ปัตตานี'!J492+'พังงา'!J492+'พัทลุง'!J492+'ภูเก็ต'!J492+'ยะลา'!J492+'ระนอง'!J492+'สงขลา'!J492+'สตูล'!J492+'สุราษฎร์ธานี'!J492</f>
        <v>0</v>
      </c>
      <c r="K492" s="196">
        <f t="shared" si="84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'กระบี่'!I493+'ชุมพร'!I493+'ตรัง'!I493+'นครศรีธรรมราช'!I493+'นราธิวาส'!I493+'ปัตตานี'!I493+'พังงา'!I493+'พัทลุง'!I493+'ภูเก็ต'!I493+'ยะลา'!I493+'ระนอง'!I493+'สงขลา'!I493+'สตูล'!I493+'สุราษฎร์ธานี'!I493</f>
        <v>0</v>
      </c>
      <c r="J493" s="223">
        <f>'กระบี่'!J493+'ชุมพร'!J493+'ตรัง'!J493+'นครศรีธรรมราช'!J493+'นราธิวาส'!J493+'ปัตตานี'!J493+'พังงา'!J493+'พัทลุง'!J493+'ภูเก็ต'!J493+'ยะลา'!J493+'ระนอง'!J493+'สงขลา'!J493+'สตูล'!J493+'สุราษฎร์ธานี'!J493</f>
        <v>0</v>
      </c>
      <c r="K493" s="196">
        <f t="shared" si="84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'กระบี่'!I494+'ชุมพร'!I494+'ตรัง'!I494+'นครศรีธรรมราช'!I494+'นราธิวาส'!I494+'ปัตตานี'!I494+'พังงา'!I494+'พัทลุง'!I494+'ภูเก็ต'!I494+'ยะลา'!I494+'ระนอง'!I494+'สงขลา'!I494+'สตูล'!I494+'สุราษฎร์ธานี'!I494</f>
        <v>0</v>
      </c>
      <c r="J494" s="469">
        <f>'กระบี่'!J494+'ชุมพร'!J494+'ตรัง'!J494+'นครศรีธรรมราช'!J494+'นราธิวาส'!J494+'ปัตตานี'!J494+'พังงา'!J494+'พัทลุง'!J494+'ภูเก็ต'!J494+'ยะลา'!J494+'ระนอง'!J494+'สงขลา'!J494+'สตูล'!J494+'สุราษฎร์ธานี'!J494</f>
        <v>0</v>
      </c>
      <c r="K494" s="321">
        <f t="shared" si="84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'กระบี่'!I495+'ชุมพร'!I495+'ตรัง'!I495+'นครศรีธรรมราช'!I495+'นราธิวาส'!I495+'ปัตตานี'!I495+'พังงา'!I495+'พัทลุง'!I495+'ภูเก็ต'!I495+'ยะลา'!I495+'ระนอง'!I495+'สงขลา'!I495+'สตูล'!I495+'สุราษฎร์ธานี'!I495</f>
        <v>0</v>
      </c>
      <c r="J495" s="469">
        <f>'กระบี่'!J495+'ชุมพร'!J495+'ตรัง'!J495+'นครศรีธรรมราช'!J495+'นราธิวาส'!J495+'ปัตตานี'!J495+'พังงา'!J495+'พัทลุง'!J495+'ภูเก็ต'!J495+'ยะลา'!J495+'ระนอง'!J495+'สงขลา'!J495+'สตูล'!J495+'สุราษฎร์ธานี'!J495</f>
        <v>0</v>
      </c>
      <c r="K495" s="196">
        <f t="shared" si="84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'กระบี่'!I496+'ชุมพร'!I496+'ตรัง'!I496+'นครศรีธรรมราช'!I496+'นราธิวาส'!I496+'ปัตตานี'!I496+'พังงา'!I496+'พัทลุง'!I496+'ภูเก็ต'!I496+'ยะลา'!I496+'ระนอง'!I496+'สงขลา'!I496+'สตูล'!I496+'สุราษฎร์ธานี'!I496</f>
        <v>0</v>
      </c>
      <c r="J496" s="469">
        <f>'กระบี่'!J496+'ชุมพร'!J496+'ตรัง'!J496+'นครศรีธรรมราช'!J496+'นราธิวาส'!J496+'ปัตตานี'!J496+'พังงา'!J496+'พัทลุง'!J496+'ภูเก็ต'!J496+'ยะลา'!J496+'ระนอง'!J496+'สงขลา'!J496+'สตูล'!J496+'สุราษฎร์ธานี'!J496</f>
        <v>0</v>
      </c>
      <c r="K496" s="321">
        <f t="shared" si="84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'กระบี่'!I497+'ชุมพร'!I497+'ตรัง'!I497+'นครศรีธรรมราช'!I497+'นราธิวาส'!I497+'ปัตตานี'!I497+'พังงา'!I497+'พัทลุง'!I497+'ภูเก็ต'!I497+'ยะลา'!I497+'ระนอง'!I497+'สงขลา'!I497+'สตูล'!I497+'สุราษฎร์ธานี'!I497</f>
        <v>8558</v>
      </c>
      <c r="J497" s="476">
        <f>'กระบี่'!J497+'ชุมพร'!J497+'ตรัง'!J497+'นครศรีธรรมราช'!J497+'นราธิวาส'!J497+'ปัตตานี'!J497+'พังงา'!J497+'พัทลุง'!J497+'ภูเก็ต'!J497+'ยะลา'!J497+'ระนอง'!J497+'สงขลา'!J497+'สตูล'!J497+'สุราษฎร์ธานี'!J497</f>
        <v>174</v>
      </c>
      <c r="K497" s="477">
        <f t="shared" si="84"/>
        <v>2.033185324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'กระบี่'!I498+'ชุมพร'!I498+'ตรัง'!I498+'นครศรีธรรมราช'!I498+'นราธิวาส'!I498+'ปัตตานี'!I498+'พังงา'!I498+'พัทลุง'!I498+'ภูเก็ต'!I498+'ยะลา'!I498+'ระนอง'!I498+'สงขลา'!I498+'สตูล'!I498+'สุราษฎร์ธานี'!I498</f>
        <v>8558</v>
      </c>
      <c r="J498" s="453">
        <f>'กระบี่'!J498+'ชุมพร'!J498+'ตรัง'!J498+'นครศรีธรรมราช'!J498+'นราธิวาส'!J498+'ปัตตานี'!J498+'พังงา'!J498+'พัทลุง'!J498+'ภูเก็ต'!J498+'ยะลา'!J498+'ระนอง'!J498+'สงขลา'!J498+'สตูล'!J498+'สุราษฎร์ธานี'!J498</f>
        <v>174</v>
      </c>
      <c r="K498" s="196">
        <f t="shared" si="84"/>
        <v>2.033185324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'กระบี่'!I499+'ชุมพร'!I499+'ตรัง'!I499+'นครศรีธรรมราช'!I499+'นราธิวาส'!I499+'ปัตตานี'!I499+'พังงา'!I499+'พัทลุง'!I499+'ภูเก็ต'!I499+'ยะลา'!I499+'ระนอง'!I499+'สงขลา'!I499+'สตูล'!I499+'สุราษฎร์ธานี'!I499</f>
        <v>867</v>
      </c>
      <c r="J499" s="453">
        <f>'กระบี่'!J499+'ชุมพร'!J499+'ตรัง'!J499+'นครศรีธรรมราช'!J499+'นราธิวาส'!J499+'ปัตตานี'!J499+'พังงา'!J499+'พัทลุง'!J499+'ภูเก็ต'!J499+'ยะลา'!J499+'ระนอง'!J499+'สงขลา'!J499+'สตูล'!J499+'สุราษฎร์ธานี'!J499</f>
        <v>16</v>
      </c>
      <c r="K499" s="236">
        <f t="shared" si="84"/>
        <v>1.84544406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'กระบี่'!I500+'ชุมพร'!I500+'ตรัง'!I500+'นครศรีธรรมราช'!I500+'นราธิวาส'!I500+'ปัตตานี'!I500+'พังงา'!I500+'พัทลุง'!I500+'ภูเก็ต'!I500+'ยะลา'!I500+'ระนอง'!I500+'สงขลา'!I500+'สตูล'!I500+'สุราษฎร์ธานี'!I500</f>
        <v>0</v>
      </c>
      <c r="J500" s="195">
        <f>'กระบี่'!J500+'ชุมพร'!J500+'ตรัง'!J500+'นครศรีธรรมราช'!J500+'นราธิวาส'!J500+'ปัตตานี'!J500+'พังงา'!J500+'พัทลุง'!J500+'ภูเก็ต'!J500+'ยะลา'!J500+'ระนอง'!J500+'สงขลา'!J500+'สตูล'!J500+'สุราษฎร์ธานี'!J500</f>
        <v>156</v>
      </c>
      <c r="K500" s="196">
        <f t="shared" si="84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'กระบี่'!I501+'ชุมพร'!I501+'ตรัง'!I501+'นครศรีธรรมราช'!I501+'นราธิวาส'!I501+'ปัตตานี'!I501+'พังงา'!I501+'พัทลุง'!I501+'ภูเก็ต'!I501+'ยะลา'!I501+'ระนอง'!I501+'สงขลา'!I501+'สตูล'!I501+'สุราษฎร์ธานี'!I501</f>
        <v>0</v>
      </c>
      <c r="J501" s="195">
        <f>'กระบี่'!J501+'ชุมพร'!J501+'ตรัง'!J501+'นครศรีธรรมราช'!J501+'นราธิวาส'!J501+'ปัตตานี'!J501+'พังงา'!J501+'พัทลุง'!J501+'ภูเก็ต'!J501+'ยะลา'!J501+'ระนอง'!J501+'สงขลา'!J501+'สตูล'!J501+'สุราษฎร์ธานี'!J501</f>
        <v>13</v>
      </c>
      <c r="K501" s="196">
        <f t="shared" si="84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'กระบี่'!I502+'ชุมพร'!I502+'ตรัง'!I502+'นครศรีธรรมราช'!I502+'นราธิวาส'!I502+'ปัตตานี'!I502+'พังงา'!I502+'พัทลุง'!I502+'ภูเก็ต'!I502+'ยะลา'!I502+'ระนอง'!I502+'สงขลา'!I502+'สตูล'!I502+'สุราษฎร์ธานี'!I502</f>
        <v>0</v>
      </c>
      <c r="J502" s="223">
        <f>'กระบี่'!J502+'ชุมพร'!J502+'ตรัง'!J502+'นครศรีธรรมราช'!J502+'นราธิวาส'!J502+'ปัตตานี'!J502+'พังงา'!J502+'พัทลุง'!J502+'ภูเก็ต'!J502+'ยะลา'!J502+'ระนอง'!J502+'สงขลา'!J502+'สตูล'!J502+'สุราษฎร์ธานี'!J502</f>
        <v>156</v>
      </c>
      <c r="K502" s="196">
        <f t="shared" si="84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'กระบี่'!I503+'ชุมพร'!I503+'ตรัง'!I503+'นครศรีธรรมราช'!I503+'นราธิวาส'!I503+'ปัตตานี'!I503+'พังงา'!I503+'พัทลุง'!I503+'ภูเก็ต'!I503+'ยะลา'!I503+'ระนอง'!I503+'สงขลา'!I503+'สตูล'!I503+'สุราษฎร์ธานี'!I503</f>
        <v>0</v>
      </c>
      <c r="J503" s="232">
        <f>'กระบี่'!J503+'ชุมพร'!J503+'ตรัง'!J503+'นครศรีธรรมราช'!J503+'นราธิวาส'!J503+'ปัตตานี'!J503+'พังงา'!J503+'พัทลุง'!J503+'ภูเก็ต'!J503+'ยะลา'!J503+'ระนอง'!J503+'สงขลา'!J503+'สตูล'!J503+'สุราษฎร์ธานี'!J503</f>
        <v>13</v>
      </c>
      <c r="K503" s="196">
        <f t="shared" si="84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'กระบี่'!I504+'ชุมพร'!I504+'ตรัง'!I504+'นครศรีธรรมราช'!I504+'นราธิวาส'!I504+'ปัตตานี'!I504+'พังงา'!I504+'พัทลุง'!I504+'ภูเก็ต'!I504+'ยะลา'!I504+'ระนอง'!I504+'สงขลา'!I504+'สตูล'!I504+'สุราษฎร์ธานี'!I504</f>
        <v>0</v>
      </c>
      <c r="J504" s="223">
        <f>'กระบี่'!J504+'ชุมพร'!J504+'ตรัง'!J504+'นครศรีธรรมราช'!J504+'นราธิวาส'!J504+'ปัตตานี'!J504+'พังงา'!J504+'พัทลุง'!J504+'ภูเก็ต'!J504+'ยะลา'!J504+'ระนอง'!J504+'สงขลา'!J504+'สตูล'!J504+'สุราษฎร์ธานี'!J504</f>
        <v>0</v>
      </c>
      <c r="K504" s="196">
        <f t="shared" si="84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'กระบี่'!I505+'ชุมพร'!I505+'ตรัง'!I505+'นครศรีธรรมราช'!I505+'นราธิวาส'!I505+'ปัตตานี'!I505+'พังงา'!I505+'พัทลุง'!I505+'ภูเก็ต'!I505+'ยะลา'!I505+'ระนอง'!I505+'สงขลา'!I505+'สตูล'!I505+'สุราษฎร์ธานี'!I505</f>
        <v>0</v>
      </c>
      <c r="J505" s="232">
        <f>'กระบี่'!J505+'ชุมพร'!J505+'ตรัง'!J505+'นครศรีธรรมราช'!J505+'นราธิวาส'!J505+'ปัตตานี'!J505+'พังงา'!J505+'พัทลุง'!J505+'ภูเก็ต'!J505+'ยะลา'!J505+'ระนอง'!J505+'สงขลา'!J505+'สตูล'!J505+'สุราษฎร์ธานี'!J505</f>
        <v>0</v>
      </c>
      <c r="K505" s="196">
        <f t="shared" si="84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'กระบี่'!I506+'ชุมพร'!I506+'ตรัง'!I506+'นครศรีธรรมราช'!I506+'นราธิวาส'!I506+'ปัตตานี'!I506+'พังงา'!I506+'พัทลุง'!I506+'ภูเก็ต'!I506+'ยะลา'!I506+'ระนอง'!I506+'สงขลา'!I506+'สตูล'!I506+'สุราษฎร์ธานี'!I506</f>
        <v>0</v>
      </c>
      <c r="J506" s="223">
        <f>'กระบี่'!J506+'ชุมพร'!J506+'ตรัง'!J506+'นครศรีธรรมราช'!J506+'นราธิวาส'!J506+'ปัตตานี'!J506+'พังงา'!J506+'พัทลุง'!J506+'ภูเก็ต'!J506+'ยะลา'!J506+'ระนอง'!J506+'สงขลา'!J506+'สตูล'!J506+'สุราษฎร์ธานี'!J506</f>
        <v>0</v>
      </c>
      <c r="K506" s="196">
        <f t="shared" si="84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'กระบี่'!I507+'ชุมพร'!I507+'ตรัง'!I507+'นครศรีธรรมราช'!I507+'นราธิวาส'!I507+'ปัตตานี'!I507+'พังงา'!I507+'พัทลุง'!I507+'ภูเก็ต'!I507+'ยะลา'!I507+'ระนอง'!I507+'สงขลา'!I507+'สตูล'!I507+'สุราษฎร์ธานี'!I507</f>
        <v>0</v>
      </c>
      <c r="J507" s="232">
        <f>'กระบี่'!J507+'ชุมพร'!J507+'ตรัง'!J507+'นครศรีธรรมราช'!J507+'นราธิวาส'!J507+'ปัตตานี'!J507+'พังงา'!J507+'พัทลุง'!J507+'ภูเก็ต'!J507+'ยะลา'!J507+'ระนอง'!J507+'สงขลา'!J507+'สตูล'!J507+'สุราษฎร์ธานี'!J507</f>
        <v>0</v>
      </c>
      <c r="K507" s="196">
        <f t="shared" si="84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'กระบี่'!I508+'ชุมพร'!I508+'ตรัง'!I508+'นครศรีธรรมราช'!I508+'นราธิวาส'!I508+'ปัตตานี'!I508+'พังงา'!I508+'พัทลุง'!I508+'ภูเก็ต'!I508+'ยะลา'!I508+'ระนอง'!I508+'สงขลา'!I508+'สตูล'!I508+'สุราษฎร์ธานี'!I508</f>
        <v>0</v>
      </c>
      <c r="J508" s="195">
        <f>'กระบี่'!J508+'ชุมพร'!J508+'ตรัง'!J508+'นครศรีธรรมราช'!J508+'นราธิวาส'!J508+'ปัตตานี'!J508+'พังงา'!J508+'พัทลุง'!J508+'ภูเก็ต'!J508+'ยะลา'!J508+'ระนอง'!J508+'สงขลา'!J508+'สตูล'!J508+'สุราษฎร์ธานี'!J508</f>
        <v>18</v>
      </c>
      <c r="K508" s="196">
        <f t="shared" si="84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'กระบี่'!I509+'ชุมพร'!I509+'ตรัง'!I509+'นครศรีธรรมราช'!I509+'นราธิวาส'!I509+'ปัตตานี'!I509+'พังงา'!I509+'พัทลุง'!I509+'ภูเก็ต'!I509+'ยะลา'!I509+'ระนอง'!I509+'สงขลา'!I509+'สตูล'!I509+'สุราษฎร์ธานี'!I509</f>
        <v>0</v>
      </c>
      <c r="J509" s="195">
        <f>'กระบี่'!J509+'ชุมพร'!J509+'ตรัง'!J509+'นครศรีธรรมราช'!J509+'นราธิวาส'!J509+'ปัตตานี'!J509+'พังงา'!J509+'พัทลุง'!J509+'ภูเก็ต'!J509+'ยะลา'!J509+'ระนอง'!J509+'สงขลา'!J509+'สตูล'!J509+'สุราษฎร์ธานี'!J509</f>
        <v>3</v>
      </c>
      <c r="K509" s="196">
        <f t="shared" si="84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'กระบี่'!I510+'ชุมพร'!I510+'ตรัง'!I510+'นครศรีธรรมราช'!I510+'นราธิวาส'!I510+'ปัตตานี'!I510+'พังงา'!I510+'พัทลุง'!I510+'ภูเก็ต'!I510+'ยะลา'!I510+'ระนอง'!I510+'สงขลา'!I510+'สตูล'!I510+'สุราษฎร์ธานี'!I510</f>
        <v>0</v>
      </c>
      <c r="J510" s="232">
        <f>'กระบี่'!J510+'ชุมพร'!J510+'ตรัง'!J510+'นครศรีธรรมราช'!J510+'นราธิวาส'!J510+'ปัตตานี'!J510+'พังงา'!J510+'พัทลุง'!J510+'ภูเก็ต'!J510+'ยะลา'!J510+'ระนอง'!J510+'สงขลา'!J510+'สตูล'!J510+'สุราษฎร์ธานี'!J510</f>
        <v>18</v>
      </c>
      <c r="K510" s="196">
        <f t="shared" si="84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'กระบี่'!I511+'ชุมพร'!I511+'ตรัง'!I511+'นครศรีธรรมราช'!I511+'นราธิวาส'!I511+'ปัตตานี'!I511+'พังงา'!I511+'พัทลุง'!I511+'ภูเก็ต'!I511+'ยะลา'!I511+'ระนอง'!I511+'สงขลา'!I511+'สตูล'!I511+'สุราษฎร์ธานี'!I511</f>
        <v>0</v>
      </c>
      <c r="J511" s="232">
        <f>'กระบี่'!J511+'ชุมพร'!J511+'ตรัง'!J511+'นครศรีธรรมราช'!J511+'นราธิวาส'!J511+'ปัตตานี'!J511+'พังงา'!J511+'พัทลุง'!J511+'ภูเก็ต'!J511+'ยะลา'!J511+'ระนอง'!J511+'สงขลา'!J511+'สตูล'!J511+'สุราษฎร์ธานี'!J511</f>
        <v>3</v>
      </c>
      <c r="K511" s="196">
        <f t="shared" si="84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'กระบี่'!I512+'ชุมพร'!I512+'ตรัง'!I512+'นครศรีธรรมราช'!I512+'นราธิวาส'!I512+'ปัตตานี'!I512+'พังงา'!I512+'พัทลุง'!I512+'ภูเก็ต'!I512+'ยะลา'!I512+'ระนอง'!I512+'สงขลา'!I512+'สตูล'!I512+'สุราษฎร์ธานี'!I512</f>
        <v>0</v>
      </c>
      <c r="J512" s="232">
        <f>'กระบี่'!J512+'ชุมพร'!J512+'ตรัง'!J512+'นครศรีธรรมราช'!J512+'นราธิวาส'!J512+'ปัตตานี'!J512+'พังงา'!J512+'พัทลุง'!J512+'ภูเก็ต'!J512+'ยะลา'!J512+'ระนอง'!J512+'สงขลา'!J512+'สตูล'!J512+'สุราษฎร์ธานี'!J512</f>
        <v>0</v>
      </c>
      <c r="K512" s="196">
        <f t="shared" si="84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'กระบี่'!I513+'ชุมพร'!I513+'ตรัง'!I513+'นครศรีธรรมราช'!I513+'นราธิวาส'!I513+'ปัตตานี'!I513+'พังงา'!I513+'พัทลุง'!I513+'ภูเก็ต'!I513+'ยะลา'!I513+'ระนอง'!I513+'สงขลา'!I513+'สตูล'!I513+'สุราษฎร์ธานี'!I513</f>
        <v>0</v>
      </c>
      <c r="J513" s="232">
        <f>'กระบี่'!J513+'ชุมพร'!J513+'ตรัง'!J513+'นครศรีธรรมราช'!J513+'นราธิวาส'!J513+'ปัตตานี'!J513+'พังงา'!J513+'พัทลุง'!J513+'ภูเก็ต'!J513+'ยะลา'!J513+'ระนอง'!J513+'สงขลา'!J513+'สตูล'!J513+'สุราษฎร์ธานี'!J513</f>
        <v>0</v>
      </c>
      <c r="K513" s="196">
        <f t="shared" si="84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'กระบี่'!I514+'ชุมพร'!I514+'ตรัง'!I514+'นครศรีธรรมราช'!I514+'นราธิวาส'!I514+'ปัตตานี'!I514+'พังงา'!I514+'พัทลุง'!I514+'ภูเก็ต'!I514+'ยะลา'!I514+'ระนอง'!I514+'สงขลา'!I514+'สตูล'!I514+'สุราษฎร์ธานี'!I514</f>
        <v>0</v>
      </c>
      <c r="J514" s="232">
        <f>'กระบี่'!J514+'ชุมพร'!J514+'ตรัง'!J514+'นครศรีธรรมราช'!J514+'นราธิวาส'!J514+'ปัตตานี'!J514+'พังงา'!J514+'พัทลุง'!J514+'ภูเก็ต'!J514+'ยะลา'!J514+'ระนอง'!J514+'สงขลา'!J514+'สตูล'!J514+'สุราษฎร์ธานี'!J514</f>
        <v>0</v>
      </c>
      <c r="K514" s="196">
        <f t="shared" si="84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'กระบี่'!I515+'ชุมพร'!I515+'ตรัง'!I515+'นครศรีธรรมราช'!I515+'นราธิวาส'!I515+'ปัตตานี'!I515+'พังงา'!I515+'พัทลุง'!I515+'ภูเก็ต'!I515+'ยะลา'!I515+'ระนอง'!I515+'สงขลา'!I515+'สตูล'!I515+'สุราษฎร์ธานี'!I515</f>
        <v>0</v>
      </c>
      <c r="J515" s="232">
        <f>'กระบี่'!J515+'ชุมพร'!J515+'ตรัง'!J515+'นครศรีธรรมราช'!J515+'นราธิวาส'!J515+'ปัตตานี'!J515+'พังงา'!J515+'พัทลุง'!J515+'ภูเก็ต'!J515+'ยะลา'!J515+'ระนอง'!J515+'สงขลา'!J515+'สตูล'!J515+'สุราษฎร์ธานี'!J515</f>
        <v>0</v>
      </c>
      <c r="K515" s="196">
        <f t="shared" si="84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'กระบี่'!I516+'ชุมพร'!I516+'ตรัง'!I516+'นครศรีธรรมราช'!I516+'นราธิวาส'!I516+'ปัตตานี'!I516+'พังงา'!I516+'พัทลุง'!I516+'ภูเก็ต'!I516+'ยะลา'!I516+'ระนอง'!I516+'สงขลา'!I516+'สตูล'!I516+'สุราษฎร์ธานี'!I516</f>
        <v>0</v>
      </c>
      <c r="J516" s="301">
        <f>'กระบี่'!J516+'ชุมพร'!J516+'ตรัง'!J516+'นครศรีธรรมราช'!J516+'นราธิวาส'!J516+'ปัตตานี'!J516+'พังงา'!J516+'พัทลุง'!J516+'ภูเก็ต'!J516+'ยะลา'!J516+'ระนอง'!J516+'สงขลา'!J516+'สตูล'!J516+'สุราษฎร์ธานี'!J516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'กระบี่'!I517+'ชุมพร'!I517+'ตรัง'!I517+'นครศรีธรรมราช'!I517+'นราธิวาส'!I517+'ปัตตานี'!I517+'พังงา'!I517+'พัทลุง'!I517+'ภูเก็ต'!I517+'ยะลา'!I517+'ระนอง'!I517+'สงขลา'!I517+'สตูล'!I517+'สุราษฎร์ธานี'!I517</f>
        <v>0</v>
      </c>
      <c r="J517" s="317">
        <f>'กระบี่'!J517+'ชุมพร'!J517+'ตรัง'!J517+'นครศรีธรรมราช'!J517+'นราธิวาส'!J517+'ปัตตานี'!J517+'พังงา'!J517+'พัทลุง'!J517+'ภูเก็ต'!J517+'ยะลา'!J517+'ระนอง'!J517+'สงขลา'!J517+'สตูล'!J517+'สุราษฎร์ธานี'!J517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'กระบี่'!I518+'ชุมพร'!I518+'ตรัง'!I518+'นครศรีธรรมราช'!I518+'นราธิวาส'!I518+'ปัตตานี'!I518+'พังงา'!I518+'พัทลุง'!I518+'ภูเก็ต'!I518+'ยะลา'!I518+'ระนอง'!I518+'สงขลา'!I518+'สตูล'!I518+'สุราษฎร์ธานี'!I518</f>
        <v>0</v>
      </c>
      <c r="J518" s="317">
        <f>'กระบี่'!J518+'ชุมพร'!J518+'ตรัง'!J518+'นครศรีธรรมราช'!J518+'นราธิวาส'!J518+'ปัตตานี'!J518+'พังงา'!J518+'พัทลุง'!J518+'ภูเก็ต'!J518+'ยะลา'!J518+'ระนอง'!J518+'สงขลา'!J518+'สตูล'!J518+'สุราษฎร์ธานี'!J518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'กระบี่'!I519+'ชุมพร'!I519+'ตรัง'!I519+'นครศรีธรรมราช'!I519+'นราธิวาส'!I519+'ปัตตานี'!I519+'พังงา'!I519+'พัทลุง'!I519+'ภูเก็ต'!I519+'ยะลา'!I519+'ระนอง'!I519+'สงขลา'!I519+'สตูล'!I519+'สุราษฎร์ธานี'!I519</f>
        <v>0</v>
      </c>
      <c r="J519" s="222">
        <f>'กระบี่'!J519+'ชุมพร'!J519+'ตรัง'!J519+'นครศรีธรรมราช'!J519+'นราธิวาส'!J519+'ปัตตานี'!J519+'พังงา'!J519+'พัทลุง'!J519+'ภูเก็ต'!J519+'ยะลา'!J519+'ระนอง'!J519+'สงขลา'!J519+'สตูล'!J519+'สุราษฎร์ธานี'!J519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'กระบี่'!I520+'ชุมพร'!I520+'ตรัง'!I520+'นครศรีธรรมราช'!I520+'นราธิวาส'!I520+'ปัตตานี'!I520+'พังงา'!I520+'พัทลุง'!I520+'ภูเก็ต'!I520+'ยะลา'!I520+'ระนอง'!I520+'สงขลา'!I520+'สตูล'!I520+'สุราษฎร์ธานี'!I520</f>
        <v>0</v>
      </c>
      <c r="J520" s="222">
        <f>'กระบี่'!J520+'ชุมพร'!J520+'ตรัง'!J520+'นครศรีธรรมราช'!J520+'นราธิวาส'!J520+'ปัตตานี'!J520+'พังงา'!J520+'พัทลุง'!J520+'ภูเก็ต'!J520+'ยะลา'!J520+'ระนอง'!J520+'สงขลา'!J520+'สตูล'!J520+'สุราษฎร์ธานี'!J520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'กระบี่'!I521+'ชุมพร'!I521+'ตรัง'!I521+'นครศรีธรรมราช'!I521+'นราธิวาส'!I521+'ปัตตานี'!I521+'พังงา'!I521+'พัทลุง'!I521+'ภูเก็ต'!I521+'ยะลา'!I521+'ระนอง'!I521+'สงขลา'!I521+'สตูล'!I521+'สุราษฎร์ธานี'!I521</f>
        <v>0</v>
      </c>
      <c r="J521" s="222">
        <f>'กระบี่'!J521+'ชุมพร'!J521+'ตรัง'!J521+'นครศรีธรรมราช'!J521+'นราธิวาส'!J521+'ปัตตานี'!J521+'พังงา'!J521+'พัทลุง'!J521+'ภูเก็ต'!J521+'ยะลา'!J521+'ระนอง'!J521+'สงขลา'!J521+'สตูล'!J521+'สุราษฎร์ธานี'!J521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'กระบี่'!I522+'ชุมพร'!I522+'ตรัง'!I522+'นครศรีธรรมราช'!I522+'นราธิวาส'!I522+'ปัตตานี'!I522+'พังงา'!I522+'พัทลุง'!I522+'ภูเก็ต'!I522+'ยะลา'!I522+'ระนอง'!I522+'สงขลา'!I522+'สตูล'!I522+'สุราษฎร์ธานี'!I522</f>
        <v>0</v>
      </c>
      <c r="J522" s="222">
        <f>'กระบี่'!J522+'ชุมพร'!J522+'ตรัง'!J522+'นครศรีธรรมราช'!J522+'นราธิวาส'!J522+'ปัตตานี'!J522+'พังงา'!J522+'พัทลุง'!J522+'ภูเก็ต'!J522+'ยะลา'!J522+'ระนอง'!J522+'สงขลา'!J522+'สตูล'!J522+'สุราษฎร์ธานี'!J522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'กระบี่'!I523+'ชุมพร'!I523+'ตรัง'!I523+'นครศรีธรรมราช'!I523+'นราธิวาส'!I523+'ปัตตานี'!I523+'พังงา'!I523+'พัทลุง'!I523+'ภูเก็ต'!I523+'ยะลา'!I523+'ระนอง'!I523+'สงขลา'!I523+'สตูล'!I523+'สุราษฎร์ธานี'!I523</f>
        <v>0</v>
      </c>
      <c r="J523" s="222">
        <f>'กระบี่'!J523+'ชุมพร'!J523+'ตรัง'!J523+'นครศรีธรรมราช'!J523+'นราธิวาส'!J523+'ปัตตานี'!J523+'พังงา'!J523+'พัทลุง'!J523+'ภูเก็ต'!J523+'ยะลา'!J523+'ระนอง'!J523+'สงขลา'!J523+'สตูล'!J523+'สุราษฎร์ธานี'!J523</f>
        <v>65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'กระบี่'!I524+'ชุมพร'!I524+'ตรัง'!I524+'นครศรีธรรมราช'!I524+'นราธิวาส'!I524+'ปัตตานี'!I524+'พังงา'!I524+'พัทลุง'!I524+'ภูเก็ต'!I524+'ยะลา'!I524+'ระนอง'!I524+'สงขลา'!I524+'สตูล'!I524+'สุราษฎร์ธานี'!I524</f>
        <v>0</v>
      </c>
      <c r="J524" s="222">
        <f>'กระบี่'!J524+'ชุมพร'!J524+'ตรัง'!J524+'นครศรีธรรมราช'!J524+'นราธิวาส'!J524+'ปัตตานี'!J524+'พังงา'!J524+'พัทลุง'!J524+'ภูเก็ต'!J524+'ยะลา'!J524+'ระนอง'!J524+'สงขลา'!J524+'สตูล'!J524+'สุราษฎร์ธานี'!J524</f>
        <v>14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'กระบี่'!I525+'ชุมพร'!I525+'ตรัง'!I525+'นครศรีธรรมราช'!I525+'นราธิวาส'!I525+'ปัตตานี'!I525+'พังงา'!I525+'พัทลุง'!I525+'ภูเก็ต'!I525+'ยะลา'!I525+'ระนอง'!I525+'สงขลา'!I525+'สตูล'!I525+'สุราษฎร์ธานี'!I525</f>
        <v>65</v>
      </c>
      <c r="J525" s="317">
        <f>'กระบี่'!J525+'ชุมพร'!J525+'ตรัง'!J525+'นครศรีธรรมราช'!J525+'นราธิวาส'!J525+'ปัตตานี'!J525+'พังงา'!J525+'พัทลุง'!J525+'ภูเก็ต'!J525+'ยะลา'!J525+'ระนอง'!J525+'สงขลา'!J525+'สตูล'!J525+'สุราษฎร์ธานี'!J525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'กระบี่'!I526+'ชุมพร'!I526+'ตรัง'!I526+'นครศรีธรรมราช'!I526+'นราธิวาส'!I526+'ปัตตานี'!I526+'พังงา'!I526+'พัทลุง'!I526+'ภูเก็ต'!I526+'ยะลา'!I526+'ระนอง'!I526+'สงขลา'!I526+'สตูล'!I526+'สุราษฎร์ธานี'!I526</f>
        <v>14</v>
      </c>
      <c r="J526" s="317">
        <f>'กระบี่'!J526+'ชุมพร'!J526+'ตรัง'!J526+'นครศรีธรรมราช'!J526+'นราธิวาส'!J526+'ปัตตานี'!J526+'พังงา'!J526+'พัทลุง'!J526+'ภูเก็ต'!J526+'ยะลา'!J526+'ระนอง'!J526+'สงขลา'!J526+'สตูล'!J526+'สุราษฎร์ธานี'!J526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'กระบี่'!I527+'ชุมพร'!I527+'ตรัง'!I527+'นครศรีธรรมราช'!I527+'นราธิวาส'!I527+'ปัตตานี'!I527+'พังงา'!I527+'พัทลุง'!I527+'ภูเก็ต'!I527+'ยะลา'!I527+'ระนอง'!I527+'สงขลา'!I527+'สตูล'!I527+'สุราษฎร์ธานี'!I527</f>
        <v>0</v>
      </c>
      <c r="J527" s="232">
        <f>'กระบี่'!J527+'ชุมพร'!J527+'ตรัง'!J527+'นครศรีธรรมราช'!J527+'นราธิวาส'!J527+'ปัตตานี'!J527+'พังงา'!J527+'พัทลุง'!J527+'ภูเก็ต'!J527+'ยะลา'!J527+'ระนอง'!J527+'สงขลา'!J527+'สตูล'!J527+'สุราษฎร์ธานี'!J527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'กระบี่'!I528+'ชุมพร'!I528+'ตรัง'!I528+'นครศรีธรรมราช'!I528+'นราธิวาส'!I528+'ปัตตานี'!I528+'พังงา'!I528+'พัทลุง'!I528+'ภูเก็ต'!I528+'ยะลา'!I528+'ระนอง'!I528+'สงขลา'!I528+'สตูล'!I528+'สุราษฎร์ธานี'!I528</f>
        <v>0</v>
      </c>
      <c r="J528" s="232">
        <f>'กระบี่'!J528+'ชุมพร'!J528+'ตรัง'!J528+'นครศรีธรรมราช'!J528+'นราธิวาส'!J528+'ปัตตานี'!J528+'พังงา'!J528+'พัทลุง'!J528+'ภูเก็ต'!J528+'ยะลา'!J528+'ระนอง'!J528+'สงขลา'!J528+'สตูล'!J528+'สุราษฎร์ธานี'!J528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'กระบี่'!I529+'ชุมพร'!I529+'ตรัง'!I529+'นครศรีธรรมราช'!I529+'นราธิวาส'!I529+'ปัตตานี'!I529+'พังงา'!I529+'พัทลุง'!I529+'ภูเก็ต'!I529+'ยะลา'!I529+'ระนอง'!I529+'สงขลา'!I529+'สตูล'!I529+'สุราษฎร์ธานี'!I529</f>
        <v>0</v>
      </c>
      <c r="J529" s="232">
        <f>'กระบี่'!J529+'ชุมพร'!J529+'ตรัง'!J529+'นครศรีธรรมราช'!J529+'นราธิวาส'!J529+'ปัตตานี'!J529+'พังงา'!J529+'พัทลุง'!J529+'ภูเก็ต'!J529+'ยะลา'!J529+'ระนอง'!J529+'สงขลา'!J529+'สตูล'!J529+'สุราษฎร์ธานี'!J529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'กระบี่'!I530+'ชุมพร'!I530+'ตรัง'!I530+'นครศรีธรรมราช'!I530+'นราธิวาส'!I530+'ปัตตานี'!I530+'พังงา'!I530+'พัทลุง'!I530+'ภูเก็ต'!I530+'ยะลา'!I530+'ระนอง'!I530+'สงขลา'!I530+'สตูล'!I530+'สุราษฎร์ธานี'!I530</f>
        <v>0</v>
      </c>
      <c r="J530" s="232">
        <f>'กระบี่'!J530+'ชุมพร'!J530+'ตรัง'!J530+'นครศรีธรรมราช'!J530+'นราธิวาส'!J530+'ปัตตานี'!J530+'พังงา'!J530+'พัทลุง'!J530+'ภูเก็ต'!J530+'ยะลา'!J530+'ระนอง'!J530+'สงขลา'!J530+'สตูล'!J530+'สุราษฎร์ธานี'!J530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'กระบี่'!I531+'ชุมพร'!I531+'ตรัง'!I531+'นครศรีธรรมราช'!I531+'นราธิวาส'!I531+'ปัตตานี'!I531+'พังงา'!I531+'พัทลุง'!I531+'ภูเก็ต'!I531+'ยะลา'!I531+'ระนอง'!I531+'สงขลา'!I531+'สตูล'!I531+'สุราษฎร์ธานี'!I531</f>
        <v>0</v>
      </c>
      <c r="J531" s="232">
        <f>'กระบี่'!J531+'ชุมพร'!J531+'ตรัง'!J531+'นครศรีธรรมราช'!J531+'นราธิวาส'!J531+'ปัตตานี'!J531+'พังงา'!J531+'พัทลุง'!J531+'ภูเก็ต'!J531+'ยะลา'!J531+'ระนอง'!J531+'สงขลา'!J531+'สตูล'!J531+'สุราษฎร์ธานี'!J531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'กระบี่'!I532+'ชุมพร'!I532+'ตรัง'!I532+'นครศรีธรรมราช'!I532+'นราธิวาส'!I532+'ปัตตานี'!I532+'พังงา'!I532+'พัทลุง'!I532+'ภูเก็ต'!I532+'ยะลา'!I532+'ระนอง'!I532+'สงขลา'!I532+'สตูล'!I532+'สุราษฎร์ธานี'!I532</f>
        <v>0</v>
      </c>
      <c r="J532" s="499">
        <f>'กระบี่'!J532+'ชุมพร'!J532+'ตรัง'!J532+'นครศรีธรรมราช'!J532+'นราธิวาส'!J532+'ปัตตานี'!J532+'พังงา'!J532+'พัทลุง'!J532+'ภูเก็ต'!J532+'ยะลา'!J532+'ระนอง'!J532+'สงขลา'!J532+'สตูล'!J532+'สุราษฎร์ธานี'!J532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'กระบี่'!I533+'ชุมพร'!I533+'ตรัง'!I533+'นครศรีธรรมราช'!I533+'นราธิวาส'!I533+'ปัตตานี'!I533+'พังงา'!I533+'พัทลุง'!I533+'ภูเก็ต'!I533+'ยะลา'!I533+'ระนอง'!I533+'สงขลา'!I533+'สตูล'!I533+'สุราษฎร์ธานี'!I533</f>
        <v>293</v>
      </c>
      <c r="J533" s="443">
        <f>'กระบี่'!J533+'ชุมพร'!J533+'ตรัง'!J533+'นครศรีธรรมราช'!J533+'นราธิวาส'!J533+'ปัตตานี'!J533+'พังงา'!J533+'พัทลุง'!J533+'ภูเก็ต'!J533+'ยะลา'!J533+'ระนอง'!J533+'สงขลา'!J533+'สตูล'!J533+'สุราษฎร์ธานี'!J533</f>
        <v>192</v>
      </c>
      <c r="K533" s="444">
        <f>IF(I533&gt;0,J533*100/I533,0)</f>
        <v>65.52901024</v>
      </c>
      <c r="L533" s="445">
        <f>'กระบี่'!L533+'ชุมพร'!L533+'ตรัง'!L533+'นครศรีธรรมราช'!L533+'นราธิวาส'!L533+'ปัตตานี'!L533+'พังงา'!L533+'พัทลุง'!L533+'ภูเก็ต'!L533+'ยะลา'!L533+'ระนอง'!L533+'สงขลา'!L533+'สตูล'!L533+'สุราษฎร์ธานี'!L533</f>
        <v>468020</v>
      </c>
      <c r="M533" s="445"/>
      <c r="N533" s="445">
        <f>'กระบี่'!N533+'ชุมพร'!N533+'ตรัง'!N533+'นครศรีธรรมราช'!N533+'นราธิวาส'!N533+'ปัตตานี'!N533+'พังงา'!N533+'พัทลุง'!N533+'ภูเก็ต'!N533+'ยะลา'!N533+'ระนอง'!N533+'สงขลา'!N533+'สตูล'!N533+'สุราษฎร์ธานี'!N533</f>
        <v>251337.68</v>
      </c>
      <c r="O533" s="445">
        <f t="shared" ref="O533:O537" si="85">+IF(L533&gt;0,N533*100/L533,0)</f>
        <v>53.70233751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'กระบี่'!L534+'ชุมพร'!L534+'ตรัง'!L534+'นครศรีธรรมราช'!L534+'นราธิวาส'!L534+'ปัตตานี'!L534+'พังงา'!L534+'พัทลุง'!L534+'ภูเก็ต'!L534+'ยะลา'!L534+'ระนอง'!L534+'สงขลา'!L534+'สตูล'!L534+'สุราษฎร์ธานี'!L534</f>
        <v>0</v>
      </c>
      <c r="M534" s="197"/>
      <c r="N534" s="203">
        <f>'กระบี่'!N534+'ชุมพร'!N534+'ตรัง'!N534+'นครศรีธรรมราช'!N534+'นราธิวาส'!N534+'ปัตตานี'!N534+'พังงา'!N534+'พัทลุง'!N534+'ภูเก็ต'!N534+'ยะลา'!N534+'ระนอง'!N534+'สงขลา'!N534+'สตูล'!N534+'สุราษฎร์ธานี'!N534</f>
        <v>0</v>
      </c>
      <c r="O534" s="203">
        <f t="shared" si="85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'กระบี่'!L535+'ชุมพร'!L535+'ตรัง'!L535+'นครศรีธรรมราช'!L535+'นราธิวาส'!L535+'ปัตตานี'!L535+'พังงา'!L535+'พัทลุง'!L535+'ภูเก็ต'!L535+'ยะลา'!L535+'ระนอง'!L535+'สงขลา'!L535+'สตูล'!L535+'สุราษฎร์ธานี'!L535</f>
        <v>468020</v>
      </c>
      <c r="M535" s="198"/>
      <c r="N535" s="203">
        <f>'กระบี่'!N535+'ชุมพร'!N535+'ตรัง'!N535+'นครศรีธรรมราช'!N535+'นราธิวาส'!N535+'ปัตตานี'!N535+'พังงา'!N535+'พัทลุง'!N535+'ภูเก็ต'!N535+'ยะลา'!N535+'ระนอง'!N535+'สงขลา'!N535+'สตูล'!N535+'สุราษฎร์ธานี'!N535</f>
        <v>251337.68</v>
      </c>
      <c r="O535" s="203">
        <f t="shared" si="85"/>
        <v>53.70233751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'กระบี่'!L536+'ชุมพร'!L536+'ตรัง'!L536+'นครศรีธรรมราช'!L536+'นราธิวาส'!L536+'ปัตตานี'!L536+'พังงา'!L536+'พัทลุง'!L536+'ภูเก็ต'!L536+'ยะลา'!L536+'ระนอง'!L536+'สงขลา'!L536+'สตูล'!L536+'สุราษฎร์ธานี'!L536</f>
        <v>0</v>
      </c>
      <c r="M536" s="203"/>
      <c r="N536" s="203">
        <f>'กระบี่'!N536+'ชุมพร'!N536+'ตรัง'!N536+'นครศรีธรรมราช'!N536+'นราธิวาส'!N536+'ปัตตานี'!N536+'พังงา'!N536+'พัทลุง'!N536+'ภูเก็ต'!N536+'ยะลา'!N536+'ระนอง'!N536+'สงขลา'!N536+'สตูล'!N536+'สุราษฎร์ธานี'!N536</f>
        <v>0</v>
      </c>
      <c r="O536" s="203">
        <f t="shared" si="85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'กระบี่'!L537+'ชุมพร'!L537+'ตรัง'!L537+'นครศรีธรรมราช'!L537+'นราธิวาส'!L537+'ปัตตานี'!L537+'พังงา'!L537+'พัทลุง'!L537+'ภูเก็ต'!L537+'ยะลา'!L537+'ระนอง'!L537+'สงขลา'!L537+'สตูล'!L537+'สุราษฎร์ธานี'!L537</f>
        <v>468020</v>
      </c>
      <c r="M537" s="203"/>
      <c r="N537" s="203">
        <f>'กระบี่'!N537+'ชุมพร'!N537+'ตรัง'!N537+'นครศรีธรรมราช'!N537+'นราธิวาส'!N537+'ปัตตานี'!N537+'พังงา'!N537+'พัทลุง'!N537+'ภูเก็ต'!N537+'ยะลา'!N537+'ระนอง'!N537+'สงขลา'!N537+'สตูล'!N537+'สุราษฎร์ธานี'!N537</f>
        <v>251337.68</v>
      </c>
      <c r="O537" s="203">
        <f t="shared" si="85"/>
        <v>53.70233751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'กระบี่'!N538+'ชุมพร'!N538+'ตรัง'!N538+'นครศรีธรรมราช'!N538+'นราธิวาส'!N538+'ปัตตานี'!N538+'พังงา'!N538+'พัทลุง'!N538+'ภูเก็ต'!N538+'ยะลา'!N538+'ระนอง'!N538+'สงขลา'!N538+'สตูล'!N538+'สุราษฎร์ธานี'!N538</f>
        <v>180158.48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'กระบี่'!N539+'ชุมพร'!N539+'ตรัง'!N539+'นครศรีธรรมราช'!N539+'นราธิวาส'!N539+'ปัตตานี'!N539+'พังงา'!N539+'พัทลุง'!N539+'ภูเก็ต'!N539+'ยะลา'!N539+'ระนอง'!N539+'สงขลา'!N539+'สตูล'!N539+'สุราษฎร์ธานี'!N539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'กระบี่'!N540+'ชุมพร'!N540+'ตรัง'!N540+'นครศรีธรรมราช'!N540+'นราธิวาส'!N540+'ปัตตานี'!N540+'พังงา'!N540+'พัทลุง'!N540+'ภูเก็ต'!N540+'ยะลา'!N540+'ระนอง'!N540+'สงขลา'!N540+'สตูล'!N540+'สุราษฎร์ธานี'!N540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'กระบี่'!N541+'ชุมพร'!N541+'ตรัง'!N541+'นครศรีธรรมราช'!N541+'นราธิวาส'!N541+'ปัตตานี'!N541+'พังงา'!N541+'พัทลุง'!N541+'ภูเก็ต'!N541+'ยะลา'!N541+'ระนอง'!N541+'สงขลา'!N541+'สตูล'!N541+'สุราษฎร์ธานี'!N541</f>
        <v>71179.2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'กระบี่'!J543+'ชุมพร'!J543+'ตรัง'!J543+'นครศรีธรรมราช'!J543+'นราธิวาส'!J543+'ปัตตานี'!J543+'พังงา'!J543+'พัทลุง'!J543+'ภูเก็ต'!J543+'ยะลา'!J543+'ระนอง'!J543+'สงขลา'!J543+'สตูล'!J543+'สุราษฎร์ธานี'!J543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'กระบี่'!J544+'ชุมพร'!J544+'ตรัง'!J544+'นครศรีธรรมราช'!J544+'นราธิวาส'!J544+'ปัตตานี'!J544+'พังงา'!J544+'พัทลุง'!J544+'ภูเก็ต'!J544+'ยะลา'!J544+'ระนอง'!J544+'สงขลา'!J544+'สตูล'!J544+'สุราษฎร์ธานี'!J544</f>
        <v>14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'กระบี่'!J545+'ชุมพร'!J545+'ตรัง'!J545+'นครศรีธรรมราช'!J545+'นราธิวาส'!J545+'ปัตตานี'!J545+'พังงา'!J545+'พัทลุง'!J545+'ภูเก็ต'!J545+'ยะลา'!J545+'ระนอง'!J545+'สงขลา'!J545+'สตูล'!J545+'สุราษฎร์ธานี'!J545</f>
        <v>14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'กระบี่'!J546+'ชุมพร'!J546+'ตรัง'!J546+'นครศรีธรรมราช'!J546+'นราธิวาส'!J546+'ปัตตานี'!J546+'พังงา'!J546+'พัทลุง'!J546+'ภูเก็ต'!J546+'ยะลา'!J546+'ระนอง'!J546+'สงขลา'!J546+'สตูล'!J546+'สุราษฎร์ธานี'!J546</f>
        <v>13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'กระบี่'!I547+'ชุมพร'!I547+'ตรัง'!I547+'นครศรีธรรมราช'!I547+'นราธิวาส'!I547+'ปัตตานี'!I547+'พังงา'!I547+'พัทลุง'!I547+'ภูเก็ต'!I547+'ยะลา'!I547+'ระนอง'!I547+'สงขลา'!I547+'สตูล'!I547+'สุราษฎร์ธานี'!I547</f>
        <v>293</v>
      </c>
      <c r="J547" s="223">
        <f>'กระบี่'!J547+'ชุมพร'!J547+'ตรัง'!J547+'นครศรีธรรมราช'!J547+'นราธิวาส'!J547+'ปัตตานี'!J547+'พังงา'!J547+'พัทลุง'!J547+'ภูเก็ต'!J547+'ยะลา'!J547+'ระนอง'!J547+'สงขลา'!J547+'สตูล'!J547+'สุราษฎร์ธานี'!J547</f>
        <v>192</v>
      </c>
      <c r="K547" s="196">
        <f t="shared" ref="K547:K548" si="86">IF(I547&gt;0,J547*100/I547,0)</f>
        <v>65.52901024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'กระบี่'!J548+'ชุมพร'!J548+'ตรัง'!J548+'นครศรีธรรมราช'!J548+'นราธิวาส'!J548+'ปัตตานี'!J548+'พังงา'!J548+'พัทลุง'!J548+'ภูเก็ต'!J548+'ยะลา'!J548+'ระนอง'!J548+'สงขลา'!J548+'สตูล'!J548+'สุราษฎร์ธานี'!J548</f>
        <v>0</v>
      </c>
      <c r="K548" s="196">
        <f t="shared" si="86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'กระบี่'!J549+'ชุมพร'!J549+'ตรัง'!J549+'นครศรีธรรมราช'!J549+'นราธิวาส'!J549+'ปัตตานี'!J549+'พังงา'!J549+'พัทลุง'!J549+'ภูเก็ต'!J549+'ยะลา'!J549+'ระนอง'!J549+'สงขลา'!J549+'สตูล'!J549+'สุราษฎร์ธานี'!J549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'กระบี่'!J550+'ชุมพร'!J550+'ตรัง'!J550+'นครศรีธรรมราช'!J550+'นราธิวาส'!J550+'ปัตตานี'!J550+'พังงา'!J550+'พัทลุง'!J550+'ภูเก็ต'!J550+'ยะลา'!J550+'ระนอง'!J550+'สงขลา'!J550+'สตูล'!J550+'สุราษฎร์ธานี'!J550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'กระบี่'!I551+'ชุมพร'!I551+'ตรัง'!I551+'นครศรีธรรมราช'!I551+'นราธิวาส'!I551+'ปัตตานี'!I551+'พังงา'!I551+'พัทลุง'!I551+'ภูเก็ต'!I551+'ยะลา'!I551+'ระนอง'!I551+'สงขลา'!I551+'สตูล'!I551+'สุราษฎร์ธานี'!I551</f>
        <v>0</v>
      </c>
      <c r="J551" s="443">
        <f>'กระบี่'!J551+'ชุมพร'!J551+'ตรัง'!J551+'นครศรีธรรมราช'!J551+'นราธิวาส'!J551+'ปัตตานี'!J551+'พังงา'!J551+'พัทลุง'!J551+'ภูเก็ต'!J551+'ยะลา'!J551+'ระนอง'!J551+'สงขลา'!J551+'สตูล'!J551+'สุราษฎร์ธานี'!J551</f>
        <v>0</v>
      </c>
      <c r="K551" s="444">
        <f>IF(I551&gt;0,J551*100/I551,0)</f>
        <v>0</v>
      </c>
      <c r="L551" s="445">
        <f>'กระบี่'!L551+'ชุมพร'!L551+'ตรัง'!L551+'นครศรีธรรมราช'!L551+'นราธิวาส'!L551+'ปัตตานี'!L551+'พังงา'!L551+'พัทลุง'!L551+'ภูเก็ต'!L551+'ยะลา'!L551+'ระนอง'!L551+'สงขลา'!L551+'สตูล'!L551+'สุราษฎร์ธานี'!L551</f>
        <v>0</v>
      </c>
      <c r="M551" s="445"/>
      <c r="N551" s="445">
        <f>'กระบี่'!N551+'ชุมพร'!N551+'ตรัง'!N551+'นครศรีธรรมราช'!N551+'นราธิวาส'!N551+'ปัตตานี'!N551+'พังงา'!N551+'พัทลุง'!N551+'ภูเก็ต'!N551+'ยะลา'!N551+'ระนอง'!N551+'สงขลา'!N551+'สตูล'!N551+'สุราษฎร์ธานี'!N551</f>
        <v>0</v>
      </c>
      <c r="O551" s="445">
        <f t="shared" ref="O551:O555" si="87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'กระบี่'!L552+'ชุมพร'!L552+'ตรัง'!L552+'นครศรีธรรมราช'!L552+'นราธิวาส'!L552+'ปัตตานี'!L552+'พังงา'!L552+'พัทลุง'!L552+'ภูเก็ต'!L552+'ยะลา'!L552+'ระนอง'!L552+'สงขลา'!L552+'สตูล'!L552+'สุราษฎร์ธานี'!L552</f>
        <v>0</v>
      </c>
      <c r="M552" s="197"/>
      <c r="N552" s="203">
        <f>'กระบี่'!N552+'ชุมพร'!N552+'ตรัง'!N552+'นครศรีธรรมราช'!N552+'นราธิวาส'!N552+'ปัตตานี'!N552+'พังงา'!N552+'พัทลุง'!N552+'ภูเก็ต'!N552+'ยะลา'!N552+'ระนอง'!N552+'สงขลา'!N552+'สตูล'!N552+'สุราษฎร์ธานี'!N552</f>
        <v>0</v>
      </c>
      <c r="O552" s="203">
        <f t="shared" si="87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'กระบี่'!L553+'ชุมพร'!L553+'ตรัง'!L553+'นครศรีธรรมราช'!L553+'นราธิวาส'!L553+'ปัตตานี'!L553+'พังงา'!L553+'พัทลุง'!L553+'ภูเก็ต'!L553+'ยะลา'!L553+'ระนอง'!L553+'สงขลา'!L553+'สตูล'!L553+'สุราษฎร์ธานี'!L553</f>
        <v>0</v>
      </c>
      <c r="M553" s="198"/>
      <c r="N553" s="203">
        <f>'กระบี่'!N553+'ชุมพร'!N553+'ตรัง'!N553+'นครศรีธรรมราช'!N553+'นราธิวาส'!N553+'ปัตตานี'!N553+'พังงา'!N553+'พัทลุง'!N553+'ภูเก็ต'!N553+'ยะลา'!N553+'ระนอง'!N553+'สงขลา'!N553+'สตูล'!N553+'สุราษฎร์ธานี'!N553</f>
        <v>0</v>
      </c>
      <c r="O553" s="203">
        <f t="shared" si="87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'กระบี่'!L554+'ชุมพร'!L554+'ตรัง'!L554+'นครศรีธรรมราช'!L554+'นราธิวาส'!L554+'ปัตตานี'!L554+'พังงา'!L554+'พัทลุง'!L554+'ภูเก็ต'!L554+'ยะลา'!L554+'ระนอง'!L554+'สงขลา'!L554+'สตูล'!L554+'สุราษฎร์ธานี'!L554</f>
        <v>0</v>
      </c>
      <c r="M554" s="203"/>
      <c r="N554" s="203">
        <f>'กระบี่'!N554+'ชุมพร'!N554+'ตรัง'!N554+'นครศรีธรรมราช'!N554+'นราธิวาส'!N554+'ปัตตานี'!N554+'พังงา'!N554+'พัทลุง'!N554+'ภูเก็ต'!N554+'ยะลา'!N554+'ระนอง'!N554+'สงขลา'!N554+'สตูล'!N554+'สุราษฎร์ธานี'!N554</f>
        <v>0</v>
      </c>
      <c r="O554" s="203">
        <f t="shared" si="87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'กระบี่'!L555+'ชุมพร'!L555+'ตรัง'!L555+'นครศรีธรรมราช'!L555+'นราธิวาส'!L555+'ปัตตานี'!L555+'พังงา'!L555+'พัทลุง'!L555+'ภูเก็ต'!L555+'ยะลา'!L555+'ระนอง'!L555+'สงขลา'!L555+'สตูล'!L555+'สุราษฎร์ธานี'!L555</f>
        <v>0</v>
      </c>
      <c r="M555" s="203"/>
      <c r="N555" s="203">
        <f>'กระบี่'!N555+'ชุมพร'!N555+'ตรัง'!N555+'นครศรีธรรมราช'!N555+'นราธิวาส'!N555+'ปัตตานี'!N555+'พังงา'!N555+'พัทลุง'!N555+'ภูเก็ต'!N555+'ยะลา'!N555+'ระนอง'!N555+'สงขลา'!N555+'สตูล'!N555+'สุราษฎร์ธานี'!N555</f>
        <v>0</v>
      </c>
      <c r="O555" s="203">
        <f t="shared" si="87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'กระบี่'!N556+'ชุมพร'!N556+'ตรัง'!N556+'นครศรีธรรมราช'!N556+'นราธิวาส'!N556+'ปัตตานี'!N556+'พังงา'!N556+'พัทลุง'!N556+'ภูเก็ต'!N556+'ยะลา'!N556+'ระนอง'!N556+'สงขลา'!N556+'สตูล'!N556+'สุราษฎร์ธานี'!N556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'กระบี่'!N557+'ชุมพร'!N557+'ตรัง'!N557+'นครศรีธรรมราช'!N557+'นราธิวาส'!N557+'ปัตตานี'!N557+'พังงา'!N557+'พัทลุง'!N557+'ภูเก็ต'!N557+'ยะลา'!N557+'ระนอง'!N557+'สงขลา'!N557+'สตูล'!N557+'สุราษฎร์ธานี'!N557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'กระบี่'!N558+'ชุมพร'!N558+'ตรัง'!N558+'นครศรีธรรมราช'!N558+'นราธิวาส'!N558+'ปัตตานี'!N558+'พังงา'!N558+'พัทลุง'!N558+'ภูเก็ต'!N558+'ยะลา'!N558+'ระนอง'!N558+'สงขลา'!N558+'สตูล'!N558+'สุราษฎร์ธานี'!N558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'กระบี่'!N559+'ชุมพร'!N559+'ตรัง'!N559+'นครศรีธรรมราช'!N559+'นราธิวาส'!N559+'ปัตตานี'!N559+'พังงา'!N559+'พัทลุง'!N559+'ภูเก็ต'!N559+'ยะลา'!N559+'ระนอง'!N559+'สงขลา'!N559+'สตูล'!N559+'สุราษฎร์ธานี'!N559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'กระบี่'!I560+'ชุมพร'!I560+'ตรัง'!I560+'นครศรีธรรมราช'!I560+'นราธิวาส'!I560+'ปัตตานี'!I560+'พังงา'!I560+'พัทลุง'!I560+'ภูเก็ต'!I560+'ยะลา'!I560+'ระนอง'!I560+'สงขลา'!I560+'สตูล'!I560+'สุราษฎร์ธานี'!I560</f>
        <v>0</v>
      </c>
      <c r="J560" s="195">
        <f>'กระบี่'!J560+'ชุมพร'!J560+'ตรัง'!J560+'นครศรีธรรมราช'!J560+'นราธิวาส'!J560+'ปัตตานี'!J560+'พังงา'!J560+'พัทลุง'!J560+'ภูเก็ต'!J560+'ยะลา'!J560+'ระนอง'!J560+'สงขลา'!J560+'สตูล'!J560+'สุราษฎร์ธานี'!J560</f>
        <v>0</v>
      </c>
      <c r="K560" s="258">
        <f t="shared" ref="K560:K561" si="88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'กระบี่'!I561+'ชุมพร'!I561+'ตรัง'!I561+'นครศรีธรรมราช'!I561+'นราธิวาส'!I561+'ปัตตานี'!I561+'พังงา'!I561+'พัทลุง'!I561+'ภูเก็ต'!I561+'ยะลา'!I561+'ระนอง'!I561+'สงขลา'!I561+'สตูล'!I561+'สุราษฎร์ธานี'!I561</f>
        <v>0</v>
      </c>
      <c r="J561" s="238">
        <f>'กระบี่'!J561+'ชุมพร'!J561+'ตรัง'!J561+'นครศรีธรรมราช'!J561+'นราธิวาส'!J561+'ปัตตานี'!J561+'พังงา'!J561+'พัทลุง'!J561+'ภูเก็ต'!J561+'ยะลา'!J561+'ระนอง'!J561+'สงขลา'!J561+'สตูล'!J561+'สุราษฎร์ธานี'!J561</f>
        <v>0</v>
      </c>
      <c r="K561" s="258">
        <f t="shared" si="88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IFERROR(__xludf.DUMMYFUNCTION("IMPORTRANGE(""https://docs.google.com/spreadsheets/d/1SX6NBoVAgQJ6U1MVXOaj8PK2l7WJ3RER9xtqwdhxkhw/edit?usp=sharing"",""กาญจนบุรี!I457"")"),"")</f>
        <v/>
      </c>
      <c r="J562" s="238" t="str">
        <f>IFERROR(__xludf.DUMMYFUNCTION("IMPORTRANGE(""https://docs.google.com/spreadsheets/d/1SX6NBoVAgQJ6U1MVXOaj8PK2l7WJ3RER9xtqwdhxkhw/edit?usp=sharing"",""กาญจนบุรี!J457"")"),"")</f>
        <v/>
      </c>
      <c r="K562" s="196"/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IFERROR(__xludf.DUMMYFUNCTION("IMPORTRANGE(""https://docs.google.com/spreadsheets/d/1SX6NBoVAgQJ6U1MVXOaj8PK2l7WJ3RER9xtqwdhxkhw/edit?usp=sharing"",""กาญจนบุรี!I458"")"),"")</f>
        <v/>
      </c>
      <c r="J563" s="222" t="str">
        <f>IFERROR(__xludf.DUMMYFUNCTION("IMPORTRANGE(""https://docs.google.com/spreadsheets/d/1SX6NBoVAgQJ6U1MVXOaj8PK2l7WJ3RER9xtqwdhxkhw/edit?usp=sharing"",""กาญจนบุรี!J458"")"),"")</f>
        <v/>
      </c>
      <c r="K563" s="196"/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'กระบี่'!I564+'ชุมพร'!I564+'ตรัง'!I564+'นครศรีธรรมราช'!I564+'นราธิวาส'!I564+'ปัตตานี'!I564+'พังงา'!I564+'พัทลุง'!I564+'ภูเก็ต'!I564+'ยะลา'!I564+'ระนอง'!I564+'สงขลา'!I564+'สตูล'!I564+'สุราษฎร์ธานี'!I564</f>
        <v>12200</v>
      </c>
      <c r="J564" s="404">
        <f>'กระบี่'!J564+'ชุมพร'!J564+'ตรัง'!J564+'นครศรีธรรมราช'!J564+'นราธิวาส'!J564+'ปัตตานี'!J564+'พังงา'!J564+'พัทลุง'!J564+'ภูเก็ต'!J564+'ยะลา'!J564+'ระนอง'!J564+'สงขลา'!J564+'สตูล'!J564+'สุราษฎร์ธานี'!J564</f>
        <v>10844</v>
      </c>
      <c r="K564" s="405">
        <f>IF(I564&gt;0,J564*100/I564,0)</f>
        <v>88.8852459</v>
      </c>
      <c r="L564" s="406">
        <f>'กระบี่'!L564+'ชุมพร'!L564+'ตรัง'!L564+'นครศรีธรรมราช'!L564+'นราธิวาส'!L564+'ปัตตานี'!L564+'พังงา'!L564+'พัทลุง'!L564+'ภูเก็ต'!L564+'ยะลา'!L564+'ระนอง'!L564+'สงขลา'!L564+'สตูล'!L564+'สุราษฎร์ธานี'!L564</f>
        <v>1798960</v>
      </c>
      <c r="M564" s="406"/>
      <c r="N564" s="406">
        <f>'กระบี่'!N564+'ชุมพร'!N564+'ตรัง'!N564+'นครศรีธรรมราช'!N564+'นราธิวาส'!N564+'ปัตตานี'!N564+'พังงา'!N564+'พัทลุง'!N564+'ภูเก็ต'!N564+'ยะลา'!N564+'ระนอง'!N564+'สงขลา'!N564+'สตูล'!N564+'สุราษฎร์ธานี'!N564</f>
        <v>285022.1</v>
      </c>
      <c r="O564" s="406">
        <f t="shared" ref="O564:O568" si="89">+IF(L564&gt;0,N564*100/L564,0)</f>
        <v>15.84371526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'กระบี่'!L565+'ชุมพร'!L565+'ตรัง'!L565+'นครศรีธรรมราช'!L565+'นราธิวาส'!L565+'ปัตตานี'!L565+'พังงา'!L565+'พัทลุง'!L565+'ภูเก็ต'!L565+'ยะลา'!L565+'ระนอง'!L565+'สงขลา'!L565+'สตูล'!L565+'สุราษฎร์ธานี'!L565</f>
        <v>0</v>
      </c>
      <c r="M565" s="197"/>
      <c r="N565" s="203">
        <f>'กระบี่'!N565+'ชุมพร'!N565+'ตรัง'!N565+'นครศรีธรรมราช'!N565+'นราธิวาส'!N565+'ปัตตานี'!N565+'พังงา'!N565+'พัทลุง'!N565+'ภูเก็ต'!N565+'ยะลา'!N565+'ระนอง'!N565+'สงขลา'!N565+'สตูล'!N565+'สุราษฎร์ธานี'!N565</f>
        <v>0</v>
      </c>
      <c r="O565" s="203">
        <f t="shared" si="89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'กระบี่'!L566+'ชุมพร'!L566+'ตรัง'!L566+'นครศรีธรรมราช'!L566+'นราธิวาส'!L566+'ปัตตานี'!L566+'พังงา'!L566+'พัทลุง'!L566+'ภูเก็ต'!L566+'ยะลา'!L566+'ระนอง'!L566+'สงขลา'!L566+'สตูล'!L566+'สุราษฎร์ธานี'!L566</f>
        <v>1798960</v>
      </c>
      <c r="M566" s="198"/>
      <c r="N566" s="203">
        <f>'กระบี่'!N566+'ชุมพร'!N566+'ตรัง'!N566+'นครศรีธรรมราช'!N566+'นราธิวาส'!N566+'ปัตตานี'!N566+'พังงา'!N566+'พัทลุง'!N566+'ภูเก็ต'!N566+'ยะลา'!N566+'ระนอง'!N566+'สงขลา'!N566+'สตูล'!N566+'สุราษฎร์ธานี'!N566</f>
        <v>285022.1</v>
      </c>
      <c r="O566" s="203">
        <f t="shared" si="89"/>
        <v>15.84371526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'กระบี่'!L567+'ชุมพร'!L567+'ตรัง'!L567+'นครศรีธรรมราช'!L567+'นราธิวาส'!L567+'ปัตตานี'!L567+'พังงา'!L567+'พัทลุง'!L567+'ภูเก็ต'!L567+'ยะลา'!L567+'ระนอง'!L567+'สงขลา'!L567+'สตูล'!L567+'สุราษฎร์ธานี'!L567</f>
        <v>0</v>
      </c>
      <c r="M567" s="203"/>
      <c r="N567" s="203">
        <f>'กระบี่'!N567+'ชุมพร'!N567+'ตรัง'!N567+'นครศรีธรรมราช'!N567+'นราธิวาส'!N567+'ปัตตานี'!N567+'พังงา'!N567+'พัทลุง'!N567+'ภูเก็ต'!N567+'ยะลา'!N567+'ระนอง'!N567+'สงขลา'!N567+'สตูล'!N567+'สุราษฎร์ธานี'!N567</f>
        <v>0</v>
      </c>
      <c r="O567" s="203">
        <f t="shared" si="89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'กระบี่'!L568+'ชุมพร'!L568+'ตรัง'!L568+'นครศรีธรรมราช'!L568+'นราธิวาส'!L568+'ปัตตานี'!L568+'พังงา'!L568+'พัทลุง'!L568+'ภูเก็ต'!L568+'ยะลา'!L568+'ระนอง'!L568+'สงขลา'!L568+'สตูล'!L568+'สุราษฎร์ธานี'!L568</f>
        <v>1798960</v>
      </c>
      <c r="M568" s="203"/>
      <c r="N568" s="203">
        <f>'กระบี่'!N568+'ชุมพร'!N568+'ตรัง'!N568+'นครศรีธรรมราช'!N568+'นราธิวาส'!N568+'ปัตตานี'!N568+'พังงา'!N568+'พัทลุง'!N568+'ภูเก็ต'!N568+'ยะลา'!N568+'ระนอง'!N568+'สงขลา'!N568+'สตูล'!N568+'สุราษฎร์ธานี'!N568</f>
        <v>285022.1</v>
      </c>
      <c r="O568" s="203">
        <f t="shared" si="89"/>
        <v>15.84371526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'กระบี่'!N569+'ชุมพร'!N569+'ตรัง'!N569+'นครศรีธรรมราช'!N569+'นราธิวาส'!N569+'ปัตตานี'!N569+'พังงา'!N569+'พัทลุง'!N569+'ภูเก็ต'!N569+'ยะลา'!N569+'ระนอง'!N569+'สงขลา'!N569+'สตูล'!N569+'สุราษฎร์ธานี'!N569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'กระบี่'!N570+'ชุมพร'!N570+'ตรัง'!N570+'นครศรีธรรมราช'!N570+'นราธิวาส'!N570+'ปัตตานี'!N570+'พังงา'!N570+'พัทลุง'!N570+'ภูเก็ต'!N570+'ยะลา'!N570+'ระนอง'!N570+'สงขลา'!N570+'สตูล'!N570+'สุราษฎร์ธานี'!N570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'กระบี่'!N571+'ชุมพร'!N571+'ตรัง'!N571+'นครศรีธรรมราช'!N571+'นราธิวาส'!N571+'ปัตตานี'!N571+'พังงา'!N571+'พัทลุง'!N571+'ภูเก็ต'!N571+'ยะลา'!N571+'ระนอง'!N571+'สงขลา'!N571+'สตูล'!N571+'สุราษฎร์ธานี'!N571</f>
        <v>227824.1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'กระบี่'!N572+'ชุมพร'!N572+'ตรัง'!N572+'นครศรีธรรมราช'!N572+'นราธิวาส'!N572+'ปัตตานี'!N572+'พังงา'!N572+'พัทลุง'!N572+'ภูเก็ต'!N572+'ยะลา'!N572+'ระนอง'!N572+'สงขลา'!N572+'สตูล'!N572+'สุราษฎร์ธานี'!N572</f>
        <v>57198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'กระบี่'!I573+'ชุมพร'!I573+'ตรัง'!I573+'นครศรีธรรมราช'!I573+'นราธิวาส'!I573+'ปัตตานี'!I573+'พังงา'!I573+'พัทลุง'!I573+'ภูเก็ต'!I573+'ยะลา'!I573+'ระนอง'!I573+'สงขลา'!I573+'สตูล'!I573+'สุราษฎร์ธานี'!I573</f>
        <v>12200</v>
      </c>
      <c r="J573" s="453">
        <f>'กระบี่'!J573+'ชุมพร'!J573+'ตรัง'!J573+'นครศรีธรรมราช'!J573+'นราธิวาส'!J573+'ปัตตานี'!J573+'พังงา'!J573+'พัทลุง'!J573+'ภูเก็ต'!J573+'ยะลา'!J573+'ระนอง'!J573+'สงขลา'!J573+'สตูล'!J573+'สุราษฎร์ธานี'!J573</f>
        <v>10844</v>
      </c>
      <c r="K573" s="236">
        <f>IF(I573&gt;0,J573*100/I573,0)</f>
        <v>88.8852459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'กระบี่'!I575+'ชุมพร'!I575+'ตรัง'!I575+'นครศรีธรรมราช'!I575+'นราธิวาส'!I575+'ปัตตานี'!I575+'พังงา'!I575+'พัทลุง'!I575+'ภูเก็ต'!I575+'ยะลา'!I575+'ระนอง'!I575+'สงขลา'!I575+'สตูล'!I575+'สุราษฎร์ธานี'!I575</f>
        <v>0</v>
      </c>
      <c r="J575" s="232">
        <f>'กระบี่'!J575+'ชุมพร'!J575+'ตรัง'!J575+'นครศรีธรรมราช'!J575+'นราธิวาส'!J575+'ปัตตานี'!J575+'พังงา'!J575+'พัทลุง'!J575+'ภูเก็ต'!J575+'ยะลา'!J575+'ระนอง'!J575+'สงขลา'!J575+'สตูล'!J575+'สุราษฎร์ธานี'!J575</f>
        <v>28</v>
      </c>
      <c r="K575" s="196">
        <f t="shared" ref="K575:K579" si="90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'กระบี่'!I576+'ชุมพร'!I576+'ตรัง'!I576+'นครศรีธรรมราช'!I576+'นราธิวาส'!I576+'ปัตตานี'!I576+'พังงา'!I576+'พัทลุง'!I576+'ภูเก็ต'!I576+'ยะลา'!I576+'ระนอง'!I576+'สงขลา'!I576+'สตูล'!I576+'สุราษฎร์ธานี'!I576</f>
        <v>0</v>
      </c>
      <c r="J576" s="232">
        <f>'กระบี่'!J576+'ชุมพร'!J576+'ตรัง'!J576+'นครศรีธรรมราช'!J576+'นราธิวาส'!J576+'ปัตตานี'!J576+'พังงา'!J576+'พัทลุง'!J576+'ภูเก็ต'!J576+'ยะลา'!J576+'ระนอง'!J576+'สงขลา'!J576+'สตูล'!J576+'สุราษฎร์ธานี'!J576</f>
        <v>805</v>
      </c>
      <c r="K576" s="196">
        <f t="shared" si="90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'กระบี่'!I577+'ชุมพร'!I577+'ตรัง'!I577+'นครศรีธรรมราช'!I577+'นราธิวาส'!I577+'ปัตตานี'!I577+'พังงา'!I577+'พัทลุง'!I577+'ภูเก็ต'!I577+'ยะลา'!I577+'ระนอง'!I577+'สงขลา'!I577+'สตูล'!I577+'สุราษฎร์ธานี'!I577</f>
        <v>0</v>
      </c>
      <c r="J577" s="223">
        <f>'กระบี่'!J577+'ชุมพร'!J577+'ตรัง'!J577+'นครศรีธรรมราช'!J577+'นราธิวาส'!J577+'ปัตตานี'!J577+'พังงา'!J577+'พัทลุง'!J577+'ภูเก็ต'!J577+'ยะลา'!J577+'ระนอง'!J577+'สงขลา'!J577+'สตูล'!J577+'สุราษฎร์ธานี'!J577</f>
        <v>10037</v>
      </c>
      <c r="K577" s="196">
        <f t="shared" si="90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'กระบี่'!I578+'ชุมพร'!I578+'ตรัง'!I578+'นครศรีธรรมราช'!I578+'นราธิวาส'!I578+'ปัตตานี'!I578+'พังงา'!I578+'พัทลุง'!I578+'ภูเก็ต'!I578+'ยะลา'!I578+'ระนอง'!I578+'สงขลา'!I578+'สตูล'!I578+'สุราษฎร์ธานี'!I578</f>
        <v>0</v>
      </c>
      <c r="J578" s="232">
        <f>'กระบี่'!J578+'ชุมพร'!J578+'ตรัง'!J578+'นครศรีธรรมราช'!J578+'นราธิวาส'!J578+'ปัตตานี'!J578+'พังงา'!J578+'พัทลุง'!J578+'ภูเก็ต'!J578+'ยะลา'!J578+'ระนอง'!J578+'สงขลา'!J578+'สตูล'!J578+'สุราษฎร์ธานี'!J578</f>
        <v>2</v>
      </c>
      <c r="K578" s="196">
        <f t="shared" si="90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'กระบี่'!I579+'ชุมพร'!I579+'ตรัง'!I579+'นครศรีธรรมราช'!I579+'นราธิวาส'!I579+'ปัตตานี'!I579+'พังงา'!I579+'พัทลุง'!I579+'ภูเก็ต'!I579+'ยะลา'!I579+'ระนอง'!I579+'สงขลา'!I579+'สตูล'!I579+'สุราษฎร์ธานี'!I579</f>
        <v>0</v>
      </c>
      <c r="J579" s="232">
        <f>'กระบี่'!J579+'ชุมพร'!J579+'ตรัง'!J579+'นครศรีธรรมราช'!J579+'นราธิวาส'!J579+'ปัตตานี'!J579+'พังงา'!J579+'พัทลุง'!J579+'ภูเก็ต'!J579+'ยะลา'!J579+'ระนอง'!J579+'สงขลา'!J579+'สตูล'!J579+'สุราษฎร์ธานี'!J579</f>
        <v>0</v>
      </c>
      <c r="K579" s="196">
        <f t="shared" si="90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'กระบี่'!I580+'ชุมพร'!I580+'ตรัง'!I580+'นครศรีธรรมราช'!I580+'นราธิวาส'!I580+'ปัตตานี'!I580+'พังงา'!I580+'พัทลุง'!I580+'ภูเก็ต'!I580+'ยะลา'!I580+'ระนอง'!I580+'สงขลา'!I580+'สตูล'!I580+'สุราษฎร์ธานี'!I580</f>
        <v>292</v>
      </c>
      <c r="J580" s="404">
        <f>'กระบี่'!J580+'ชุมพร'!J580+'ตรัง'!J580+'นครศรีธรรมราช'!J580+'นราธิวาส'!J580+'ปัตตานี'!J580+'พังงา'!J580+'พัทลุง'!J580+'ภูเก็ต'!J580+'ยะลา'!J580+'ระนอง'!J580+'สงขลา'!J580+'สตูล'!J580+'สุราษฎร์ธานี'!J580</f>
        <v>0</v>
      </c>
      <c r="K580" s="405">
        <f>IF(I580&gt;0,J580*100/I580,0)</f>
        <v>0</v>
      </c>
      <c r="L580" s="406">
        <f>'กระบี่'!L580+'ชุมพร'!L580+'ตรัง'!L580+'นครศรีธรรมราช'!L580+'นราธิวาส'!L580+'ปัตตานี'!L580+'พังงา'!L580+'พัทลุง'!L580+'ภูเก็ต'!L580+'ยะลา'!L580+'ระนอง'!L580+'สงขลา'!L580+'สตูล'!L580+'สุราษฎร์ธานี'!L580</f>
        <v>667592</v>
      </c>
      <c r="M580" s="406"/>
      <c r="N580" s="406">
        <f>'กระบี่'!N580+'ชุมพร'!N580+'ตรัง'!N580+'นครศรีธรรมราช'!N580+'นราธิวาส'!N580+'ปัตตานี'!N580+'พังงา'!N580+'พัทลุง'!N580+'ภูเก็ต'!N580+'ยะลา'!N580+'ระนอง'!N580+'สงขลา'!N580+'สตูล'!N580+'สุราษฎร์ธานี'!N580</f>
        <v>9935</v>
      </c>
      <c r="O580" s="406">
        <f t="shared" ref="O580:O584" si="91">+IF(L580&gt;0,N580*100/L580,0)</f>
        <v>1.4881844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'กระบี่'!L581+'ชุมพร'!L581+'ตรัง'!L581+'นครศรีธรรมราช'!L581+'นราธิวาส'!L581+'ปัตตานี'!L581+'พังงา'!L581+'พัทลุง'!L581+'ภูเก็ต'!L581+'ยะลา'!L581+'ระนอง'!L581+'สงขลา'!L581+'สตูล'!L581+'สุราษฎร์ธานี'!L581</f>
        <v>0</v>
      </c>
      <c r="M581" s="197"/>
      <c r="N581" s="203">
        <f>'กระบี่'!N581+'ชุมพร'!N581+'ตรัง'!N581+'นครศรีธรรมราช'!N581+'นราธิวาส'!N581+'ปัตตานี'!N581+'พังงา'!N581+'พัทลุง'!N581+'ภูเก็ต'!N581+'ยะลา'!N581+'ระนอง'!N581+'สงขลา'!N581+'สตูล'!N581+'สุราษฎร์ธานี'!N581</f>
        <v>0</v>
      </c>
      <c r="O581" s="203">
        <f t="shared" si="91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'กระบี่'!L582+'ชุมพร'!L582+'ตรัง'!L582+'นครศรีธรรมราช'!L582+'นราธิวาส'!L582+'ปัตตานี'!L582+'พังงา'!L582+'พัทลุง'!L582+'ภูเก็ต'!L582+'ยะลา'!L582+'ระนอง'!L582+'สงขลา'!L582+'สตูล'!L582+'สุราษฎร์ธานี'!L582</f>
        <v>667592</v>
      </c>
      <c r="M582" s="198"/>
      <c r="N582" s="203">
        <f>'กระบี่'!N582+'ชุมพร'!N582+'ตรัง'!N582+'นครศรีธรรมราช'!N582+'นราธิวาส'!N582+'ปัตตานี'!N582+'พังงา'!N582+'พัทลุง'!N582+'ภูเก็ต'!N582+'ยะลา'!N582+'ระนอง'!N582+'สงขลา'!N582+'สตูล'!N582+'สุราษฎร์ธานี'!N582</f>
        <v>9935</v>
      </c>
      <c r="O582" s="203">
        <f t="shared" si="91"/>
        <v>1.4881844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'กระบี่'!L583+'ชุมพร'!L583+'ตรัง'!L583+'นครศรีธรรมราช'!L583+'นราธิวาส'!L583+'ปัตตานี'!L583+'พังงา'!L583+'พัทลุง'!L583+'ภูเก็ต'!L583+'ยะลา'!L583+'ระนอง'!L583+'สงขลา'!L583+'สตูล'!L583+'สุราษฎร์ธานี'!L583</f>
        <v>0</v>
      </c>
      <c r="M583" s="203"/>
      <c r="N583" s="203">
        <f>'กระบี่'!N583+'ชุมพร'!N583+'ตรัง'!N583+'นครศรีธรรมราช'!N583+'นราธิวาส'!N583+'ปัตตานี'!N583+'พังงา'!N583+'พัทลุง'!N583+'ภูเก็ต'!N583+'ยะลา'!N583+'ระนอง'!N583+'สงขลา'!N583+'สตูล'!N583+'สุราษฎร์ธานี'!N583</f>
        <v>0</v>
      </c>
      <c r="O583" s="203">
        <f t="shared" si="91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'กระบี่'!L584+'ชุมพร'!L584+'ตรัง'!L584+'นครศรีธรรมราช'!L584+'นราธิวาส'!L584+'ปัตตานี'!L584+'พังงา'!L584+'พัทลุง'!L584+'ภูเก็ต'!L584+'ยะลา'!L584+'ระนอง'!L584+'สงขลา'!L584+'สตูล'!L584+'สุราษฎร์ธานี'!L584</f>
        <v>667592</v>
      </c>
      <c r="M584" s="203"/>
      <c r="N584" s="203">
        <f>'กระบี่'!N584+'ชุมพร'!N584+'ตรัง'!N584+'นครศรีธรรมราช'!N584+'นราธิวาส'!N584+'ปัตตานี'!N584+'พังงา'!N584+'พัทลุง'!N584+'ภูเก็ต'!N584+'ยะลา'!N584+'ระนอง'!N584+'สงขลา'!N584+'สตูล'!N584+'สุราษฎร์ธานี'!N584</f>
        <v>9935</v>
      </c>
      <c r="O584" s="203">
        <f t="shared" si="91"/>
        <v>1.4881844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'กระบี่'!N585+'ชุมพร'!N585+'ตรัง'!N585+'นครศรีธรรมราช'!N585+'นราธิวาส'!N585+'ปัตตานี'!N585+'พังงา'!N585+'พัทลุง'!N585+'ภูเก็ต'!N585+'ยะลา'!N585+'ระนอง'!N585+'สงขลา'!N585+'สตูล'!N585+'สุราษฎร์ธานี'!N585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'กระบี่'!N586+'ชุมพร'!N586+'ตรัง'!N586+'นครศรีธรรมราช'!N586+'นราธิวาส'!N586+'ปัตตานี'!N586+'พังงา'!N586+'พัทลุง'!N586+'ภูเก็ต'!N586+'ยะลา'!N586+'ระนอง'!N586+'สงขลา'!N586+'สตูล'!N586+'สุราษฎร์ธานี'!N586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'กระบี่'!N587+'ชุมพร'!N587+'ตรัง'!N587+'นครศรีธรรมราช'!N587+'นราธิวาส'!N587+'ปัตตานี'!N587+'พังงา'!N587+'พัทลุง'!N587+'ภูเก็ต'!N587+'ยะลา'!N587+'ระนอง'!N587+'สงขลา'!N587+'สตูล'!N587+'สุราษฎร์ธานี'!N587</f>
        <v>9935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'กระบี่'!N588+'ชุมพร'!N588+'ตรัง'!N588+'นครศรีธรรมราช'!N588+'นราธิวาส'!N588+'ปัตตานี'!N588+'พังงา'!N588+'พัทลุง'!N588+'ภูเก็ต'!N588+'ยะลา'!N588+'ระนอง'!N588+'สงขลา'!N588+'สตูล'!N588+'สุราษฎร์ธานี'!N588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'กระบี่'!I589+'ชุมพร'!I589+'ตรัง'!I589+'นครศรีธรรมราช'!I589+'นราธิวาส'!I589+'ปัตตานี'!I589+'พังงา'!I589+'พัทลุง'!I589+'ภูเก็ต'!I589+'ยะลา'!I589+'ระนอง'!I589+'สงขลา'!I589+'สตูล'!I589+'สุราษฎร์ธานี'!I589</f>
        <v>292</v>
      </c>
      <c r="J589" s="222">
        <f>'กระบี่'!J589+'ชุมพร'!J589+'ตรัง'!J589+'นครศรีธรรมราช'!J589+'นราธิวาส'!J589+'ปัตตานี'!J589+'พังงา'!J589+'พัทลุง'!J589+'ภูเก็ต'!J589+'ยะลา'!J589+'ระนอง'!J589+'สงขลา'!J589+'สตูล'!J589+'สุราษฎร์ธานี'!J589</f>
        <v>39</v>
      </c>
      <c r="K589" s="196">
        <f t="shared" ref="K589:K596" si="92">IF(I589&gt;0,J589*100/I589,0)</f>
        <v>13.35616438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'กระบี่'!I590+'ชุมพร'!I590+'ตรัง'!I590+'นครศรีธรรมราช'!I590+'นราธิวาส'!I590+'ปัตตานี'!I590+'พังงา'!I590+'พัทลุง'!I590+'ภูเก็ต'!I590+'ยะลา'!I590+'ระนอง'!I590+'สงขลา'!I590+'สตูล'!I590+'สุราษฎร์ธานี'!I590</f>
        <v>0</v>
      </c>
      <c r="J590" s="222">
        <f>'กระบี่'!J590+'ชุมพร'!J590+'ตรัง'!J590+'นครศรีธรรมราช'!J590+'นราธิวาส'!J590+'ปัตตานี'!J590+'พังงา'!J590+'พัทลุง'!J590+'ภูเก็ต'!J590+'ยะลา'!J590+'ระนอง'!J590+'สงขลา'!J590+'สตูล'!J590+'สุราษฎร์ธานี'!J590</f>
        <v>9.54</v>
      </c>
      <c r="K590" s="512">
        <f t="shared" si="92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'กระบี่'!I591+'ชุมพร'!I591+'ตรัง'!I591+'นครศรีธรรมราช'!I591+'นราธิวาส'!I591+'ปัตตานี'!I591+'พังงา'!I591+'พัทลุง'!I591+'ภูเก็ต'!I591+'ยะลา'!I591+'ระนอง'!I591+'สงขลา'!I591+'สตูล'!I591+'สุราษฎร์ธานี'!I591</f>
        <v>292</v>
      </c>
      <c r="J591" s="222">
        <f>'กระบี่'!J591+'ชุมพร'!J591+'ตรัง'!J591+'นครศรีธรรมราช'!J591+'นราธิวาส'!J591+'ปัตตานี'!J591+'พังงา'!J591+'พัทลุง'!J591+'ภูเก็ต'!J591+'ยะลา'!J591+'ระนอง'!J591+'สงขลา'!J591+'สตูล'!J591+'สุราษฎร์ธานี'!J591</f>
        <v>0</v>
      </c>
      <c r="K591" s="196">
        <f t="shared" si="92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'กระบี่'!I592+'ชุมพร'!I592+'ตรัง'!I592+'นครศรีธรรมราช'!I592+'นราธิวาส'!I592+'ปัตตานี'!I592+'พังงา'!I592+'พัทลุง'!I592+'ภูเก็ต'!I592+'ยะลา'!I592+'ระนอง'!I592+'สงขลา'!I592+'สตูล'!I592+'สุราษฎร์ธานี'!I592</f>
        <v>0</v>
      </c>
      <c r="J592" s="222">
        <f>'กระบี่'!J592+'ชุมพร'!J592+'ตรัง'!J592+'นครศรีธรรมราช'!J592+'นราธิวาส'!J592+'ปัตตานี'!J592+'พังงา'!J592+'พัทลุง'!J592+'ภูเก็ต'!J592+'ยะลา'!J592+'ระนอง'!J592+'สงขลา'!J592+'สตูล'!J592+'สุราษฎร์ธานี'!J592</f>
        <v>0</v>
      </c>
      <c r="K592" s="375">
        <f t="shared" si="92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'กระบี่'!I593+'ชุมพร'!I593+'ตรัง'!I593+'นครศรีธรรมราช'!I593+'นราธิวาส'!I593+'ปัตตานี'!I593+'พังงา'!I593+'พัทลุง'!I593+'ภูเก็ต'!I593+'ยะลา'!I593+'ระนอง'!I593+'สงขลา'!I593+'สตูล'!I593+'สุราษฎร์ธานี'!I593</f>
        <v>292</v>
      </c>
      <c r="J593" s="222">
        <f>'กระบี่'!J593+'ชุมพร'!J593+'ตรัง'!J593+'นครศรีธรรมราช'!J593+'นราธิวาส'!J593+'ปัตตานี'!J593+'พังงา'!J593+'พัทลุง'!J593+'ภูเก็ต'!J593+'ยะลา'!J593+'ระนอง'!J593+'สงขลา'!J593+'สตูล'!J593+'สุราษฎร์ธานี'!J593</f>
        <v>0</v>
      </c>
      <c r="K593" s="196">
        <f t="shared" si="92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'กระบี่'!I594+'ชุมพร'!I594+'ตรัง'!I594+'นครศรีธรรมราช'!I594+'นราธิวาส'!I594+'ปัตตานี'!I594+'พังงา'!I594+'พัทลุง'!I594+'ภูเก็ต'!I594+'ยะลา'!I594+'ระนอง'!I594+'สงขลา'!I594+'สตูล'!I594+'สุราษฎร์ธานี'!I594</f>
        <v>0</v>
      </c>
      <c r="J594" s="222">
        <f>'กระบี่'!J594+'ชุมพร'!J594+'ตรัง'!J594+'นครศรีธรรมราช'!J594+'นราธิวาส'!J594+'ปัตตานี'!J594+'พังงา'!J594+'พัทลุง'!J594+'ภูเก็ต'!J594+'ยะลา'!J594+'ระนอง'!J594+'สงขลา'!J594+'สตูล'!J594+'สุราษฎร์ธานี'!J594</f>
        <v>0</v>
      </c>
      <c r="K594" s="375">
        <f t="shared" si="92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'กระบี่'!I595+'ชุมพร'!I595+'ตรัง'!I595+'นครศรีธรรมราช'!I595+'นราธิวาส'!I595+'ปัตตานี'!I595+'พังงา'!I595+'พัทลุง'!I595+'ภูเก็ต'!I595+'ยะลา'!I595+'ระนอง'!I595+'สงขลา'!I595+'สตูล'!I595+'สุราษฎร์ธานี'!I595</f>
        <v>292</v>
      </c>
      <c r="J595" s="222">
        <f>'กระบี่'!J595+'ชุมพร'!J595+'ตรัง'!J595+'นครศรีธรรมราช'!J595+'นราธิวาส'!J595+'ปัตตานี'!J595+'พังงา'!J595+'พัทลุง'!J595+'ภูเก็ต'!J595+'ยะลา'!J595+'ระนอง'!J595+'สงขลา'!J595+'สตูล'!J595+'สุราษฎร์ธานี'!J595</f>
        <v>0</v>
      </c>
      <c r="K595" s="196">
        <f t="shared" si="92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'กระบี่'!I596+'ชุมพร'!I596+'ตรัง'!I596+'นครศรีธรรมราช'!I596+'นราธิวาส'!I596+'ปัตตานี'!I596+'พังงา'!I596+'พัทลุง'!I596+'ภูเก็ต'!I596+'ยะลา'!I596+'ระนอง'!I596+'สงขลา'!I596+'สตูล'!I596+'สุราษฎร์ธานี'!I596</f>
        <v>0</v>
      </c>
      <c r="J596" s="275">
        <f>'กระบี่'!J596+'ชุมพร'!J596+'ตรัง'!J596+'นครศรีธรรมราช'!J596+'นราธิวาส'!J596+'ปัตตานี'!J596+'พังงา'!J596+'พัทลุง'!J596+'ภูเก็ต'!J596+'ยะลา'!J596+'ระนอง'!J596+'สงขลา'!J596+'สตูล'!J596+'สุราษฎร์ธานี'!J596</f>
        <v>0</v>
      </c>
      <c r="K596" s="519">
        <f t="shared" si="92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'กระบี่'!I597+'ชุมพร'!I597+'ตรัง'!I597+'นครศรีธรรมราช'!I597+'นราธิวาส'!I597+'ปัตตานี'!I597+'พังงา'!I597+'พัทลุง'!I597+'ภูเก็ต'!I597+'ยะลา'!I597+'ระนอง'!I597+'สงขลา'!I597+'สตูล'!I597+'สุราษฎร์ธานี'!I597</f>
        <v>1328</v>
      </c>
      <c r="J597" s="520">
        <f>'กระบี่'!J597+'ชุมพร'!J597+'ตรัง'!J597+'นครศรีธรรมราช'!J597+'นราธิวาส'!J597+'ปัตตานี'!J597+'พังงา'!J597+'พัทลุง'!J597+'ภูเก็ต'!J597+'ยะลา'!J597+'ระนอง'!J597+'สงขลา'!J597+'สตูล'!J597+'สุราษฎร์ธานี'!J597</f>
        <v>0</v>
      </c>
      <c r="K597" s="444">
        <f>IF(I597&gt;0,J597*100/I597,0)</f>
        <v>0</v>
      </c>
      <c r="L597" s="445">
        <f>'กระบี่'!L597+'ชุมพร'!L597+'ตรัง'!L597+'นครศรีธรรมราช'!L597+'นราธิวาส'!L597+'ปัตตานี'!L597+'พังงา'!L597+'พัทลุง'!L597+'ภูเก็ต'!L597+'ยะลา'!L597+'ระนอง'!L597+'สงขลา'!L597+'สตูล'!L597+'สุราษฎร์ธานี'!L597</f>
        <v>123580</v>
      </c>
      <c r="M597" s="445"/>
      <c r="N597" s="445">
        <f>'กระบี่'!N597+'ชุมพร'!N597+'ตรัง'!N597+'นครศรีธรรมราช'!N597+'นราธิวาส'!N597+'ปัตตานี'!N597+'พังงา'!N597+'พัทลุง'!N597+'ภูเก็ต'!N597+'ยะลา'!N597+'ระนอง'!N597+'สงขลา'!N597+'สตูล'!N597+'สุราษฎร์ธานี'!N597</f>
        <v>24537</v>
      </c>
      <c r="O597" s="445">
        <f t="shared" ref="O597:O601" si="93">+IF(L597&gt;0,N597*100/L597,0)</f>
        <v>19.85515456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'กระบี่'!L598+'ชุมพร'!L598+'ตรัง'!L598+'นครศรีธรรมราช'!L598+'นราธิวาส'!L598+'ปัตตานี'!L598+'พังงา'!L598+'พัทลุง'!L598+'ภูเก็ต'!L598+'ยะลา'!L598+'ระนอง'!L598+'สงขลา'!L598+'สตูล'!L598+'สุราษฎร์ธานี'!L598</f>
        <v>0</v>
      </c>
      <c r="M598" s="197"/>
      <c r="N598" s="203">
        <f>'กระบี่'!N598+'ชุมพร'!N598+'ตรัง'!N598+'นครศรีธรรมราช'!N598+'นราธิวาส'!N598+'ปัตตานี'!N598+'พังงา'!N598+'พัทลุง'!N598+'ภูเก็ต'!N598+'ยะลา'!N598+'ระนอง'!N598+'สงขลา'!N598+'สตูล'!N598+'สุราษฎร์ธานี'!N598</f>
        <v>0</v>
      </c>
      <c r="O598" s="203">
        <f t="shared" si="93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'กระบี่'!L599+'ชุมพร'!L599+'ตรัง'!L599+'นครศรีธรรมราช'!L599+'นราธิวาส'!L599+'ปัตตานี'!L599+'พังงา'!L599+'พัทลุง'!L599+'ภูเก็ต'!L599+'ยะลา'!L599+'ระนอง'!L599+'สงขลา'!L599+'สตูล'!L599+'สุราษฎร์ธานี'!L599</f>
        <v>123580</v>
      </c>
      <c r="M599" s="198"/>
      <c r="N599" s="203">
        <f>'กระบี่'!N599+'ชุมพร'!N599+'ตรัง'!N599+'นครศรีธรรมราช'!N599+'นราธิวาส'!N599+'ปัตตานี'!N599+'พังงา'!N599+'พัทลุง'!N599+'ภูเก็ต'!N599+'ยะลา'!N599+'ระนอง'!N599+'สงขลา'!N599+'สตูล'!N599+'สุราษฎร์ธานี'!N599</f>
        <v>24537</v>
      </c>
      <c r="O599" s="203">
        <f t="shared" si="93"/>
        <v>19.85515456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'กระบี่'!L600+'ชุมพร'!L600+'ตรัง'!L600+'นครศรีธรรมราช'!L600+'นราธิวาส'!L600+'ปัตตานี'!L600+'พังงา'!L600+'พัทลุง'!L600+'ภูเก็ต'!L600+'ยะลา'!L600+'ระนอง'!L600+'สงขลา'!L600+'สตูล'!L600+'สุราษฎร์ธานี'!L600</f>
        <v>0</v>
      </c>
      <c r="M600" s="203"/>
      <c r="N600" s="203">
        <f>'กระบี่'!N600+'ชุมพร'!N600+'ตรัง'!N600+'นครศรีธรรมราช'!N600+'นราธิวาส'!N600+'ปัตตานี'!N600+'พังงา'!N600+'พัทลุง'!N600+'ภูเก็ต'!N600+'ยะลา'!N600+'ระนอง'!N600+'สงขลา'!N600+'สตูล'!N600+'สุราษฎร์ธานี'!N600</f>
        <v>0</v>
      </c>
      <c r="O600" s="203">
        <f t="shared" si="93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'กระบี่'!L601+'ชุมพร'!L601+'ตรัง'!L601+'นครศรีธรรมราช'!L601+'นราธิวาส'!L601+'ปัตตานี'!L601+'พังงา'!L601+'พัทลุง'!L601+'ภูเก็ต'!L601+'ยะลา'!L601+'ระนอง'!L601+'สงขลา'!L601+'สตูล'!L601+'สุราษฎร์ธานี'!L601</f>
        <v>123580</v>
      </c>
      <c r="M601" s="203"/>
      <c r="N601" s="203">
        <f>'กระบี่'!N601+'ชุมพร'!N601+'ตรัง'!N601+'นครศรีธรรมราช'!N601+'นราธิวาส'!N601+'ปัตตานี'!N601+'พังงา'!N601+'พัทลุง'!N601+'ภูเก็ต'!N601+'ยะลา'!N601+'ระนอง'!N601+'สงขลา'!N601+'สตูล'!N601+'สุราษฎร์ธานี'!N601</f>
        <v>24537</v>
      </c>
      <c r="O601" s="203">
        <f t="shared" si="93"/>
        <v>19.85515456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'กระบี่'!N602+'ชุมพร'!N602+'ตรัง'!N602+'นครศรีธรรมราช'!N602+'นราธิวาส'!N602+'ปัตตานี'!N602+'พังงา'!N602+'พัทลุง'!N602+'ภูเก็ต'!N602+'ยะลา'!N602+'ระนอง'!N602+'สงขลา'!N602+'สตูล'!N602+'สุราษฎร์ธานี'!N602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'กระบี่'!N603+'ชุมพร'!N603+'ตรัง'!N603+'นครศรีธรรมราช'!N603+'นราธิวาส'!N603+'ปัตตานี'!N603+'พังงา'!N603+'พัทลุง'!N603+'ภูเก็ต'!N603+'ยะลา'!N603+'ระนอง'!N603+'สงขลา'!N603+'สตูล'!N603+'สุราษฎร์ธานี'!N603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'กระบี่'!N604+'ชุมพร'!N604+'ตรัง'!N604+'นครศรีธรรมราช'!N604+'นราธิวาส'!N604+'ปัตตานี'!N604+'พังงา'!N604+'พัทลุง'!N604+'ภูเก็ต'!N604+'ยะลา'!N604+'ระนอง'!N604+'สงขลา'!N604+'สตูล'!N604+'สุราษฎร์ธานี'!N604</f>
        <v>2400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'กระบี่'!N605+'ชุมพร'!N605+'ตรัง'!N605+'นครศรีธรรมราช'!N605+'นราธิวาส'!N605+'ปัตตานี'!N605+'พังงา'!N605+'พัทลุง'!N605+'ภูเก็ต'!N605+'ยะลา'!N605+'ระนอง'!N605+'สงขลา'!N605+'สตูล'!N605+'สุราษฎร์ธานี'!N605</f>
        <v>22137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'กระบี่'!J607+'ชุมพร'!J607+'ตรัง'!J607+'นครศรีธรรมราช'!J607+'นราธิวาส'!J607+'ปัตตานี'!J607+'พังงา'!J607+'พัทลุง'!J607+'ภูเก็ต'!J607+'ยะลา'!J607+'ระนอง'!J607+'สงขลา'!J607+'สตูล'!J607+'สุราษฎร์ธานี'!J607</f>
        <v>1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'กระบี่'!J608+'ชุมพร'!J608+'ตรัง'!J608+'นครศรีธรรมราช'!J608+'นราธิวาส'!J608+'ปัตตานี'!J608+'พังงา'!J608+'พัทลุง'!J608+'ภูเก็ต'!J608+'ยะลา'!J608+'ระนอง'!J608+'สงขลา'!J608+'สตูล'!J608+'สุราษฎร์ธานี'!J608</f>
        <v>13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'กระบี่'!J609+'ชุมพร'!J609+'ตรัง'!J609+'นครศรีธรรมราช'!J609+'นราธิวาส'!J609+'ปัตตานี'!J609+'พังงา'!J609+'พัทลุง'!J609+'ภูเก็ต'!J609+'ยะลา'!J609+'ระนอง'!J609+'สงขลา'!J609+'สตูล'!J609+'สุราษฎร์ธานี'!J609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'กระบี่'!J610+'ชุมพร'!J610+'ตรัง'!J610+'นครศรีธรรมราช'!J610+'นราธิวาส'!J610+'ปัตตานี'!J610+'พังงา'!J610+'พัทลุง'!J610+'ภูเก็ต'!J610+'ยะลา'!J610+'ระนอง'!J610+'สงขลา'!J610+'สตูล'!J610+'สุราษฎร์ธานี'!J610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'กระบี่'!I611+'ชุมพร'!I611+'ตรัง'!I611+'นครศรีธรรมราช'!I611+'นราธิวาส'!I611+'ปัตตานี'!I611+'พังงา'!I611+'พัทลุง'!I611+'ภูเก็ต'!I611+'ยะลา'!I611+'ระนอง'!I611+'สงขลา'!I611+'สตูล'!I611+'สุราษฎร์ธานี'!I611</f>
        <v>1328</v>
      </c>
      <c r="J611" s="195">
        <f>'กระบี่'!J611+'ชุมพร'!J611+'ตรัง'!J611+'นครศรีธรรมราช'!J611+'นราธิวาส'!J611+'ปัตตานี'!J611+'พังงา'!J611+'พัทลุง'!J611+'ภูเก็ต'!J611+'ยะลา'!J611+'ระนอง'!J611+'สงขลา'!J611+'สตูล'!J611+'สุราษฎร์ธานี'!J611</f>
        <v>0</v>
      </c>
      <c r="K611" s="196">
        <f t="shared" ref="K611:K619" si="94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'กระบี่'!I612+'ชุมพร'!I612+'ตรัง'!I612+'นครศรีธรรมราช'!I612+'นราธิวาส'!I612+'ปัตตานี'!I612+'พังงา'!I612+'พัทลุง'!I612+'ภูเก็ต'!I612+'ยะลา'!I612+'ระนอง'!I612+'สงขลา'!I612+'สตูล'!I612+'สุราษฎร์ธานี'!I612</f>
        <v>0</v>
      </c>
      <c r="J612" s="232">
        <f>'กระบี่'!J612+'ชุมพร'!J612+'ตรัง'!J612+'นครศรีธรรมราช'!J612+'นราธิวาส'!J612+'ปัตตานี'!J612+'พังงา'!J612+'พัทลุง'!J612+'ภูเก็ต'!J612+'ยะลา'!J612+'ระนอง'!J612+'สงขลา'!J612+'สตูล'!J612+'สุราษฎร์ธานี'!J612</f>
        <v>80</v>
      </c>
      <c r="K612" s="196">
        <f t="shared" si="94"/>
        <v>6.024096386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'กระบี่'!I613+'ชุมพร'!I613+'ตรัง'!I613+'นครศรีธรรมราช'!I613+'นราธิวาส'!I613+'ปัตตานี'!I613+'พังงา'!I613+'พัทลุง'!I613+'ภูเก็ต'!I613+'ยะลา'!I613+'ระนอง'!I613+'สงขลา'!I613+'สตูล'!I613+'สุราษฎร์ธานี'!I613</f>
        <v>0</v>
      </c>
      <c r="J613" s="232">
        <f>'กระบี่'!J613+'ชุมพร'!J613+'ตรัง'!J613+'นครศรีธรรมราช'!J613+'นราธิวาส'!J613+'ปัตตานี'!J613+'พังงา'!J613+'พัทลุง'!J613+'ภูเก็ต'!J613+'ยะลา'!J613+'ระนอง'!J613+'สงขลา'!J613+'สตูล'!J613+'สุราษฎร์ธานี'!J613</f>
        <v>30</v>
      </c>
      <c r="K613" s="196">
        <f t="shared" si="94"/>
        <v>2.259036145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'กระบี่'!I614+'ชุมพร'!I614+'ตรัง'!I614+'นครศรีธรรมราช'!I614+'นราธิวาส'!I614+'ปัตตานี'!I614+'พังงา'!I614+'พัทลุง'!I614+'ภูเก็ต'!I614+'ยะลา'!I614+'ระนอง'!I614+'สงขลา'!I614+'สตูล'!I614+'สุราษฎร์ธานี'!I614</f>
        <v>0</v>
      </c>
      <c r="J614" s="232">
        <f>'กระบี่'!J614+'ชุมพร'!J614+'ตรัง'!J614+'นครศรีธรรมราช'!J614+'นราธิวาส'!J614+'ปัตตานี'!J614+'พังงา'!J614+'พัทลุง'!J614+'ภูเก็ต'!J614+'ยะลา'!J614+'ระนอง'!J614+'สงขลา'!J614+'สตูล'!J614+'สุราษฎร์ธานี'!J614</f>
        <v>30</v>
      </c>
      <c r="K614" s="196">
        <f t="shared" si="94"/>
        <v>2.259036145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'กระบี่'!I615+'ชุมพร'!I615+'ตรัง'!I615+'นครศรีธรรมราช'!I615+'นราธิวาส'!I615+'ปัตตานี'!I615+'พังงา'!I615+'พัทลุง'!I615+'ภูเก็ต'!I615+'ยะลา'!I615+'ระนอง'!I615+'สงขลา'!I615+'สตูล'!I615+'สุราษฎร์ธานี'!I615</f>
        <v>0</v>
      </c>
      <c r="J615" s="232">
        <f>'กระบี่'!J615+'ชุมพร'!J615+'ตรัง'!J615+'นครศรีธรรมราช'!J615+'นราธิวาส'!J615+'ปัตตานี'!J615+'พังงา'!J615+'พัทลุง'!J615+'ภูเก็ต'!J615+'ยะลา'!J615+'ระนอง'!J615+'สงขลา'!J615+'สตูล'!J615+'สุราษฎร์ธานี'!J615</f>
        <v>0</v>
      </c>
      <c r="K615" s="196">
        <f t="shared" si="94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'กระบี่'!I616+'ชุมพร'!I616+'ตรัง'!I616+'นครศรีธรรมราช'!I616+'นราธิวาส'!I616+'ปัตตานี'!I616+'พังงา'!I616+'พัทลุง'!I616+'ภูเก็ต'!I616+'ยะลา'!I616+'ระนอง'!I616+'สงขลา'!I616+'สตูล'!I616+'สุราษฎร์ธานี'!I616</f>
        <v>0</v>
      </c>
      <c r="J616" s="232">
        <f>'กระบี่'!J616+'ชุมพร'!J616+'ตรัง'!J616+'นครศรีธรรมราช'!J616+'นราธิวาส'!J616+'ปัตตานี'!J616+'พังงา'!J616+'พัทลุง'!J616+'ภูเก็ต'!J616+'ยะลา'!J616+'ระนอง'!J616+'สงขลา'!J616+'สตูล'!J616+'สุราษฎร์ธานี'!J616</f>
        <v>0</v>
      </c>
      <c r="K616" s="196">
        <f t="shared" si="94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'กระบี่'!I617+'ชุมพร'!I617+'ตรัง'!I617+'นครศรีธรรมราช'!I617+'นราธิวาส'!I617+'ปัตตานี'!I617+'พังงา'!I617+'พัทลุง'!I617+'ภูเก็ต'!I617+'ยะลา'!I617+'ระนอง'!I617+'สงขลา'!I617+'สตูล'!I617+'สุราษฎร์ธานี'!I617</f>
        <v>0</v>
      </c>
      <c r="J617" s="222">
        <f>'กระบี่'!J617+'ชุมพร'!J617+'ตรัง'!J617+'นครศรีธรรมราช'!J617+'นราธิวาส'!J617+'ปัตตานี'!J617+'พังงา'!J617+'พัทลุง'!J617+'ภูเก็ต'!J617+'ยะลา'!J617+'ระนอง'!J617+'สงขลา'!J617+'สตูล'!J617+'สุราษฎร์ธานี'!J617</f>
        <v>0</v>
      </c>
      <c r="K617" s="196">
        <f t="shared" si="94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'กระบี่'!I618+'ชุมพร'!I618+'ตรัง'!I618+'นครศรีธรรมราช'!I618+'นราธิวาส'!I618+'ปัตตานี'!I618+'พังงา'!I618+'พัทลุง'!I618+'ภูเก็ต'!I618+'ยะลา'!I618+'ระนอง'!I618+'สงขลา'!I618+'สตูล'!I618+'สุราษฎร์ธานี'!I618</f>
        <v>0</v>
      </c>
      <c r="J618" s="223">
        <f>'กระบี่'!J618+'ชุมพร'!J618+'ตรัง'!J618+'นครศรีธรรมราช'!J618+'นราธิวาส'!J618+'ปัตตานี'!J618+'พังงา'!J618+'พัทลุง'!J618+'ภูเก็ต'!J618+'ยะลา'!J618+'ระนอง'!J618+'สงขลา'!J618+'สตูล'!J618+'สุราษฎร์ธานี'!J618</f>
        <v>0</v>
      </c>
      <c r="K618" s="196">
        <f t="shared" si="94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'กระบี่'!I619+'ชุมพร'!I619+'ตรัง'!I619+'นครศรีธรรมราช'!I619+'นราธิวาส'!I619+'ปัตตานี'!I619+'พังงา'!I619+'พัทลุง'!I619+'ภูเก็ต'!I619+'ยะลา'!I619+'ระนอง'!I619+'สงขลา'!I619+'สตูล'!I619+'สุราษฎร์ธานี'!I619</f>
        <v>0</v>
      </c>
      <c r="J619" s="223">
        <f>'กระบี่'!J619+'ชุมพร'!J619+'ตรัง'!J619+'นครศรีธรรมราช'!J619+'นราธิวาส'!J619+'ปัตตานี'!J619+'พังงา'!J619+'พัทลุง'!J619+'ภูเก็ต'!J619+'ยะลา'!J619+'ระนอง'!J619+'สงขลา'!J619+'สตูล'!J619+'สุราษฎร์ธานี'!J619</f>
        <v>0</v>
      </c>
      <c r="K619" s="196">
        <f t="shared" si="94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'กระบี่'!I620+'ชุมพร'!I620+'ตรัง'!I620+'นครศรีธรรมราช'!I620+'นราธิวาส'!I620+'ปัตตานี'!I620+'พังงา'!I620+'พัทลุง'!I620+'ภูเก็ต'!I620+'ยะลา'!I620+'ระนอง'!I620+'สงขลา'!I620+'สตูล'!I620+'สุราษฎร์ธานี'!I620</f>
        <v>314.84</v>
      </c>
      <c r="J620" s="237">
        <f>'กระบี่'!J620+'ชุมพร'!J620+'ตรัง'!J620+'นครศรีธรรมราช'!J620+'นราธิวาส'!J620+'ปัตตานี'!J620+'พังงา'!J620+'พัทลุง'!J620+'ภูเก็ต'!J620+'ยะลา'!J620+'ระนอง'!J620+'สงขลา'!J620+'สตูล'!J620+'สุราษฎร์ธานี'!J620</f>
        <v>0</v>
      </c>
      <c r="K620" s="196">
        <f t="shared" ref="K620:K626" si="95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'กระบี่'!I621+'ชุมพร'!I621+'ตรัง'!I621+'นครศรีธรรมราช'!I621+'นราธิวาส'!I621+'ปัตตานี'!I621+'พังงา'!I621+'พัทลุง'!I621+'ภูเก็ต'!I621+'ยะลา'!I621+'ระนอง'!I621+'สงขลา'!I621+'สตูล'!I621+'สุราษฎร์ธานี'!I621</f>
        <v>0</v>
      </c>
      <c r="J621" s="237">
        <f>'กระบี่'!J621+'ชุมพร'!J621+'ตรัง'!J621+'นครศรีธรรมราช'!J621+'นราธิวาส'!J621+'ปัตตานี'!J621+'พังงา'!J621+'พัทลุง'!J621+'ภูเก็ต'!J621+'ยะลา'!J621+'ระนอง'!J621+'สงขลา'!J621+'สตูล'!J621+'สุราษฎร์ธานี'!J621</f>
        <v>0</v>
      </c>
      <c r="K621" s="196">
        <f t="shared" si="95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'กระบี่'!I622+'ชุมพร'!I622+'ตรัง'!I622+'นครศรีธรรมราช'!I622+'นราธิวาส'!I622+'ปัตตานี'!I622+'พังงา'!I622+'พัทลุง'!I622+'ภูเก็ต'!I622+'ยะลา'!I622+'ระนอง'!I622+'สงขลา'!I622+'สตูล'!I622+'สุราษฎร์ธานี'!I622</f>
        <v>0</v>
      </c>
      <c r="J622" s="223">
        <f>'กระบี่'!J622+'ชุมพร'!J622+'ตรัง'!J622+'นครศรีธรรมราช'!J622+'นราธิวาส'!J622+'ปัตตานี'!J622+'พังงา'!J622+'พัทลุง'!J622+'ภูเก็ต'!J622+'ยะลา'!J622+'ระนอง'!J622+'สงขลา'!J622+'สตูล'!J622+'สุราษฎร์ธานี'!J622</f>
        <v>0</v>
      </c>
      <c r="K622" s="196">
        <f t="shared" si="95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'กระบี่'!I623+'ชุมพร'!I623+'ตรัง'!I623+'นครศรีธรรมราช'!I623+'นราธิวาส'!I623+'ปัตตานี'!I623+'พังงา'!I623+'พัทลุง'!I623+'ภูเก็ต'!I623+'ยะลา'!I623+'ระนอง'!I623+'สงขลา'!I623+'สตูล'!I623+'สุราษฎร์ธานี'!I623</f>
        <v>0</v>
      </c>
      <c r="J623" s="223">
        <f>'กระบี่'!J623+'ชุมพร'!J623+'ตรัง'!J623+'นครศรีธรรมราช'!J623+'นราธิวาส'!J623+'ปัตตานี'!J623+'พังงา'!J623+'พัทลุง'!J623+'ภูเก็ต'!J623+'ยะลา'!J623+'ระนอง'!J623+'สงขลา'!J623+'สตูล'!J623+'สุราษฎร์ธานี'!J623</f>
        <v>0</v>
      </c>
      <c r="K623" s="196">
        <f t="shared" si="95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'กระบี่'!I624+'ชุมพร'!I624+'ตรัง'!I624+'นครศรีธรรมราช'!I624+'นราธิวาส'!I624+'ปัตตานี'!I624+'พังงา'!I624+'พัทลุง'!I624+'ภูเก็ต'!I624+'ยะลา'!I624+'ระนอง'!I624+'สงขลา'!I624+'สตูล'!I624+'สุราษฎร์ธานี'!I624</f>
        <v>0</v>
      </c>
      <c r="J624" s="222">
        <f>'กระบี่'!J624+'ชุมพร'!J624+'ตรัง'!J624+'นครศรีธรรมราช'!J624+'นราธิวาส'!J624+'ปัตตานี'!J624+'พังงา'!J624+'พัทลุง'!J624+'ภูเก็ต'!J624+'ยะลา'!J624+'ระนอง'!J624+'สงขลา'!J624+'สตูล'!J624+'สุราษฎร์ธานี'!J624</f>
        <v>0</v>
      </c>
      <c r="K624" s="196">
        <f t="shared" si="95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'กระบี่'!I625+'ชุมพร'!I625+'ตรัง'!I625+'นครศรีธรรมราช'!I625+'นราธิวาส'!I625+'ปัตตานี'!I625+'พังงา'!I625+'พัทลุง'!I625+'ภูเก็ต'!I625+'ยะลา'!I625+'ระนอง'!I625+'สงขลา'!I625+'สตูล'!I625+'สุราษฎร์ธานี'!I625</f>
        <v>0</v>
      </c>
      <c r="J625" s="223">
        <f>'กระบี่'!J625+'ชุมพร'!J625+'ตรัง'!J625+'นครศรีธรรมราช'!J625+'นราธิวาส'!J625+'ปัตตานี'!J625+'พังงา'!J625+'พัทลุง'!J625+'ภูเก็ต'!J625+'ยะลา'!J625+'ระนอง'!J625+'สงขลา'!J625+'สตูล'!J625+'สุราษฎร์ธานี'!J625</f>
        <v>0</v>
      </c>
      <c r="K625" s="196">
        <f t="shared" si="95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'กระบี่'!I626+'ชุมพร'!I626+'ตรัง'!I626+'นครศรีธรรมราช'!I626+'นราธิวาส'!I626+'ปัตตานี'!I626+'พังงา'!I626+'พัทลุง'!I626+'ภูเก็ต'!I626+'ยะลา'!I626+'ระนอง'!I626+'สงขลา'!I626+'สตูล'!I626+'สุราษฎร์ธานี'!I626</f>
        <v>0</v>
      </c>
      <c r="J626" s="223">
        <f>'กระบี่'!J626+'ชุมพร'!J626+'ตรัง'!J626+'นครศรีธรรมราช'!J626+'นราธิวาส'!J626+'ปัตตานี'!J626+'พังงา'!J626+'พัทลุง'!J626+'ภูเก็ต'!J626+'ยะลา'!J626+'ระนอง'!J626+'สงขลา'!J626+'สตูล'!J626+'สุราษฎร์ธานี'!J626</f>
        <v>0</v>
      </c>
      <c r="K626" s="196">
        <f t="shared" si="95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'กระบี่'!I628+'ชุมพร'!I628+'ตรัง'!I628+'นครศรีธรรมราช'!I628+'นราธิวาส'!I628+'ปัตตานี'!I628+'พังงา'!I628+'พัทลุง'!I628+'ภูเก็ต'!I628+'ยะลา'!I628+'ระนอง'!I628+'สงขลา'!I628+'สตูล'!I628+'สุราษฎร์ธานี'!I628</f>
        <v>18853184.21</v>
      </c>
      <c r="J628" s="374">
        <f>'กระบี่'!J628+'ชุมพร'!J628+'ตรัง'!J628+'นครศรีธรรมราช'!J628+'นราธิวาส'!J628+'ปัตตานี'!J628+'พังงา'!J628+'พัทลุง'!J628+'ภูเก็ต'!J628+'ยะลา'!J628+'ระนอง'!J628+'สงขลา'!J628+'สตูล'!J628+'สุราษฎร์ธานี'!J628</f>
        <v>1324449.88</v>
      </c>
      <c r="K628" s="375">
        <f t="shared" ref="K628:K635" si="96">IF(I628&gt;0,J628*100/I628,0)</f>
        <v>7.02507261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'กระบี่'!I629+'ชุมพร'!I629+'ตรัง'!I629+'นครศรีธรรมราช'!I629+'นราธิวาส'!I629+'ปัตตานี'!I629+'พังงา'!I629+'พัทลุง'!I629+'ภูเก็ต'!I629+'ยะลา'!I629+'ระนอง'!I629+'สงขลา'!I629+'สตูล'!I629+'สุราษฎร์ธานี'!I629</f>
        <v>1452</v>
      </c>
      <c r="J629" s="374">
        <f>'กระบี่'!J629+'ชุมพร'!J629+'ตรัง'!J629+'นครศรีธรรมราช'!J629+'นราธิวาส'!J629+'ปัตตานี'!J629+'พังงา'!J629+'พัทลุง'!J629+'ภูเก็ต'!J629+'ยะลา'!J629+'ระนอง'!J629+'สงขลา'!J629+'สตูล'!J629+'สุราษฎร์ธานี'!J629</f>
        <v>119</v>
      </c>
      <c r="K629" s="375">
        <f t="shared" si="96"/>
        <v>8.195592287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'กระบี่'!I630+'ชุมพร'!I630+'ตรัง'!I630+'นครศรีธรรมราช'!I630+'นราธิวาส'!I630+'ปัตตานี'!I630+'พังงา'!I630+'พัทลุง'!I630+'ภูเก็ต'!I630+'ยะลา'!I630+'ระนอง'!I630+'สงขลา'!I630+'สตูล'!I630+'สุราษฎร์ธานี'!I630</f>
        <v>21691383.2</v>
      </c>
      <c r="J630" s="374">
        <f>'กระบี่'!J630+'ชุมพร'!J630+'ตรัง'!J630+'นครศรีธรรมราช'!J630+'นราธิวาส'!J630+'ปัตตานี'!J630+'พังงา'!J630+'พัทลุง'!J630+'ภูเก็ต'!J630+'ยะลา'!J630+'ระนอง'!J630+'สงขลา'!J630+'สตูล'!J630+'สุราษฎร์ธานี'!J630</f>
        <v>2203192.22</v>
      </c>
      <c r="K630" s="375">
        <f t="shared" si="96"/>
        <v>10.15699275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'กระบี่'!I631+'ชุมพร'!I631+'ตรัง'!I631+'นครศรีธรรมราช'!I631+'นราธิวาส'!I631+'ปัตตานี'!I631+'พังงา'!I631+'พัทลุง'!I631+'ภูเก็ต'!I631+'ยะลา'!I631+'ระนอง'!I631+'สงขลา'!I631+'สตูล'!I631+'สุราษฎร์ธานี'!I631</f>
        <v>878</v>
      </c>
      <c r="J631" s="374">
        <f>'กระบี่'!J631+'ชุมพร'!J631+'ตรัง'!J631+'นครศรีธรรมราช'!J631+'นราธิวาส'!J631+'ปัตตานี'!J631+'พังงา'!J631+'พัทลุง'!J631+'ภูเก็ต'!J631+'ยะลา'!J631+'ระนอง'!J631+'สงขลา'!J631+'สตูล'!J631+'สุราษฎร์ธานี'!J631</f>
        <v>385</v>
      </c>
      <c r="K631" s="375">
        <f t="shared" si="96"/>
        <v>43.84965831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'กระบี่'!I632+'ชุมพร'!I632+'ตรัง'!I632+'นครศรีธรรมราช'!I632+'นราธิวาส'!I632+'ปัตตานี'!I632+'พังงา'!I632+'พัทลุง'!I632+'ภูเก็ต'!I632+'ยะลา'!I632+'ระนอง'!I632+'สงขลา'!I632+'สตูล'!I632+'สุราษฎร์ธานี'!I632</f>
        <v>196999.6</v>
      </c>
      <c r="J632" s="374">
        <f>'กระบี่'!J632+'ชุมพร'!J632+'ตรัง'!J632+'นครศรีธรรมราช'!J632+'นราธิวาส'!J632+'ปัตตานี'!J632+'พังงา'!J632+'พัทลุง'!J632+'ภูเก็ต'!J632+'ยะลา'!J632+'ระนอง'!J632+'สงขลา'!J632+'สตูล'!J632+'สุราษฎร์ธานี'!J632</f>
        <v>42240.39</v>
      </c>
      <c r="K632" s="375">
        <f t="shared" si="96"/>
        <v>21.44186587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'กระบี่'!I633+'ชุมพร'!I633+'ตรัง'!I633+'นครศรีธรรมราช'!I633+'นราธิวาส'!I633+'ปัตตานี'!I633+'พังงา'!I633+'พัทลุง'!I633+'ภูเก็ต'!I633+'ยะลา'!I633+'ระนอง'!I633+'สงขลา'!I633+'สตูล'!I633+'สุราษฎร์ธานี'!I633</f>
        <v>411</v>
      </c>
      <c r="J633" s="374">
        <f>'กระบี่'!J633+'ชุมพร'!J633+'ตรัง'!J633+'นครศรีธรรมราช'!J633+'นราธิวาส'!J633+'ปัตตานี'!J633+'พังงา'!J633+'พัทลุง'!J633+'ภูเก็ต'!J633+'ยะลา'!J633+'ระนอง'!J633+'สงขลา'!J633+'สตูล'!J633+'สุราษฎร์ธานี'!J633</f>
        <v>52</v>
      </c>
      <c r="K633" s="375">
        <f t="shared" si="96"/>
        <v>12.65206813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'กระบี่'!I634+'ชุมพร'!I634+'ตรัง'!I634+'นครศรีธรรมราช'!I634+'นราธิวาส'!I634+'ปัตตานี'!I634+'พังงา'!I634+'พัทลุง'!I634+'ภูเก็ต'!I634+'ยะลา'!I634+'ระนอง'!I634+'สงขลา'!I634+'สตูล'!I634+'สุราษฎร์ธานี'!I634</f>
        <v>14134000</v>
      </c>
      <c r="J634" s="374">
        <f>'กระบี่'!J634+'ชุมพร'!J634+'ตรัง'!J634+'นครศรีธรรมราช'!J634+'นราธิวาส'!J634+'ปัตตานี'!J634+'พังงา'!J634+'พัทลุง'!J634+'ภูเก็ต'!J634+'ยะลา'!J634+'ระนอง'!J634+'สงขลา'!J634+'สตูล'!J634+'สุราษฎร์ธานี'!J634</f>
        <v>0</v>
      </c>
      <c r="K634" s="375">
        <f t="shared" si="96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'กระบี่'!I635+'ชุมพร'!I635+'ตรัง'!I635+'นครศรีธรรมราช'!I635+'นราธิวาส'!I635+'ปัตตานี'!I635+'พังงา'!I635+'พัทลุง'!I635+'ภูเก็ต'!I635+'ยะลา'!I635+'ระนอง'!I635+'สงขลา'!I635+'สตูล'!I635+'สุราษฎร์ธานี'!I635</f>
        <v>359</v>
      </c>
      <c r="J635" s="544">
        <f>'กระบี่'!J635+'ชุมพร'!J635+'ตรัง'!J635+'นครศรีธรรมราช'!J635+'นราธิวาส'!J635+'ปัตตานี'!J635+'พังงา'!J635+'พัทลุง'!J635+'ภูเก็ต'!J635+'ยะลา'!J635+'ระนอง'!J635+'สงขลา'!J635+'สตูล'!J635+'สุราษฎร์ธานี'!J635</f>
        <v>0</v>
      </c>
      <c r="K635" s="519">
        <f t="shared" si="96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2199665</v>
      </c>
      <c r="M8" s="41">
        <f t="shared" si="1"/>
        <v>839305</v>
      </c>
      <c r="N8" s="41">
        <f t="shared" si="1"/>
        <v>531125</v>
      </c>
      <c r="O8" s="40">
        <f t="shared" ref="O8:O16" si="3">IF(L8&gt;0,N8*100/L8,0)</f>
        <v>24.14572219</v>
      </c>
      <c r="P8" s="40">
        <f t="shared" ref="P8:P16" si="4">IF(M8&gt;0,N8*100/M8,0)</f>
        <v>63.28152459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2199665</v>
      </c>
      <c r="M10" s="48">
        <f t="shared" si="5"/>
        <v>839305</v>
      </c>
      <c r="N10" s="48">
        <f t="shared" si="5"/>
        <v>531125</v>
      </c>
      <c r="O10" s="47">
        <f t="shared" si="3"/>
        <v>24.14572219</v>
      </c>
      <c r="P10" s="47">
        <f t="shared" si="4"/>
        <v>63.28152459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2138965</v>
      </c>
      <c r="M12" s="58">
        <f t="shared" si="7"/>
        <v>839305</v>
      </c>
      <c r="N12" s="58">
        <f t="shared" si="7"/>
        <v>470425</v>
      </c>
      <c r="O12" s="58">
        <f t="shared" si="3"/>
        <v>21.99311349</v>
      </c>
      <c r="P12" s="58">
        <f t="shared" si="4"/>
        <v>56.04935036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1379000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759965</v>
      </c>
      <c r="M14" s="58">
        <f t="shared" si="9"/>
        <v>0</v>
      </c>
      <c r="N14" s="58">
        <f t="shared" si="9"/>
        <v>7700</v>
      </c>
      <c r="O14" s="61">
        <f t="shared" si="3"/>
        <v>1.013204555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60700</v>
      </c>
      <c r="M16" s="58">
        <f t="shared" si="11"/>
        <v>0</v>
      </c>
      <c r="N16" s="58">
        <f t="shared" si="11"/>
        <v>60700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1681595</v>
      </c>
      <c r="M18" s="41">
        <f t="shared" si="12"/>
        <v>839305</v>
      </c>
      <c r="N18" s="41">
        <f t="shared" si="12"/>
        <v>523425</v>
      </c>
      <c r="O18" s="40">
        <f t="shared" ref="O18:O20" si="14">IF(L18&gt;0,N18*100/L18,0)</f>
        <v>31.12669816</v>
      </c>
      <c r="P18" s="40">
        <f t="shared" ref="P18:P26" si="15">IF(M18&gt;0,N18*100/M18,0)</f>
        <v>62.36409887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1681595</v>
      </c>
      <c r="M20" s="48">
        <f t="shared" si="16"/>
        <v>839305</v>
      </c>
      <c r="N20" s="48">
        <f t="shared" si="16"/>
        <v>523425</v>
      </c>
      <c r="O20" s="47">
        <f t="shared" si="14"/>
        <v>31.12669816</v>
      </c>
      <c r="P20" s="47">
        <f t="shared" si="15"/>
        <v>62.36409887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1620895</v>
      </c>
      <c r="M22" s="62">
        <f t="shared" si="18"/>
        <v>839305</v>
      </c>
      <c r="N22" s="61">
        <f t="shared" si="18"/>
        <v>462725</v>
      </c>
      <c r="O22" s="61">
        <f t="shared" si="19"/>
        <v>28.54749999</v>
      </c>
      <c r="P22" s="61">
        <f t="shared" si="15"/>
        <v>55.13192463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1379000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241895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60700</v>
      </c>
      <c r="M26" s="70">
        <f t="shared" si="23"/>
        <v>0</v>
      </c>
      <c r="N26" s="70">
        <f t="shared" si="23"/>
        <v>60700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518070</v>
      </c>
      <c r="M28" s="41">
        <f t="shared" si="24"/>
        <v>0</v>
      </c>
      <c r="N28" s="41">
        <f t="shared" si="24"/>
        <v>7700</v>
      </c>
      <c r="O28" s="40">
        <f t="shared" ref="O28:O30" si="26">IF(L28&gt;0,N28*100/L28,0)</f>
        <v>1.486285637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518070</v>
      </c>
      <c r="M30" s="48">
        <f t="shared" si="28"/>
        <v>0</v>
      </c>
      <c r="N30" s="48">
        <f t="shared" si="28"/>
        <v>7700</v>
      </c>
      <c r="O30" s="47">
        <f t="shared" si="26"/>
        <v>1.486285637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518070</v>
      </c>
      <c r="M32" s="61">
        <f t="shared" si="30"/>
        <v>0</v>
      </c>
      <c r="N32" s="61">
        <f t="shared" si="30"/>
        <v>7700</v>
      </c>
      <c r="O32" s="61">
        <f t="shared" si="31"/>
        <v>1.486285637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518070</v>
      </c>
      <c r="M34" s="61">
        <f t="shared" si="33"/>
        <v>0</v>
      </c>
      <c r="N34" s="61">
        <f t="shared" si="33"/>
        <v>7700</v>
      </c>
      <c r="O34" s="61">
        <f t="shared" si="31"/>
        <v>1.486285637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1681595</v>
      </c>
      <c r="M37" s="75">
        <f t="shared" si="34"/>
        <v>839305</v>
      </c>
      <c r="N37" s="75">
        <f t="shared" si="34"/>
        <v>523425</v>
      </c>
      <c r="O37" s="76">
        <f t="shared" si="31"/>
        <v>31.12669816</v>
      </c>
      <c r="P37" s="76">
        <f t="shared" si="27"/>
        <v>62.36409887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626400</v>
      </c>
      <c r="M41" s="102">
        <f t="shared" si="35"/>
        <v>301700</v>
      </c>
      <c r="N41" s="102">
        <f t="shared" si="35"/>
        <v>198422</v>
      </c>
      <c r="O41" s="101">
        <f t="shared" ref="O41:O43" si="37">IF(L41&gt;0,N41*100/L41,0)</f>
        <v>31.6765645</v>
      </c>
      <c r="P41" s="101">
        <f t="shared" ref="P41:P43" si="38">IF(M41&gt;0,N41*100/M41,0)</f>
        <v>65.76798144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626400</v>
      </c>
      <c r="M43" s="102">
        <f t="shared" si="39"/>
        <v>301700</v>
      </c>
      <c r="N43" s="102">
        <f t="shared" si="39"/>
        <v>198422</v>
      </c>
      <c r="O43" s="101">
        <f t="shared" si="37"/>
        <v>31.6765645</v>
      </c>
      <c r="P43" s="101">
        <f t="shared" si="38"/>
        <v>65.76798144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603500</v>
      </c>
      <c r="M45" s="115">
        <f>IFERROR(__xludf.DUMMYFUNCTION("IMPORTRANGE(""https://docs.google.com/spreadsheets/d/1Yj_ptqi66GCucihVvJfMjLAmec39IyEx_6qawtMGysU/edit?usp=sharing"",""สบก!Q89"")"),301700.0)</f>
        <v>301700</v>
      </c>
      <c r="N45" s="115">
        <f>IFERROR(__xludf.DUMMYFUNCTION("IMPORTRANGE(""https://docs.google.com/spreadsheets/d/1Yj_ptqi66GCucihVvJfMjLAmec39IyEx_6qawtMGysU/edit?usp=sharing"",""สบก!R89"")"),175522.0)</f>
        <v>175522</v>
      </c>
      <c r="O45" s="116">
        <f>IF(L45&gt;0,N45*100/L45,0)</f>
        <v>29.08400994</v>
      </c>
      <c r="P45" s="116">
        <f>IF(M45&gt;0,N45*100/M45,0)</f>
        <v>58.17765993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IFERROR(__xludf.DUMMYFUNCTION("IMPORTRANGE(""https://docs.google.com/spreadsheets/d/1Yj_ptqi66GCucihVvJfMjLAmec39IyEx_6qawtMGysU/edit?usp=sharing"",""สบก!M89"")"),603500.0)</f>
        <v>603500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IFERROR(__xludf.DUMMYFUNCTION("IMPORTRANGE(""https://docs.google.com/spreadsheets/d/1Yj_ptqi66GCucihVvJfMjLAmec39IyEx_6qawtMGysU/edit?usp=sharing"",""สบก!N89"")"),0.0)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IFERROR(__xludf.DUMMYFUNCTION("IMPORTRANGE(""https://docs.google.com/spreadsheets/d/1Yj_ptqi66GCucihVvJfMjLAmec39IyEx_6qawtMGysU/edit?usp=sharing"",""สบก!O89"")"),22900.0)</f>
        <v>22900</v>
      </c>
      <c r="M49" s="125"/>
      <c r="N49" s="115">
        <f>IFERROR(__xludf.DUMMYFUNCTION("IMPORTRANGE(""https://docs.google.com/spreadsheets/d/1Yj_ptqi66GCucihVvJfMjLAmec39IyEx_6qawtMGysU/edit?usp=sharing"",""สบก!S89"")"),22900.0)</f>
        <v>22900</v>
      </c>
      <c r="O49" s="125">
        <f>IF(L49&gt;0,N49*100/L49,0)</f>
        <v>100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280000</v>
      </c>
      <c r="M53" s="151">
        <f t="shared" si="40"/>
        <v>149000</v>
      </c>
      <c r="N53" s="151">
        <f t="shared" si="40"/>
        <v>80275</v>
      </c>
      <c r="O53" s="150">
        <f t="shared" ref="O53:O55" si="42">IF(L53&gt;0,N53*100/L53,0)</f>
        <v>28.66964286</v>
      </c>
      <c r="P53" s="150">
        <f t="shared" ref="P53:P55" si="43">IF(M53&gt;0,N53*100/M53,0)</f>
        <v>53.87583893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280000</v>
      </c>
      <c r="M55" s="151">
        <f t="shared" si="44"/>
        <v>149000</v>
      </c>
      <c r="N55" s="151">
        <f t="shared" si="44"/>
        <v>80275</v>
      </c>
      <c r="O55" s="150">
        <f t="shared" si="42"/>
        <v>28.66964286</v>
      </c>
      <c r="P55" s="150">
        <f t="shared" si="43"/>
        <v>53.87583893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280000</v>
      </c>
      <c r="M57" s="115">
        <f>IFERROR(__xludf.DUMMYFUNCTION("IMPORTRANGE(""https://docs.google.com/spreadsheets/d/1Yj_ptqi66GCucihVvJfMjLAmec39IyEx_6qawtMGysU/edit?usp=sharing"",""สบก!Z89"")"),149000.0)</f>
        <v>149000</v>
      </c>
      <c r="N57" s="115">
        <f>IFERROR(__xludf.DUMMYFUNCTION("IMPORTRANGE(""https://docs.google.com/spreadsheets/d/1Yj_ptqi66GCucihVvJfMjLAmec39IyEx_6qawtMGysU/edit?usp=sharing"",""สบก!AA89"")"),80275.0)</f>
        <v>80275</v>
      </c>
      <c r="O57" s="116">
        <f>IF(L57&gt;0,N57*100/L57,0)</f>
        <v>28.66964286</v>
      </c>
      <c r="P57" s="116">
        <f>IF(M57&gt;0,N57*100/M57,0)</f>
        <v>53.87583893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IFERROR(__xludf.DUMMYFUNCTION("IMPORTRANGE(""https://docs.google.com/spreadsheets/d/1Yj_ptqi66GCucihVvJfMjLAmec39IyEx_6qawtMGysU/edit?usp=sharing"",""สบก!V89"")"),280000.0)</f>
        <v>280000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IFERROR(__xludf.DUMMYFUNCTION("IMPORTRANGE(""https://docs.google.com/spreadsheets/d/1Yj_ptqi66GCucihVvJfMjLAmec39IyEx_6qawtMGysU/edit?usp=sharing"",""สบก!W89"")"),0.0)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IFERROR(__xludf.DUMMYFUNCTION("IMPORTRANGE(""https://docs.google.com/spreadsheets/d/1Yj_ptqi66GCucihVvJfMjLAmec39IyEx_6qawtMGysU/edit?usp=sharing"",""สบก!X89"")"),0.0)</f>
        <v>0</v>
      </c>
      <c r="M61" s="125"/>
      <c r="N61" s="115">
        <f>IFERROR(__xludf.DUMMYFUNCTION("IMPORTRANGE(""https://docs.google.com/spreadsheets/d/1Yj_ptqi66GCucihVvJfMjLAmec39IyEx_6qawtMGysU/edit?usp=sharing"",""สบก!AB89"")"),0.0)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IFERROR(__xludf.DUMMYFUNCTION("IMPORTRANGE(""https://docs.google.com/spreadsheets/d/1IYY_tgx_IHuhSq3AJ5eI5OnqOPBNLWSHKh2a30DoXe8/edit?usp=sharing"",""ภูเก็ต!I9"")"),0.0)</f>
        <v>0</v>
      </c>
      <c r="J64" s="172">
        <f>IFERROR(__xludf.DUMMYFUNCTION("IMPORTRANGE(""https://docs.google.com/spreadsheets/d/1IYY_tgx_IHuhSq3AJ5eI5OnqOPBNLWSHKh2a30DoXe8/edit?usp=sharing"",""ภูเก็ต!J9"")"),0.0)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IFERROR(__xludf.DUMMYFUNCTION("IMPORTRANGE(""https://docs.google.com/spreadsheets/d/1IYY_tgx_IHuhSq3AJ5eI5OnqOPBNLWSHKh2a30DoXe8/edit?usp=sharing"",""ภูเก็ต!I10"")"),0.0)</f>
        <v>0</v>
      </c>
      <c r="J65" s="172">
        <f>IFERROR(__xludf.DUMMYFUNCTION("IMPORTRANGE(""https://docs.google.com/spreadsheets/d/1IYY_tgx_IHuhSq3AJ5eI5OnqOPBNLWSHKh2a30DoXe8/edit?usp=sharing"",""ภูเก็ต!J10"")"),0.0)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IFERROR(__xludf.DUMMYFUNCTION("IMPORTRANGE(""https://docs.google.com/spreadsheets/d/1Yj_ptqi66GCucihVvJfMjLAmec39IyEx_6qawtMGysU/edit?usp=sharing"",""สบก!AI89"")"),0.0)</f>
        <v>0</v>
      </c>
      <c r="N70" s="202">
        <f>IFERROR(__xludf.DUMMYFUNCTION("IMPORTRANGE(""https://docs.google.com/spreadsheets/d/1Yj_ptqi66GCucihVvJfMjLAmec39IyEx_6qawtMGysU/edit?usp=sharing"",""สบก!AJ89"")"),0.0)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IFERROR(__xludf.DUMMYFUNCTION("IMPORTRANGE(""https://docs.google.com/spreadsheets/d/1Yj_ptqi66GCucihVvJfMjLAmec39IyEx_6qawtMGysU/edit?usp=sharing"",""สบก!AE89"")"),0.0)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IFERROR(__xludf.DUMMYFUNCTION("IMPORTRANGE(""https://docs.google.com/spreadsheets/d/1Yj_ptqi66GCucihVvJfMjLAmec39IyEx_6qawtMGysU/edit?usp=sharing"",""สบก!AF89"")"),0.0)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IFERROR(__xludf.DUMMYFUNCTION("IMPORTRANGE(""https://docs.google.com/spreadsheets/d/1Yj_ptqi66GCucihVvJfMjLAmec39IyEx_6qawtMGysU/edit?usp=sharing"",""สบก!AG89"")"),0.0)</f>
        <v>0</v>
      </c>
      <c r="M74" s="125"/>
      <c r="N74" s="115">
        <f>IFERROR(__xludf.DUMMYFUNCTION("IMPORTRANGE(""https://docs.google.com/spreadsheets/d/1Yj_ptqi66GCucihVvJfMjLAmec39IyEx_6qawtMGysU/edit?usp=sharing"",""สบก!AK89"")"),0.0)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IFERROR(__xludf.DUMMYFUNCTION("IMPORTRANGE(""https://docs.google.com/spreadsheets/d/1IYY_tgx_IHuhSq3AJ5eI5OnqOPBNLWSHKh2a30DoXe8/edit?usp=sharing"",""ภูเก็ต!J16"")"),0.0)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IFERROR(__xludf.DUMMYFUNCTION("IMPORTRANGE(""https://docs.google.com/spreadsheets/d/1IYY_tgx_IHuhSq3AJ5eI5OnqOPBNLWSHKh2a30DoXe8/edit?usp=sharing"",""ภูเก็ต!J17"")"),0.0)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IFERROR(__xludf.DUMMYFUNCTION("IMPORTRANGE(""https://docs.google.com/spreadsheets/d/1IYY_tgx_IHuhSq3AJ5eI5OnqOPBNLWSHKh2a30DoXe8/edit?usp=sharing"",""ภูเก็ต!J18"")"),0.0)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IFERROR(__xludf.DUMMYFUNCTION("IMPORTRANGE(""https://docs.google.com/spreadsheets/d/1IYY_tgx_IHuhSq3AJ5eI5OnqOPBNLWSHKh2a30DoXe8/edit?usp=sharing"",""ภูเก็ต!J19"")"),0.0)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IFERROR(__xludf.DUMMYFUNCTION("IMPORTRANGE(""https://docs.google.com/spreadsheets/d/1IYY_tgx_IHuhSq3AJ5eI5OnqOPBNLWSHKh2a30DoXe8/edit?usp=sharing"",""ภูเก็ต!I20"")"),0.0)</f>
        <v>0</v>
      </c>
      <c r="J80" s="235">
        <f>IFERROR(__xludf.DUMMYFUNCTION("IMPORTRANGE(""https://docs.google.com/spreadsheets/d/1IYY_tgx_IHuhSq3AJ5eI5OnqOPBNLWSHKh2a30DoXe8/edit?usp=sharing"",""ภูเก็ต!J20"")"),0.0)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IFERROR(__xludf.DUMMYFUNCTION("IMPORTRANGE(""https://docs.google.com/spreadsheets/d/1IYY_tgx_IHuhSq3AJ5eI5OnqOPBNLWSHKh2a30DoXe8/edit?usp=sharing"",""ภูเก็ต!I21"")"),0.0)</f>
        <v>0</v>
      </c>
      <c r="J81" s="235">
        <f>IFERROR(__xludf.DUMMYFUNCTION("IMPORTRANGE(""https://docs.google.com/spreadsheets/d/1IYY_tgx_IHuhSq3AJ5eI5OnqOPBNLWSHKh2a30DoXe8/edit?usp=sharing"",""ภูเก็ต!J21"")"),0.0)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IFERROR(__xludf.DUMMYFUNCTION("IMPORTRANGE(""https://docs.google.com/spreadsheets/d/1IYY_tgx_IHuhSq3AJ5eI5OnqOPBNLWSHKh2a30DoXe8/edit?usp=sharing"",""ภูเก็ต!I22"")"),0.0)</f>
        <v>0</v>
      </c>
      <c r="J82" s="238">
        <f>IFERROR(__xludf.DUMMYFUNCTION("IMPORTRANGE(""https://docs.google.com/spreadsheets/d/1IYY_tgx_IHuhSq3AJ5eI5OnqOPBNLWSHKh2a30DoXe8/edit?usp=sharing"",""ภูเก็ต!J22"")"),0.0)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IFERROR(__xludf.DUMMYFUNCTION("IMPORTRANGE(""https://docs.google.com/spreadsheets/d/1IYY_tgx_IHuhSq3AJ5eI5OnqOPBNLWSHKh2a30DoXe8/edit?usp=sharing"",""ภูเก็ต!I23"")"),0.0)</f>
        <v>0</v>
      </c>
      <c r="J83" s="238">
        <f>IFERROR(__xludf.DUMMYFUNCTION("IMPORTRANGE(""https://docs.google.com/spreadsheets/d/1IYY_tgx_IHuhSq3AJ5eI5OnqOPBNLWSHKh2a30DoXe8/edit?usp=sharing"",""ภูเก็ต!J23"")"),0.0)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IFERROR(__xludf.DUMMYFUNCTION("IMPORTRANGE(""https://docs.google.com/spreadsheets/d/1IYY_tgx_IHuhSq3AJ5eI5OnqOPBNLWSHKh2a30DoXe8/edit?usp=sharing"",""ภูเก็ต!I24"")"),0.0)</f>
        <v>0</v>
      </c>
      <c r="J84" s="223">
        <f>IFERROR(__xludf.DUMMYFUNCTION("IMPORTRANGE(""https://docs.google.com/spreadsheets/d/1IYY_tgx_IHuhSq3AJ5eI5OnqOPBNLWSHKh2a30DoXe8/edit?usp=sharing"",""ภูเก็ต!J24"")"),0.0)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IFERROR(__xludf.DUMMYFUNCTION("IMPORTRANGE(""https://docs.google.com/spreadsheets/d/1IYY_tgx_IHuhSq3AJ5eI5OnqOPBNLWSHKh2a30DoXe8/edit?usp=sharing"",""ภูเก็ต!I25"")"),0.0)</f>
        <v>0</v>
      </c>
      <c r="J85" s="223">
        <f>IFERROR(__xludf.DUMMYFUNCTION("IMPORTRANGE(""https://docs.google.com/spreadsheets/d/1IYY_tgx_IHuhSq3AJ5eI5OnqOPBNLWSHKh2a30DoXe8/edit?usp=sharing"",""ภูเก็ต!J25"")"),0.0)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IFERROR(__xludf.DUMMYFUNCTION("IMPORTRANGE(""https://docs.google.com/spreadsheets/d/1IYY_tgx_IHuhSq3AJ5eI5OnqOPBNLWSHKh2a30DoXe8/edit?usp=sharing"",""ภูเก็ต!I26"")"),0.0)</f>
        <v>0</v>
      </c>
      <c r="J86" s="238">
        <f>IFERROR(__xludf.DUMMYFUNCTION("IMPORTRANGE(""https://docs.google.com/spreadsheets/d/1IYY_tgx_IHuhSq3AJ5eI5OnqOPBNLWSHKh2a30DoXe8/edit?usp=sharing"",""ภูเก็ต!J26"")"),0.0)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IFERROR(__xludf.DUMMYFUNCTION("IMPORTRANGE(""https://docs.google.com/spreadsheets/d/1IYY_tgx_IHuhSq3AJ5eI5OnqOPBNLWSHKh2a30DoXe8/edit?usp=sharing"",""ภูเก็ต!I27"")"),0.0)</f>
        <v>0</v>
      </c>
      <c r="J87" s="238">
        <f>IFERROR(__xludf.DUMMYFUNCTION("IMPORTRANGE(""https://docs.google.com/spreadsheets/d/1IYY_tgx_IHuhSq3AJ5eI5OnqOPBNLWSHKh2a30DoXe8/edit?usp=sharing"",""ภูเก็ต!J27"")"),0.0)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IFERROR(__xludf.DUMMYFUNCTION("IMPORTRANGE(""https://docs.google.com/spreadsheets/d/1IYY_tgx_IHuhSq3AJ5eI5OnqOPBNLWSHKh2a30DoXe8/edit?usp=sharing"",""ภูเก็ต!I28"")"),0.0)</f>
        <v>0</v>
      </c>
      <c r="J88" s="238">
        <f>IFERROR(__xludf.DUMMYFUNCTION("IMPORTRANGE(""https://docs.google.com/spreadsheets/d/1IYY_tgx_IHuhSq3AJ5eI5OnqOPBNLWSHKh2a30DoXe8/edit?usp=sharing"",""ภูเก็ต!J28"")"),0.0)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IFERROR(__xludf.DUMMYFUNCTION("IMPORTRANGE(""https://docs.google.com/spreadsheets/d/1IYY_tgx_IHuhSq3AJ5eI5OnqOPBNLWSHKh2a30DoXe8/edit?usp=sharing"",""ภูเก็ต!J29"")"),0.0)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IFERROR(__xludf.DUMMYFUNCTION("IMPORTRANGE(""https://docs.google.com/spreadsheets/d/1IYY_tgx_IHuhSq3AJ5eI5OnqOPBNLWSHKh2a30DoXe8/edit?usp=sharing"",""ภูเก็ต!J30"")"),0.0)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IFERROR(__xludf.DUMMYFUNCTION("IMPORTRANGE(""https://docs.google.com/spreadsheets/d/1IYY_tgx_IHuhSq3AJ5eI5OnqOPBNLWSHKh2a30DoXe8/edit?usp=sharing"",""ภูเก็ต!I32"")"),0.0)</f>
        <v>0</v>
      </c>
      <c r="J92" s="172">
        <f>IFERROR(__xludf.DUMMYFUNCTION("IMPORTRANGE(""https://docs.google.com/spreadsheets/d/1IYY_tgx_IHuhSq3AJ5eI5OnqOPBNLWSHKh2a30DoXe8/edit?usp=sharing"",""ภูเก็ต!J32"")"),0.0)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IFERROR(__xludf.DUMMYFUNCTION("IMPORTRANGE(""https://docs.google.com/spreadsheets/d/1IYY_tgx_IHuhSq3AJ5eI5OnqOPBNLWSHKh2a30DoXe8/edit?usp=sharing"",""ภูเก็ต!I33"")"),0.0)</f>
        <v>0</v>
      </c>
      <c r="J93" s="172">
        <f>IFERROR(__xludf.DUMMYFUNCTION("IMPORTRANGE(""https://docs.google.com/spreadsheets/d/1IYY_tgx_IHuhSq3AJ5eI5OnqOPBNLWSHKh2a30DoXe8/edit?usp=sharing"",""ภูเก็ต!J33"")"),0.0)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IFERROR(__xludf.DUMMYFUNCTION("IMPORTRANGE(""https://docs.google.com/spreadsheets/d/1Yj_ptqi66GCucihVvJfMjLAmec39IyEx_6qawtMGysU/edit?usp=sharing"",""สบก!AR89"")"),0.0)</f>
        <v>0</v>
      </c>
      <c r="N98" s="202">
        <f>IFERROR(__xludf.DUMMYFUNCTION("IMPORTRANGE(""https://docs.google.com/spreadsheets/d/1Yj_ptqi66GCucihVvJfMjLAmec39IyEx_6qawtMGysU/edit?usp=sharing"",""สบก!AS89"")"),0.0)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IFERROR(__xludf.DUMMYFUNCTION("IMPORTRANGE(""https://docs.google.com/spreadsheets/d/1Yj_ptqi66GCucihVvJfMjLAmec39IyEx_6qawtMGysU/edit?usp=sharing"",""สบก!AN89"")"),0.0)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IFERROR(__xludf.DUMMYFUNCTION("IMPORTRANGE(""https://docs.google.com/spreadsheets/d/1Yj_ptqi66GCucihVvJfMjLAmec39IyEx_6qawtMGysU/edit?usp=sharing"",""สบก!AO89"")"),0.0)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IFERROR(__xludf.DUMMYFUNCTION("IMPORTRANGE(""https://docs.google.com/spreadsheets/d/1Yj_ptqi66GCucihVvJfMjLAmec39IyEx_6qawtMGysU/edit?usp=sharing"",""สบก!AP89"")"),0.0)</f>
        <v>0</v>
      </c>
      <c r="M102" s="125"/>
      <c r="N102" s="115">
        <f>IFERROR(__xludf.DUMMYFUNCTION("IMPORTRANGE(""https://docs.google.com/spreadsheets/d/1Yj_ptqi66GCucihVvJfMjLAmec39IyEx_6qawtMGysU/edit?usp=sharing"",""สบก!AT89"")"),0.0)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IFERROR(__xludf.DUMMYFUNCTION("IMPORTRANGE(""https://docs.google.com/spreadsheets/d/1IYY_tgx_IHuhSq3AJ5eI5OnqOPBNLWSHKh2a30DoXe8/edit?usp=sharing"",""ภูเก็ต!J39"")"),0.0)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IFERROR(__xludf.DUMMYFUNCTION("IMPORTRANGE(""https://docs.google.com/spreadsheets/d/1IYY_tgx_IHuhSq3AJ5eI5OnqOPBNLWSHKh2a30DoXe8/edit?usp=sharing"",""ภูเก็ต!J40"")"),0.0)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IFERROR(__xludf.DUMMYFUNCTION("IMPORTRANGE(""https://docs.google.com/spreadsheets/d/1IYY_tgx_IHuhSq3AJ5eI5OnqOPBNLWSHKh2a30DoXe8/edit?usp=sharing"",""ภูเก็ต!J41"")"),0.0)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IFERROR(__xludf.DUMMYFUNCTION("IMPORTRANGE(""https://docs.google.com/spreadsheets/d/1IYY_tgx_IHuhSq3AJ5eI5OnqOPBNLWSHKh2a30DoXe8/edit?usp=sharing"",""ภูเก็ต!J42"")"),0.0)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IFERROR(__xludf.DUMMYFUNCTION("IMPORTRANGE(""https://docs.google.com/spreadsheets/d/1IYY_tgx_IHuhSq3AJ5eI5OnqOPBNLWSHKh2a30DoXe8/edit?usp=sharing"",""ภูเก็ต!I43"")"),0.0)</f>
        <v>0</v>
      </c>
      <c r="J108" s="238">
        <f>IFERROR(__xludf.DUMMYFUNCTION("IMPORTRANGE(""https://docs.google.com/spreadsheets/d/1IYY_tgx_IHuhSq3AJ5eI5OnqOPBNLWSHKh2a30DoXe8/edit?usp=sharing"",""ภูเก็ต!J43"")"),0.0)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IFERROR(__xludf.DUMMYFUNCTION("IMPORTRANGE(""https://docs.google.com/spreadsheets/d/1IYY_tgx_IHuhSq3AJ5eI5OnqOPBNLWSHKh2a30DoXe8/edit?usp=sharing"",""ภูเก็ต!I44"")"),0.0)</f>
        <v>0</v>
      </c>
      <c r="J109" s="238">
        <f>IFERROR(__xludf.DUMMYFUNCTION("IMPORTRANGE(""https://docs.google.com/spreadsheets/d/1IYY_tgx_IHuhSq3AJ5eI5OnqOPBNLWSHKh2a30DoXe8/edit?usp=sharing"",""ภูเก็ต!J44"")"),0.0)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IFERROR(__xludf.DUMMYFUNCTION("IMPORTRANGE(""https://docs.google.com/spreadsheets/d/1IYY_tgx_IHuhSq3AJ5eI5OnqOPBNLWSHKh2a30DoXe8/edit?usp=sharing"",""ภูเก็ต!I45"")"),0.0)</f>
        <v>0</v>
      </c>
      <c r="J110" s="238">
        <f>IFERROR(__xludf.DUMMYFUNCTION("IMPORTRANGE(""https://docs.google.com/spreadsheets/d/1IYY_tgx_IHuhSq3AJ5eI5OnqOPBNLWSHKh2a30DoXe8/edit?usp=sharing"",""ภูเก็ต!J45"")"),0.0)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IFERROR(__xludf.DUMMYFUNCTION("IMPORTRANGE(""https://docs.google.com/spreadsheets/d/1IYY_tgx_IHuhSq3AJ5eI5OnqOPBNLWSHKh2a30DoXe8/edit?usp=sharing"",""ภูเก็ต!I46"")"),0.0)</f>
        <v>0</v>
      </c>
      <c r="J111" s="238">
        <f>IFERROR(__xludf.DUMMYFUNCTION("IMPORTRANGE(""https://docs.google.com/spreadsheets/d/1IYY_tgx_IHuhSq3AJ5eI5OnqOPBNLWSHKh2a30DoXe8/edit?usp=sharing"",""ภูเก็ต!J46"")"),0.0)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IFERROR(__xludf.DUMMYFUNCTION("IMPORTRANGE(""https://docs.google.com/spreadsheets/d/1IYY_tgx_IHuhSq3AJ5eI5OnqOPBNLWSHKh2a30DoXe8/edit?usp=sharing"",""ภูเก็ต!I47"")"),0.0)</f>
        <v>0</v>
      </c>
      <c r="J112" s="238">
        <f>IFERROR(__xludf.DUMMYFUNCTION("IMPORTRANGE(""https://docs.google.com/spreadsheets/d/1IYY_tgx_IHuhSq3AJ5eI5OnqOPBNLWSHKh2a30DoXe8/edit?usp=sharing"",""ภูเก็ต!J47"")"),0.0)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IFERROR(__xludf.DUMMYFUNCTION("IMPORTRANGE(""https://docs.google.com/spreadsheets/d/1IYY_tgx_IHuhSq3AJ5eI5OnqOPBNLWSHKh2a30DoXe8/edit?usp=sharing"",""ภูเก็ต!I48"")"),0.0)</f>
        <v>0</v>
      </c>
      <c r="J113" s="238">
        <f>IFERROR(__xludf.DUMMYFUNCTION("IMPORTRANGE(""https://docs.google.com/spreadsheets/d/1IYY_tgx_IHuhSq3AJ5eI5OnqOPBNLWSHKh2a30DoXe8/edit?usp=sharing"",""ภูเก็ต!J48"")"),0.0)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IFERROR(__xludf.DUMMYFUNCTION("IMPORTRANGE(""https://docs.google.com/spreadsheets/d/1IYY_tgx_IHuhSq3AJ5eI5OnqOPBNLWSHKh2a30DoXe8/edit?usp=sharing"",""ภูเก็ต!J49"")"),0.0)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IFERROR(__xludf.DUMMYFUNCTION("IMPORTRANGE(""https://docs.google.com/spreadsheets/d/1IYY_tgx_IHuhSq3AJ5eI5OnqOPBNLWSHKh2a30DoXe8/edit?usp=sharing"",""ภูเก็ต!J50"")"),0.0)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IFERROR(__xludf.DUMMYFUNCTION("IMPORTRANGE(""https://docs.google.com/spreadsheets/d/1IYY_tgx_IHuhSq3AJ5eI5OnqOPBNLWSHKh2a30DoXe8/edit?usp=sharing"",""ภูเก็ต!I52"")"),0.0)</f>
        <v>0</v>
      </c>
      <c r="J117" s="172">
        <f>IFERROR(__xludf.DUMMYFUNCTION("IMPORTRANGE(""https://docs.google.com/spreadsheets/d/1IYY_tgx_IHuhSq3AJ5eI5OnqOPBNLWSHKh2a30DoXe8/edit?usp=sharing"",""ภูเก็ต!J52"")"),0.0)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IFERROR(__xludf.DUMMYFUNCTION("IMPORTRANGE(""https://docs.google.com/spreadsheets/d/1Yj_ptqi66GCucihVvJfMjLAmec39IyEx_6qawtMGysU/edit?usp=sharing"",""สบก!BA89"")"),0.0)</f>
        <v>0</v>
      </c>
      <c r="N122" s="202">
        <f>IFERROR(__xludf.DUMMYFUNCTION("IMPORTRANGE(""https://docs.google.com/spreadsheets/d/1Yj_ptqi66GCucihVvJfMjLAmec39IyEx_6qawtMGysU/edit?usp=sharing"",""สบก!BB89"")"),0.0)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IFERROR(__xludf.DUMMYFUNCTION("IMPORTRANGE(""https://docs.google.com/spreadsheets/d/1Yj_ptqi66GCucihVvJfMjLAmec39IyEx_6qawtMGysU/edit?usp=sharing"",""สบก!AW89"")"),0.0)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IFERROR(__xludf.DUMMYFUNCTION("IMPORTRANGE(""https://docs.google.com/spreadsheets/d/1Yj_ptqi66GCucihVvJfMjLAmec39IyEx_6qawtMGysU/edit?usp=sharing"",""สบก!AX89"")"),0.0)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IFERROR(__xludf.DUMMYFUNCTION("IMPORTRANGE(""https://docs.google.com/spreadsheets/d/1Yj_ptqi66GCucihVvJfMjLAmec39IyEx_6qawtMGysU/edit?usp=sharing"",""สบก!AY89"")"),0.0)</f>
        <v>0</v>
      </c>
      <c r="M126" s="125"/>
      <c r="N126" s="115">
        <f>IFERROR(__xludf.DUMMYFUNCTION("IMPORTRANGE(""https://docs.google.com/spreadsheets/d/1Yj_ptqi66GCucihVvJfMjLAmec39IyEx_6qawtMGysU/edit?usp=sharing"",""สบก!BC89"")"),0.0)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258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IFERROR(__xludf.DUMMYFUNCTION("IMPORTRANGE(""https://docs.google.com/spreadsheets/d/1IYY_tgx_IHuhSq3AJ5eI5OnqOPBNLWSHKh2a30DoXe8/edit?usp=sharing"",""ภูเก็ต!J58"")"),0.0)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IFERROR(__xludf.DUMMYFUNCTION("IMPORTRANGE(""https://docs.google.com/spreadsheets/d/1IYY_tgx_IHuhSq3AJ5eI5OnqOPBNLWSHKh2a30DoXe8/edit?usp=sharing"",""ภูเก็ต!J59"")"),0.0)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IFERROR(__xludf.DUMMYFUNCTION("IMPORTRANGE(""https://docs.google.com/spreadsheets/d/1IYY_tgx_IHuhSq3AJ5eI5OnqOPBNLWSHKh2a30DoXe8/edit?usp=sharing"",""ภูเก็ต!J60"")"),0.0)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IFERROR(__xludf.DUMMYFUNCTION("IMPORTRANGE(""https://docs.google.com/spreadsheets/d/1IYY_tgx_IHuhSq3AJ5eI5OnqOPBNLWSHKh2a30DoXe8/edit?usp=sharing"",""ภูเก็ต!J61"")"),0.0)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IFERROR(__xludf.DUMMYFUNCTION("IMPORTRANGE(""https://docs.google.com/spreadsheets/d/1IYY_tgx_IHuhSq3AJ5eI5OnqOPBNLWSHKh2a30DoXe8/edit?usp=sharing"",""ภูเก็ต!I62"")"),0.0)</f>
        <v>0</v>
      </c>
      <c r="J132" s="238">
        <f>IFERROR(__xludf.DUMMYFUNCTION("IMPORTRANGE(""https://docs.google.com/spreadsheets/d/1IYY_tgx_IHuhSq3AJ5eI5OnqOPBNLWSHKh2a30DoXe8/edit?usp=sharing"",""ภูเก็ต!J62"")"),0.0)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IFERROR(__xludf.DUMMYFUNCTION("IMPORTRANGE(""https://docs.google.com/spreadsheets/d/1IYY_tgx_IHuhSq3AJ5eI5OnqOPBNLWSHKh2a30DoXe8/edit?usp=sharing"",""ภูเก็ต!I63"")"),0.0)</f>
        <v>0</v>
      </c>
      <c r="J133" s="238">
        <f>IFERROR(__xludf.DUMMYFUNCTION("IMPORTRANGE(""https://docs.google.com/spreadsheets/d/1IYY_tgx_IHuhSq3AJ5eI5OnqOPBNLWSHKh2a30DoXe8/edit?usp=sharing"",""ภูเก็ต!J63"")"),0.0)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IFERROR(__xludf.DUMMYFUNCTION("IMPORTRANGE(""https://docs.google.com/spreadsheets/d/1IYY_tgx_IHuhSq3AJ5eI5OnqOPBNLWSHKh2a30DoXe8/edit?usp=sharing"",""ภูเก็ต!J64"")"),0.0)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IFERROR(__xludf.DUMMYFUNCTION("IMPORTRANGE(""https://docs.google.com/spreadsheets/d/1IYY_tgx_IHuhSq3AJ5eI5OnqOPBNLWSHKh2a30DoXe8/edit?usp=sharing"",""ภูเก็ต!J65"")"),0.0)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IFERROR(__xludf.DUMMYFUNCTION("IMPORTRANGE(""https://docs.google.com/spreadsheets/d/1IYY_tgx_IHuhSq3AJ5eI5OnqOPBNLWSHKh2a30DoXe8/edit?usp=sharing"",""ภูเก็ต!I68"")"),0.0)</f>
        <v>0</v>
      </c>
      <c r="J138" s="301">
        <f>IFERROR(__xludf.DUMMYFUNCTION("IMPORTRANGE(""https://docs.google.com/spreadsheets/d/1IYY_tgx_IHuhSq3AJ5eI5OnqOPBNLWSHKh2a30DoXe8/edit?usp=sharing"",""ภูเก็ต!J68"")"),0.0)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21500</v>
      </c>
      <c r="M140" s="183">
        <f t="shared" si="65"/>
        <v>17750</v>
      </c>
      <c r="N140" s="183">
        <f t="shared" si="65"/>
        <v>0</v>
      </c>
      <c r="O140" s="182">
        <f t="shared" ref="O140:O142" si="67">IF(L140&gt;0,N140*100/L140,0)</f>
        <v>0</v>
      </c>
      <c r="P140" s="182">
        <f t="shared" ref="P140:P142" si="68">IF(M140&gt;0,N140*100/M140,0)</f>
        <v>0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21500</v>
      </c>
      <c r="M142" s="188">
        <f t="shared" si="69"/>
        <v>17750</v>
      </c>
      <c r="N142" s="188">
        <f t="shared" si="69"/>
        <v>0</v>
      </c>
      <c r="O142" s="187">
        <f t="shared" si="67"/>
        <v>0</v>
      </c>
      <c r="P142" s="187">
        <f t="shared" si="68"/>
        <v>0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21500</v>
      </c>
      <c r="M144" s="201">
        <f>IFERROR(__xludf.DUMMYFUNCTION("IMPORTRANGE(""https://docs.google.com/spreadsheets/d/1Yj_ptqi66GCucihVvJfMjLAmec39IyEx_6qawtMGysU/edit?usp=sharing"",""สบก!BJ89"")"),17750.0)</f>
        <v>17750</v>
      </c>
      <c r="N144" s="202">
        <f>IFERROR(__xludf.DUMMYFUNCTION("IMPORTRANGE(""https://docs.google.com/spreadsheets/d/1Yj_ptqi66GCucihVvJfMjLAmec39IyEx_6qawtMGysU/edit?usp=sharing"",""สบก!BK89"")"),0.0)</f>
        <v>0</v>
      </c>
      <c r="O144" s="203">
        <f>IF(L144&gt;0,N144*100/L144,0)</f>
        <v>0</v>
      </c>
      <c r="P144" s="203">
        <f>IF(M144&gt;0,N144*100/M144,0)</f>
        <v>0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IFERROR(__xludf.DUMMYFUNCTION("IMPORTRANGE(""https://docs.google.com/spreadsheets/d/1Yj_ptqi66GCucihVvJfMjLAmec39IyEx_6qawtMGysU/edit?usp=sharing"",""สบก!BF89"")"),0.0)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IFERROR(__xludf.DUMMYFUNCTION("IMPORTRANGE(""https://docs.google.com/spreadsheets/d/1Yj_ptqi66GCucihVvJfMjLAmec39IyEx_6qawtMGysU/edit?usp=sharing"",""สบก!BG89"")"),21500.0)</f>
        <v>21500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IFERROR(__xludf.DUMMYFUNCTION("IMPORTRANGE(""https://docs.google.com/spreadsheets/d/1Yj_ptqi66GCucihVvJfMjLAmec39IyEx_6qawtMGysU/edit?usp=sharing"",""สบก!BH89"")"),0.0)</f>
        <v>0</v>
      </c>
      <c r="M148" s="125"/>
      <c r="N148" s="115">
        <f>IFERROR(__xludf.DUMMYFUNCTION("IMPORTRANGE(""https://docs.google.com/spreadsheets/d/1Yj_ptqi66GCucihVvJfMjLAmec39IyEx_6qawtMGysU/edit?usp=sharing"",""สบก!BL89"")"),0.0)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IFERROR(__xludf.DUMMYFUNCTION("IMPORTRANGE(""https://docs.google.com/spreadsheets/d/1IYY_tgx_IHuhSq3AJ5eI5OnqOPBNLWSHKh2a30DoXe8/edit?usp=sharing"",""ภูเก็ต!I74"")"),4.0)</f>
        <v>4</v>
      </c>
      <c r="J149" s="309">
        <f>IFERROR(__xludf.DUMMYFUNCTION("IMPORTRANGE(""https://docs.google.com/spreadsheets/d/1IYY_tgx_IHuhSq3AJ5eI5OnqOPBNLWSHKh2a30DoXe8/edit?usp=sharing"",""ภูเก็ต!J74"")"),0.0)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IFERROR(__xludf.DUMMYFUNCTION("IMPORTRANGE(""https://docs.google.com/spreadsheets/d/1IYY_tgx_IHuhSq3AJ5eI5OnqOPBNLWSHKh2a30DoXe8/edit?usp=sharing"",""ภูเก็ต!J79"")"),0.0)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IFERROR(__xludf.DUMMYFUNCTION("IMPORTRANGE(""https://docs.google.com/spreadsheets/d/1IYY_tgx_IHuhSq3AJ5eI5OnqOPBNLWSHKh2a30DoXe8/edit?usp=sharing"",""ภูเก็ต!J80"")"),1.0)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IFERROR(__xludf.DUMMYFUNCTION("IMPORTRANGE(""https://docs.google.com/spreadsheets/d/1IYY_tgx_IHuhSq3AJ5eI5OnqOPBNLWSHKh2a30DoXe8/edit?usp=sharing"",""ภูเก็ต!J81"")"),1.0)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IFERROR(__xludf.DUMMYFUNCTION("IMPORTRANGE(""https://docs.google.com/spreadsheets/d/1IYY_tgx_IHuhSq3AJ5eI5OnqOPBNLWSHKh2a30DoXe8/edit?usp=sharing"",""ภูเก็ต!J82"")"),1.0)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IFERROR(__xludf.DUMMYFUNCTION("IMPORTRANGE(""https://docs.google.com/spreadsheets/d/1IYY_tgx_IHuhSq3AJ5eI5OnqOPBNLWSHKh2a30DoXe8/edit?usp=sharing"",""ภูเก็ต!I83"")"),4.0)</f>
        <v>4</v>
      </c>
      <c r="J158" s="223">
        <f>IFERROR(__xludf.DUMMYFUNCTION("IMPORTRANGE(""https://docs.google.com/spreadsheets/d/1IYY_tgx_IHuhSq3AJ5eI5OnqOPBNLWSHKh2a30DoXe8/edit?usp=sharing"",""ภูเก็ต!J83"")"),0.0)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IFERROR(__xludf.DUMMYFUNCTION("IMPORTRANGE(""https://docs.google.com/spreadsheets/d/1IYY_tgx_IHuhSq3AJ5eI5OnqOPBNLWSHKh2a30DoXe8/edit?usp=sharing"",""ภูเก็ต!J84"")"),0.0)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IFERROR(__xludf.DUMMYFUNCTION("IMPORTRANGE(""https://docs.google.com/spreadsheets/d/1IYY_tgx_IHuhSq3AJ5eI5OnqOPBNLWSHKh2a30DoXe8/edit?usp=sharing"",""ภูเก็ต!J85"")"),0.0)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IFERROR(__xludf.DUMMYFUNCTION("IMPORTRANGE(""https://docs.google.com/spreadsheets/d/1IYY_tgx_IHuhSq3AJ5eI5OnqOPBNLWSHKh2a30DoXe8/edit?usp=sharing"",""ภูเก็ต!J86"")"),0.0)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IFERROR(__xludf.DUMMYFUNCTION("IMPORTRANGE(""https://docs.google.com/spreadsheets/d/1IYY_tgx_IHuhSq3AJ5eI5OnqOPBNLWSHKh2a30DoXe8/edit?usp=sharing"",""ภูเก็ต!J87"")"),0.0)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IFERROR(__xludf.DUMMYFUNCTION("IMPORTRANGE(""https://docs.google.com/spreadsheets/d/1IYY_tgx_IHuhSq3AJ5eI5OnqOPBNLWSHKh2a30DoXe8/edit?usp=sharing"",""ภูเก็ต!J88"")"),0.0)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IFERROR(__xludf.DUMMYFUNCTION("IMPORTRANGE(""https://docs.google.com/spreadsheets/d/1IYY_tgx_IHuhSq3AJ5eI5OnqOPBNLWSHKh2a30DoXe8/edit?usp=sharing"",""ภูเก็ต!I89"")"),1.0)</f>
        <v>1</v>
      </c>
      <c r="J164" s="317">
        <f>IFERROR(__xludf.DUMMYFUNCTION("IMPORTRANGE(""https://docs.google.com/spreadsheets/d/1IYY_tgx_IHuhSq3AJ5eI5OnqOPBNLWSHKh2a30DoXe8/edit?usp=sharing"",""ภูเก็ต!J89"")"),0.0)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IFERROR(__xludf.DUMMYFUNCTION("IMPORTRANGE(""https://docs.google.com/spreadsheets/d/1IYY_tgx_IHuhSq3AJ5eI5OnqOPBNLWSHKh2a30DoXe8/edit?usp=sharing"",""ภูเก็ต!J94"")"),0.0)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IFERROR(__xludf.DUMMYFUNCTION("IMPORTRANGE(""https://docs.google.com/spreadsheets/d/1IYY_tgx_IHuhSq3AJ5eI5OnqOPBNLWSHKh2a30DoXe8/edit?usp=sharing"",""ภูเก็ต!J95"")"),1.0)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IFERROR(__xludf.DUMMYFUNCTION("IMPORTRANGE(""https://docs.google.com/spreadsheets/d/1IYY_tgx_IHuhSq3AJ5eI5OnqOPBNLWSHKh2a30DoXe8/edit?usp=sharing"",""ภูเก็ต!J96"")"),1.0)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IFERROR(__xludf.DUMMYFUNCTION("IMPORTRANGE(""https://docs.google.com/spreadsheets/d/1IYY_tgx_IHuhSq3AJ5eI5OnqOPBNLWSHKh2a30DoXe8/edit?usp=sharing"",""ภูเก็ต!J97"")"),1.0)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IFERROR(__xludf.DUMMYFUNCTION("IMPORTRANGE(""https://docs.google.com/spreadsheets/d/1IYY_tgx_IHuhSq3AJ5eI5OnqOPBNLWSHKh2a30DoXe8/edit?usp=sharing"",""ภูเก็ต!I98"")"),1.0)</f>
        <v>1</v>
      </c>
      <c r="J173" s="223">
        <f>IFERROR(__xludf.DUMMYFUNCTION("IMPORTRANGE(""https://docs.google.com/spreadsheets/d/1IYY_tgx_IHuhSq3AJ5eI5OnqOPBNLWSHKh2a30DoXe8/edit?usp=sharing"",""ภูเก็ต!J98"")"),0.0)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IFERROR(__xludf.DUMMYFUNCTION("IMPORTRANGE(""https://docs.google.com/spreadsheets/d/1IYY_tgx_IHuhSq3AJ5eI5OnqOPBNLWSHKh2a30DoXe8/edit?usp=sharing"",""ภูเก็ต!J99"")"),0.0)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IFERROR(__xludf.DUMMYFUNCTION("IMPORTRANGE(""https://docs.google.com/spreadsheets/d/1IYY_tgx_IHuhSq3AJ5eI5OnqOPBNLWSHKh2a30DoXe8/edit?usp=sharing"",""ภูเก็ต!J100"")"),0.0)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IFERROR(__xludf.DUMMYFUNCTION("IMPORTRANGE(""https://docs.google.com/spreadsheets/d/1IYY_tgx_IHuhSq3AJ5eI5OnqOPBNLWSHKh2a30DoXe8/edit?usp=sharing"",""ภูเก็ต!I101"")"),0.0)</f>
        <v>0</v>
      </c>
      <c r="J176" s="317">
        <f>IFERROR(__xludf.DUMMYFUNCTION("IMPORTRANGE(""https://docs.google.com/spreadsheets/d/1IYY_tgx_IHuhSq3AJ5eI5OnqOPBNLWSHKh2a30DoXe8/edit?usp=sharing"",""ภูเก็ต!J101"")"),0.0)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IFERROR(__xludf.DUMMYFUNCTION("IMPORTRANGE(""https://docs.google.com/spreadsheets/d/1IYY_tgx_IHuhSq3AJ5eI5OnqOPBNLWSHKh2a30DoXe8/edit?usp=sharing"",""ภูเก็ต!J106"")"),0.0)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IFERROR(__xludf.DUMMYFUNCTION("IMPORTRANGE(""https://docs.google.com/spreadsheets/d/1IYY_tgx_IHuhSq3AJ5eI5OnqOPBNLWSHKh2a30DoXe8/edit?usp=sharing"",""ภูเก็ต!J107"")"),0.0)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IFERROR(__xludf.DUMMYFUNCTION("IMPORTRANGE(""https://docs.google.com/spreadsheets/d/1IYY_tgx_IHuhSq3AJ5eI5OnqOPBNLWSHKh2a30DoXe8/edit?usp=sharing"",""ภูเก็ต!J108"")"),0.0)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IFERROR(__xludf.DUMMYFUNCTION("IMPORTRANGE(""https://docs.google.com/spreadsheets/d/1IYY_tgx_IHuhSq3AJ5eI5OnqOPBNLWSHKh2a30DoXe8/edit?usp=sharing"",""ภูเก็ต!J109"")"),0.0)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IFERROR(__xludf.DUMMYFUNCTION("IMPORTRANGE(""https://docs.google.com/spreadsheets/d/1IYY_tgx_IHuhSq3AJ5eI5OnqOPBNLWSHKh2a30DoXe8/edit?usp=sharing"",""ภูเก็ต!I110"")"),0.0)</f>
        <v>0</v>
      </c>
      <c r="J185" s="238">
        <f>IFERROR(__xludf.DUMMYFUNCTION("IMPORTRANGE(""https://docs.google.com/spreadsheets/d/1IYY_tgx_IHuhSq3AJ5eI5OnqOPBNLWSHKh2a30DoXe8/edit?usp=sharing"",""ภูเก็ต!J110"")"),0.0)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IFERROR(__xludf.DUMMYFUNCTION("IMPORTRANGE(""https://docs.google.com/spreadsheets/d/1IYY_tgx_IHuhSq3AJ5eI5OnqOPBNLWSHKh2a30DoXe8/edit?usp=sharing"",""ภูเก็ต!I111"")"),0.0)</f>
        <v>0</v>
      </c>
      <c r="J186" s="238">
        <f>IFERROR(__xludf.DUMMYFUNCTION("IMPORTRANGE(""https://docs.google.com/spreadsheets/d/1IYY_tgx_IHuhSq3AJ5eI5OnqOPBNLWSHKh2a30DoXe8/edit?usp=sharing"",""ภูเก็ต!J111"")"),0.0)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IFERROR(__xludf.DUMMYFUNCTION("IMPORTRANGE(""https://docs.google.com/spreadsheets/d/1IYY_tgx_IHuhSq3AJ5eI5OnqOPBNLWSHKh2a30DoXe8/edit?usp=sharing"",""ภูเก็ต!J112"")"),0.0)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IFERROR(__xludf.DUMMYFUNCTION("IMPORTRANGE(""https://docs.google.com/spreadsheets/d/1IYY_tgx_IHuhSq3AJ5eI5OnqOPBNLWSHKh2a30DoXe8/edit?usp=sharing"",""ภูเก็ต!J113"")"),0.0)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IFERROR(__xludf.DUMMYFUNCTION("IMPORTRANGE(""https://docs.google.com/spreadsheets/d/1IYY_tgx_IHuhSq3AJ5eI5OnqOPBNLWSHKh2a30DoXe8/edit?usp=sharing"",""ภูเก็ต!I114"")"),0.0)</f>
        <v>0</v>
      </c>
      <c r="J189" s="317">
        <f>IFERROR(__xludf.DUMMYFUNCTION("IMPORTRANGE(""https://docs.google.com/spreadsheets/d/1IYY_tgx_IHuhSq3AJ5eI5OnqOPBNLWSHKh2a30DoXe8/edit?usp=sharing"",""ภูเก็ต!J114"")"),0.0)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IFERROR(__xludf.DUMMYFUNCTION("IMPORTRANGE(""https://docs.google.com/spreadsheets/d/1IYY_tgx_IHuhSq3AJ5eI5OnqOPBNLWSHKh2a30DoXe8/edit?usp=sharing"",""ภูเก็ต!J119"")"),0.0)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IFERROR(__xludf.DUMMYFUNCTION("IMPORTRANGE(""https://docs.google.com/spreadsheets/d/1IYY_tgx_IHuhSq3AJ5eI5OnqOPBNLWSHKh2a30DoXe8/edit?usp=sharing"",""ภูเก็ต!J120"")"),0.0)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IFERROR(__xludf.DUMMYFUNCTION("IMPORTRANGE(""https://docs.google.com/spreadsheets/d/1IYY_tgx_IHuhSq3AJ5eI5OnqOPBNLWSHKh2a30DoXe8/edit?usp=sharing"",""ภูเก็ต!J121"")"),0.0)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IFERROR(__xludf.DUMMYFUNCTION("IMPORTRANGE(""https://docs.google.com/spreadsheets/d/1IYY_tgx_IHuhSq3AJ5eI5OnqOPBNLWSHKh2a30DoXe8/edit?usp=sharing"",""ภูเก็ต!J122"")"),0.0)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IFERROR(__xludf.DUMMYFUNCTION("IMPORTRANGE(""https://docs.google.com/spreadsheets/d/1IYY_tgx_IHuhSq3AJ5eI5OnqOPBNLWSHKh2a30DoXe8/edit?usp=sharing"",""ภูเก็ต!I124"")"),0.0)</f>
        <v>0</v>
      </c>
      <c r="J199" s="223">
        <f>IFERROR(__xludf.DUMMYFUNCTION("IMPORTRANGE(""https://docs.google.com/spreadsheets/d/1IYY_tgx_IHuhSq3AJ5eI5OnqOPBNLWSHKh2a30DoXe8/edit?usp=sharing"",""ภูเก็ต!J124"")"),0.0)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IFERROR(__xludf.DUMMYFUNCTION("IMPORTRANGE(""https://docs.google.com/spreadsheets/d/1IYY_tgx_IHuhSq3AJ5eI5OnqOPBNLWSHKh2a30DoXe8/edit?usp=sharing"",""ภูเก็ต!I125"")"),0.0)</f>
        <v>0</v>
      </c>
      <c r="J200" s="223">
        <f>IFERROR(__xludf.DUMMYFUNCTION("IMPORTRANGE(""https://docs.google.com/spreadsheets/d/1IYY_tgx_IHuhSq3AJ5eI5OnqOPBNLWSHKh2a30DoXe8/edit?usp=sharing"",""ภูเก็ต!J125"")"),0.0)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IFERROR(__xludf.DUMMYFUNCTION("IMPORTRANGE(""https://docs.google.com/spreadsheets/d/1IYY_tgx_IHuhSq3AJ5eI5OnqOPBNLWSHKh2a30DoXe8/edit?usp=sharing"",""ภูเก็ต!I126"")"),0.0)</f>
        <v>0</v>
      </c>
      <c r="J201" s="223">
        <f>IFERROR(__xludf.DUMMYFUNCTION("IMPORTRANGE(""https://docs.google.com/spreadsheets/d/1IYY_tgx_IHuhSq3AJ5eI5OnqOPBNLWSHKh2a30DoXe8/edit?usp=sharing"",""ภูเก็ต!J126"")"),0.0)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IFERROR(__xludf.DUMMYFUNCTION("IMPORTRANGE(""https://docs.google.com/spreadsheets/d/1IYY_tgx_IHuhSq3AJ5eI5OnqOPBNLWSHKh2a30DoXe8/edit?usp=sharing"",""ภูเก็ต!J127"")"),0.0)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IFERROR(__xludf.DUMMYFUNCTION("IMPORTRANGE(""https://docs.google.com/spreadsheets/d/1IYY_tgx_IHuhSq3AJ5eI5OnqOPBNLWSHKh2a30DoXe8/edit?usp=sharing"",""ภูเก็ต!J128"")"),0.0)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IFERROR(__xludf.DUMMYFUNCTION("IMPORTRANGE(""https://docs.google.com/spreadsheets/d/1IYY_tgx_IHuhSq3AJ5eI5OnqOPBNLWSHKh2a30DoXe8/edit?usp=sharing"",""ภูเก็ต!I129"")"),0.0)</f>
        <v>0</v>
      </c>
      <c r="J204" s="317">
        <f>IFERROR(__xludf.DUMMYFUNCTION("IMPORTRANGE(""https://docs.google.com/spreadsheets/d/1IYY_tgx_IHuhSq3AJ5eI5OnqOPBNLWSHKh2a30DoXe8/edit?usp=sharing"",""ภูเก็ต!J129"")"),0.0)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IFERROR(__xludf.DUMMYFUNCTION("IMPORTRANGE(""https://docs.google.com/spreadsheets/d/1IYY_tgx_IHuhSq3AJ5eI5OnqOPBNLWSHKh2a30DoXe8/edit?usp=sharing"",""ภูเก็ต!J134"")"),0.0)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IFERROR(__xludf.DUMMYFUNCTION("IMPORTRANGE(""https://docs.google.com/spreadsheets/d/1IYY_tgx_IHuhSq3AJ5eI5OnqOPBNLWSHKh2a30DoXe8/edit?usp=sharing"",""ภูเก็ต!J135"")"),0.0)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IFERROR(__xludf.DUMMYFUNCTION("IMPORTRANGE(""https://docs.google.com/spreadsheets/d/1IYY_tgx_IHuhSq3AJ5eI5OnqOPBNLWSHKh2a30DoXe8/edit?usp=sharing"",""ภูเก็ต!J136"")"),0.0)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IFERROR(__xludf.DUMMYFUNCTION("IMPORTRANGE(""https://docs.google.com/spreadsheets/d/1IYY_tgx_IHuhSq3AJ5eI5OnqOPBNLWSHKh2a30DoXe8/edit?usp=sharing"",""ภูเก็ต!J137"")"),0.0)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IFERROR(__xludf.DUMMYFUNCTION("IMPORTRANGE(""https://docs.google.com/spreadsheets/d/1IYY_tgx_IHuhSq3AJ5eI5OnqOPBNLWSHKh2a30DoXe8/edit?usp=sharing"",""ภูเก็ต!I138"")"),0.0)</f>
        <v>0</v>
      </c>
      <c r="J213" s="238">
        <f>IFERROR(__xludf.DUMMYFUNCTION("IMPORTRANGE(""https://docs.google.com/spreadsheets/d/1IYY_tgx_IHuhSq3AJ5eI5OnqOPBNLWSHKh2a30DoXe8/edit?usp=sharing"",""ภูเก็ต!J138"")"),0.0)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IFERROR(__xludf.DUMMYFUNCTION("IMPORTRANGE(""https://docs.google.com/spreadsheets/d/1IYY_tgx_IHuhSq3AJ5eI5OnqOPBNLWSHKh2a30DoXe8/edit?usp=sharing"",""ภูเก็ต!I140"")"),0.0)</f>
        <v>0</v>
      </c>
      <c r="J215" s="238">
        <f>IFERROR(__xludf.DUMMYFUNCTION("IMPORTRANGE(""https://docs.google.com/spreadsheets/d/1IYY_tgx_IHuhSq3AJ5eI5OnqOPBNLWSHKh2a30DoXe8/edit?usp=sharing"",""ภูเก็ต!J140"")"),0.0)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IFERROR(__xludf.DUMMYFUNCTION("IMPORTRANGE(""https://docs.google.com/spreadsheets/d/1IYY_tgx_IHuhSq3AJ5eI5OnqOPBNLWSHKh2a30DoXe8/edit?usp=sharing"",""ภูเก็ต!I141"")"),0.0)</f>
        <v>0</v>
      </c>
      <c r="J216" s="238">
        <f>IFERROR(__xludf.DUMMYFUNCTION("IMPORTRANGE(""https://docs.google.com/spreadsheets/d/1IYY_tgx_IHuhSq3AJ5eI5OnqOPBNLWSHKh2a30DoXe8/edit?usp=sharing"",""ภูเก็ต!J141"")"),0.0)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IFERROR(__xludf.DUMMYFUNCTION("IMPORTRANGE(""https://docs.google.com/spreadsheets/d/1IYY_tgx_IHuhSq3AJ5eI5OnqOPBNLWSHKh2a30DoXe8/edit?usp=sharing"",""ภูเก็ต!J142"")"),0.0)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IFERROR(__xludf.DUMMYFUNCTION("IMPORTRANGE(""https://docs.google.com/spreadsheets/d/1IYY_tgx_IHuhSq3AJ5eI5OnqOPBNLWSHKh2a30DoXe8/edit?usp=sharing"",""ภูเก็ต!J143"")"),0.0)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IFERROR(__xludf.DUMMYFUNCTION("IMPORTRANGE(""https://docs.google.com/spreadsheets/d/1IYY_tgx_IHuhSq3AJ5eI5OnqOPBNLWSHKh2a30DoXe8/edit?usp=sharing"",""ภูเก็ต!I144"")"),13.0)</f>
        <v>13</v>
      </c>
      <c r="J219" s="301">
        <f>IFERROR(__xludf.DUMMYFUNCTION("IMPORTRANGE(""https://docs.google.com/spreadsheets/d/1IYY_tgx_IHuhSq3AJ5eI5OnqOPBNLWSHKh2a30DoXe8/edit?usp=sharing"",""ภูเก็ต!J144"")"),0.0)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1">
        <f>IFERROR(__xludf.DUMMYFUNCTION("IMPORTRANGE(""https://docs.google.com/spreadsheets/d/1Yj_ptqi66GCucihVvJfMjLAmec39IyEx_6qawtMGysU/edit?usp=sharing"",""สบก!BS89"")"),19295.0)</f>
        <v>19295</v>
      </c>
      <c r="N224" s="202">
        <f>IFERROR(__xludf.DUMMYFUNCTION("IMPORTRANGE(""https://docs.google.com/spreadsheets/d/1Yj_ptqi66GCucihVvJfMjLAmec39IyEx_6qawtMGysU/edit?usp=sharing"",""สบก!BT89"")"),0.0)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IFERROR(__xludf.DUMMYFUNCTION("IMPORTRANGE(""https://docs.google.com/spreadsheets/d/1Yj_ptqi66GCucihVvJfMjLAmec39IyEx_6qawtMGysU/edit?usp=sharing"",""สบก!BO89"")"),0.0)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IFERROR(__xludf.DUMMYFUNCTION("IMPORTRANGE(""https://docs.google.com/spreadsheets/d/1Yj_ptqi66GCucihVvJfMjLAmec39IyEx_6qawtMGysU/edit?usp=sharing"",""สบก!BP89"")"),19295.0)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IFERROR(__xludf.DUMMYFUNCTION("IMPORTRANGE(""https://docs.google.com/spreadsheets/d/1Yj_ptqi66GCucihVvJfMjLAmec39IyEx_6qawtMGysU/edit?usp=sharing"",""สบก!BQ89"")"),0.0)</f>
        <v>0</v>
      </c>
      <c r="M228" s="125"/>
      <c r="N228" s="115">
        <f>IFERROR(__xludf.DUMMYFUNCTION("IMPORTRANGE(""https://docs.google.com/spreadsheets/d/1Yj_ptqi66GCucihVvJfMjLAmec39IyEx_6qawtMGysU/edit?usp=sharing"",""สบก!BU89"")"),0.0)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IFERROR(__xludf.DUMMYFUNCTION("IMPORTRANGE(""https://docs.google.com/spreadsheets/d/1IYY_tgx_IHuhSq3AJ5eI5OnqOPBNLWSHKh2a30DoXe8/edit?usp=sharing"",""ภูเก็ต!I149"")"),13.0)</f>
        <v>13</v>
      </c>
      <c r="J229" s="301">
        <f>IFERROR(__xludf.DUMMYFUNCTION("IMPORTRANGE(""https://docs.google.com/spreadsheets/d/1IYY_tgx_IHuhSq3AJ5eI5OnqOPBNLWSHKh2a30DoXe8/edit?usp=sharing"",""ภูเก็ต!J149"")"),0.0)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IFERROR(__xludf.DUMMYFUNCTION("IMPORTRANGE(""https://docs.google.com/spreadsheets/d/1IYY_tgx_IHuhSq3AJ5eI5OnqOPBNLWSHKh2a30DoXe8/edit?usp=sharing"",""ภูเก็ต!J151"")"),0.0)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IFERROR(__xludf.DUMMYFUNCTION("IMPORTRANGE(""https://docs.google.com/spreadsheets/d/1IYY_tgx_IHuhSq3AJ5eI5OnqOPBNLWSHKh2a30DoXe8/edit?usp=sharing"",""ภูเก็ต!J152"")"),1.0)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IFERROR(__xludf.DUMMYFUNCTION("IMPORTRANGE(""https://docs.google.com/spreadsheets/d/1IYY_tgx_IHuhSq3AJ5eI5OnqOPBNLWSHKh2a30DoXe8/edit?usp=sharing"",""ภูเก็ต!J153"")"),1.0)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IFERROR(__xludf.DUMMYFUNCTION("IMPORTRANGE(""https://docs.google.com/spreadsheets/d/1IYY_tgx_IHuhSq3AJ5eI5OnqOPBNLWSHKh2a30DoXe8/edit?usp=sharing"",""ภูเก็ต!J154"")"),1.0)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IFERROR(__xludf.DUMMYFUNCTION("IMPORTRANGE(""https://docs.google.com/spreadsheets/d/1IYY_tgx_IHuhSq3AJ5eI5OnqOPBNLWSHKh2a30DoXe8/edit?usp=sharing"",""ภูเก็ต!I155"")"),13.0)</f>
        <v>13</v>
      </c>
      <c r="J235" s="223">
        <f>IFERROR(__xludf.DUMMYFUNCTION("IMPORTRANGE(""https://docs.google.com/spreadsheets/d/1IYY_tgx_IHuhSq3AJ5eI5OnqOPBNLWSHKh2a30DoXe8/edit?usp=sharing"",""ภูเก็ต!J155"")"),0.0)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IFERROR(__xludf.DUMMYFUNCTION("IMPORTRANGE(""https://docs.google.com/spreadsheets/d/1IYY_tgx_IHuhSq3AJ5eI5OnqOPBNLWSHKh2a30DoXe8/edit?usp=sharing"",""ภูเก็ต!J156"")"),0.0)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IFERROR(__xludf.DUMMYFUNCTION("IMPORTRANGE(""https://docs.google.com/spreadsheets/d/1IYY_tgx_IHuhSq3AJ5eI5OnqOPBNLWSHKh2a30DoXe8/edit?usp=sharing"",""ภูเก็ต!J157"")"),0.0)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IFERROR(__xludf.DUMMYFUNCTION("IMPORTRANGE(""https://docs.google.com/spreadsheets/d/1IYY_tgx_IHuhSq3AJ5eI5OnqOPBNLWSHKh2a30DoXe8/edit?usp=sharing"",""ภูเก็ต!I158"")"),0.0)</f>
        <v>0</v>
      </c>
      <c r="J238" s="301">
        <f>IFERROR(__xludf.DUMMYFUNCTION("IMPORTRANGE(""https://docs.google.com/spreadsheets/d/1IYY_tgx_IHuhSq3AJ5eI5OnqOPBNLWSHKh2a30DoXe8/edit?usp=sharing"",""ภูเก็ต!J158"")"),0.0)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IFERROR(__xludf.DUMMYFUNCTION("IMPORTRANGE(""https://docs.google.com/spreadsheets/d/1IYY_tgx_IHuhSq3AJ5eI5OnqOPBNLWSHKh2a30DoXe8/edit?usp=sharing"",""ภูเก็ต!J159"")"),"")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IFERROR(__xludf.DUMMYFUNCTION("IMPORTRANGE(""https://docs.google.com/spreadsheets/d/1IYY_tgx_IHuhSq3AJ5eI5OnqOPBNLWSHKh2a30DoXe8/edit?usp=sharing"",""ภูเก็ต!J161"")"),0.0)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IFERROR(__xludf.DUMMYFUNCTION("IMPORTRANGE(""https://docs.google.com/spreadsheets/d/1IYY_tgx_IHuhSq3AJ5eI5OnqOPBNLWSHKh2a30DoXe8/edit?usp=sharing"",""ภูเก็ต!J162"")"),0.0)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IFERROR(__xludf.DUMMYFUNCTION("IMPORTRANGE(""https://docs.google.com/spreadsheets/d/1IYY_tgx_IHuhSq3AJ5eI5OnqOPBNLWSHKh2a30DoXe8/edit?usp=sharing"",""ภูเก็ต!J163"")"),0.0)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IFERROR(__xludf.DUMMYFUNCTION("IMPORTRANGE(""https://docs.google.com/spreadsheets/d/1IYY_tgx_IHuhSq3AJ5eI5OnqOPBNLWSHKh2a30DoXe8/edit?usp=sharing"",""ภูเก็ต!I164"")"),0.0)</f>
        <v>0</v>
      </c>
      <c r="J244" s="222">
        <f>IFERROR(__xludf.DUMMYFUNCTION("IMPORTRANGE(""https://docs.google.com/spreadsheets/d/1IYY_tgx_IHuhSq3AJ5eI5OnqOPBNLWSHKh2a30DoXe8/edit?usp=sharing"",""ภูเก็ต!J164"")"),0.0)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IFERROR(__xludf.DUMMYFUNCTION("IMPORTRANGE(""https://docs.google.com/spreadsheets/d/1IYY_tgx_IHuhSq3AJ5eI5OnqOPBNLWSHKh2a30DoXe8/edit?usp=sharing"",""ภูเก็ต!J165"")"),0.0)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IFERROR(__xludf.DUMMYFUNCTION("IMPORTRANGE(""https://docs.google.com/spreadsheets/d/1IYY_tgx_IHuhSq3AJ5eI5OnqOPBNLWSHKh2a30DoXe8/edit?usp=sharing"",""ภูเก็ต!J166"")"),0.0)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IFERROR(__xludf.DUMMYFUNCTION("IMPORTRANGE(""https://docs.google.com/spreadsheets/d/1IYY_tgx_IHuhSq3AJ5eI5OnqOPBNLWSHKh2a30DoXe8/edit?usp=sharing"",""ภูเก็ต!I169"")"),0.0)</f>
        <v>0</v>
      </c>
      <c r="J249" s="349">
        <f>IFERROR(__xludf.DUMMYFUNCTION("IMPORTRANGE(""https://docs.google.com/spreadsheets/d/1IYY_tgx_IHuhSq3AJ5eI5OnqOPBNLWSHKh2a30DoXe8/edit?usp=sharing"",""ภูเก็ต!J169"")"),0.0)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IFERROR(__xludf.DUMMYFUNCTION("IMPORTRANGE(""https://docs.google.com/spreadsheets/d/1Yj_ptqi66GCucihVvJfMjLAmec39IyEx_6qawtMGysU/edit?usp=sharing"",""สบก!CB89"")"),0.0)</f>
        <v>0</v>
      </c>
      <c r="N254" s="202">
        <f>IFERROR(__xludf.DUMMYFUNCTION("IMPORTRANGE(""https://docs.google.com/spreadsheets/d/1Yj_ptqi66GCucihVvJfMjLAmec39IyEx_6qawtMGysU/edit?usp=sharing"",""สบก!CC89"")"),0.0)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IFERROR(__xludf.DUMMYFUNCTION("IMPORTRANGE(""https://docs.google.com/spreadsheets/d/1Yj_ptqi66GCucihVvJfMjLAmec39IyEx_6qawtMGysU/edit?usp=sharing"",""สบก!BX89"")"),0.0)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IFERROR(__xludf.DUMMYFUNCTION("IMPORTRANGE(""https://docs.google.com/spreadsheets/d/1Yj_ptqi66GCucihVvJfMjLAmec39IyEx_6qawtMGysU/edit?usp=sharing"",""สบก!BY89"")"),0.0)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IFERROR(__xludf.DUMMYFUNCTION("IMPORTRANGE(""https://docs.google.com/spreadsheets/d/1Yj_ptqi66GCucihVvJfMjLAmec39IyEx_6qawtMGysU/edit?usp=sharing"",""สบก!BZ89"")"),0.0)</f>
        <v>0</v>
      </c>
      <c r="M258" s="125"/>
      <c r="N258" s="115">
        <f>IFERROR(__xludf.DUMMYFUNCTION("IMPORTRANGE(""https://docs.google.com/spreadsheets/d/1Yj_ptqi66GCucihVvJfMjLAmec39IyEx_6qawtMGysU/edit?usp=sharing"",""สบก!CD89"")"),0.0)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IFERROR(__xludf.DUMMYFUNCTION("IMPORTRANGE(""https://docs.google.com/spreadsheets/d/1IYY_tgx_IHuhSq3AJ5eI5OnqOPBNLWSHKh2a30DoXe8/edit?usp=sharing"",""ภูเก็ต!J175"")"),0.0)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IFERROR(__xludf.DUMMYFUNCTION("IMPORTRANGE(""https://docs.google.com/spreadsheets/d/1IYY_tgx_IHuhSq3AJ5eI5OnqOPBNLWSHKh2a30DoXe8/edit?usp=sharing"",""ภูเก็ต!J176"")"),0.0)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IFERROR(__xludf.DUMMYFUNCTION("IMPORTRANGE(""https://docs.google.com/spreadsheets/d/1IYY_tgx_IHuhSq3AJ5eI5OnqOPBNLWSHKh2a30DoXe8/edit?usp=sharing"",""ภูเก็ต!J177"")"),0.0)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IFERROR(__xludf.DUMMYFUNCTION("IMPORTRANGE(""https://docs.google.com/spreadsheets/d/1IYY_tgx_IHuhSq3AJ5eI5OnqOPBNLWSHKh2a30DoXe8/edit?usp=sharing"",""ภูเก็ต!J178"")"),0.0)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IFERROR(__xludf.DUMMYFUNCTION("IMPORTRANGE(""https://docs.google.com/spreadsheets/d/1IYY_tgx_IHuhSq3AJ5eI5OnqOPBNLWSHKh2a30DoXe8/edit?usp=sharing"",""ภูเก็ต!I179"")"),0.0)</f>
        <v>0</v>
      </c>
      <c r="J264" s="223">
        <f>IFERROR(__xludf.DUMMYFUNCTION("IMPORTRANGE(""https://docs.google.com/spreadsheets/d/1IYY_tgx_IHuhSq3AJ5eI5OnqOPBNLWSHKh2a30DoXe8/edit?usp=sharing"",""ภูเก็ต!J179"")"),0.0)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IFERROR(__xludf.DUMMYFUNCTION("IMPORTRANGE(""https://docs.google.com/spreadsheets/d/1IYY_tgx_IHuhSq3AJ5eI5OnqOPBNLWSHKh2a30DoXe8/edit?usp=sharing"",""ภูเก็ต!I180"")"),0.0)</f>
        <v>0</v>
      </c>
      <c r="J265" s="223">
        <f>IFERROR(__xludf.DUMMYFUNCTION("IMPORTRANGE(""https://docs.google.com/spreadsheets/d/1IYY_tgx_IHuhSq3AJ5eI5OnqOPBNLWSHKh2a30DoXe8/edit?usp=sharing"",""ภูเก็ต!J180"")"),0.0)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IFERROR(__xludf.DUMMYFUNCTION("IMPORTRANGE(""https://docs.google.com/spreadsheets/d/1IYY_tgx_IHuhSq3AJ5eI5OnqOPBNLWSHKh2a30DoXe8/edit?usp=sharing"",""ภูเก็ต!I181"")"),0.0)</f>
        <v>0</v>
      </c>
      <c r="J266" s="223">
        <f>IFERROR(__xludf.DUMMYFUNCTION("IMPORTRANGE(""https://docs.google.com/spreadsheets/d/1IYY_tgx_IHuhSq3AJ5eI5OnqOPBNLWSHKh2a30DoXe8/edit?usp=sharing"",""ภูเก็ต!J181"")"),0.0)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IFERROR(__xludf.DUMMYFUNCTION("IMPORTRANGE(""https://docs.google.com/spreadsheets/d/1IYY_tgx_IHuhSq3AJ5eI5OnqOPBNLWSHKh2a30DoXe8/edit?usp=sharing"",""ภูเก็ต!I182"")"),0.0)</f>
        <v>0</v>
      </c>
      <c r="J267" s="223">
        <f>IFERROR(__xludf.DUMMYFUNCTION("IMPORTRANGE(""https://docs.google.com/spreadsheets/d/1IYY_tgx_IHuhSq3AJ5eI5OnqOPBNLWSHKh2a30DoXe8/edit?usp=sharing"",""ภูเก็ต!J182"")"),0.0)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IFERROR(__xludf.DUMMYFUNCTION("IMPORTRANGE(""https://docs.google.com/spreadsheets/d/1IYY_tgx_IHuhSq3AJ5eI5OnqOPBNLWSHKh2a30DoXe8/edit?usp=sharing"",""ภูเก็ต!J183"")"),0.0)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IFERROR(__xludf.DUMMYFUNCTION("IMPORTRANGE(""https://docs.google.com/spreadsheets/d/1IYY_tgx_IHuhSq3AJ5eI5OnqOPBNLWSHKh2a30DoXe8/edit?usp=sharing"",""ภูเก็ต!J184"")"),0.0)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IFERROR(__xludf.DUMMYFUNCTION("IMPORTRANGE(""https://docs.google.com/spreadsheets/d/1IYY_tgx_IHuhSq3AJ5eI5OnqOPBNLWSHKh2a30DoXe8/edit?usp=sharing"",""ภูเก็ต!I185"")"),0.0)</f>
        <v>0</v>
      </c>
      <c r="J270" s="349">
        <f>IFERROR(__xludf.DUMMYFUNCTION("IMPORTRANGE(""https://docs.google.com/spreadsheets/d/1IYY_tgx_IHuhSq3AJ5eI5OnqOPBNLWSHKh2a30DoXe8/edit?usp=sharing"",""ภูเก็ต!J185"")"),0.0)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IFERROR(__xludf.DUMMYFUNCTION("IMPORTRANGE(""https://docs.google.com/spreadsheets/d/1Yj_ptqi66GCucihVvJfMjLAmec39IyEx_6qawtMGysU/edit?usp=sharing"",""สบก!CK89"")"),0.0)</f>
        <v>0</v>
      </c>
      <c r="N275" s="202">
        <f>IFERROR(__xludf.DUMMYFUNCTION("IMPORTRANGE(""https://docs.google.com/spreadsheets/d/1Yj_ptqi66GCucihVvJfMjLAmec39IyEx_6qawtMGysU/edit?usp=sharing"",""สบก!CL89"")"),0.0)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IFERROR(__xludf.DUMMYFUNCTION("IMPORTRANGE(""https://docs.google.com/spreadsheets/d/1Yj_ptqi66GCucihVvJfMjLAmec39IyEx_6qawtMGysU/edit?usp=sharing"",""สบก!CG89"")"),0.0)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IFERROR(__xludf.DUMMYFUNCTION("IMPORTRANGE(""https://docs.google.com/spreadsheets/d/1Yj_ptqi66GCucihVvJfMjLAmec39IyEx_6qawtMGysU/edit?usp=sharing"",""สบก!CH89"")"),0.0)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IFERROR(__xludf.DUMMYFUNCTION("IMPORTRANGE(""https://docs.google.com/spreadsheets/d/1Yj_ptqi66GCucihVvJfMjLAmec39IyEx_6qawtMGysU/edit?usp=sharing"",""สบก!CI89"")"),0.0)</f>
        <v>0</v>
      </c>
      <c r="M279" s="125"/>
      <c r="N279" s="115">
        <f>IFERROR(__xludf.DUMMYFUNCTION("IMPORTRANGE(""https://docs.google.com/spreadsheets/d/1Yj_ptqi66GCucihVvJfMjLAmec39IyEx_6qawtMGysU/edit?usp=sharing"",""สบก!CM89"")"),0.0)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IFERROR(__xludf.DUMMYFUNCTION("IMPORTRANGE(""https://docs.google.com/spreadsheets/d/1IYY_tgx_IHuhSq3AJ5eI5OnqOPBNLWSHKh2a30DoXe8/edit?usp=sharing"",""ภูเก็ต!J191"")"),0.0)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IFERROR(__xludf.DUMMYFUNCTION("IMPORTRANGE(""https://docs.google.com/spreadsheets/d/1IYY_tgx_IHuhSq3AJ5eI5OnqOPBNLWSHKh2a30DoXe8/edit?usp=sharing"",""ภูเก็ต!J192"")"),0.0)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IFERROR(__xludf.DUMMYFUNCTION("IMPORTRANGE(""https://docs.google.com/spreadsheets/d/1IYY_tgx_IHuhSq3AJ5eI5OnqOPBNLWSHKh2a30DoXe8/edit?usp=sharing"",""ภูเก็ต!J193"")"),0.0)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IFERROR(__xludf.DUMMYFUNCTION("IMPORTRANGE(""https://docs.google.com/spreadsheets/d/1IYY_tgx_IHuhSq3AJ5eI5OnqOPBNLWSHKh2a30DoXe8/edit?usp=sharing"",""ภูเก็ต!J194"")"),0.0)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IFERROR(__xludf.DUMMYFUNCTION("IMPORTRANGE(""https://docs.google.com/spreadsheets/d/1IYY_tgx_IHuhSq3AJ5eI5OnqOPBNLWSHKh2a30DoXe8/edit?usp=sharing"",""ภูเก็ต!I195"")"),0.0)</f>
        <v>0</v>
      </c>
      <c r="J285" s="223">
        <f>IFERROR(__xludf.DUMMYFUNCTION("IMPORTRANGE(""https://docs.google.com/spreadsheets/d/1IYY_tgx_IHuhSq3AJ5eI5OnqOPBNLWSHKh2a30DoXe8/edit?usp=sharing"",""ภูเก็ต!J195"")"),0.0)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IFERROR(__xludf.DUMMYFUNCTION("IMPORTRANGE(""https://docs.google.com/spreadsheets/d/1IYY_tgx_IHuhSq3AJ5eI5OnqOPBNLWSHKh2a30DoXe8/edit?usp=sharing"",""ภูเก็ต!J196"")"),0.0)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IFERROR(__xludf.DUMMYFUNCTION("IMPORTRANGE(""https://docs.google.com/spreadsheets/d/1IYY_tgx_IHuhSq3AJ5eI5OnqOPBNLWSHKh2a30DoXe8/edit?usp=sharing"",""ภูเก็ต!J197"")"),0.0)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IFERROR(__xludf.DUMMYFUNCTION("IMPORTRANGE(""https://docs.google.com/spreadsheets/d/1IYY_tgx_IHuhSq3AJ5eI5OnqOPBNLWSHKh2a30DoXe8/edit?usp=sharing"",""ภูเก็ต!I199"")"),0.0)</f>
        <v>0</v>
      </c>
      <c r="J289" s="349">
        <f>IFERROR(__xludf.DUMMYFUNCTION("IMPORTRANGE(""https://docs.google.com/spreadsheets/d/1IYY_tgx_IHuhSq3AJ5eI5OnqOPBNLWSHKh2a30DoXe8/edit?usp=sharing"",""ภูเก็ต!J199"")"),0.0)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IFERROR(__xludf.DUMMYFUNCTION("IMPORTRANGE(""https://docs.google.com/spreadsheets/d/1Yj_ptqi66GCucihVvJfMjLAmec39IyEx_6qawtMGysU/edit?usp=sharing"",""สบก!CT89"")"),0.0)</f>
        <v>0</v>
      </c>
      <c r="N294" s="202">
        <f>IFERROR(__xludf.DUMMYFUNCTION("IMPORTRANGE(""https://docs.google.com/spreadsheets/d/1Yj_ptqi66GCucihVvJfMjLAmec39IyEx_6qawtMGysU/edit?usp=sharing"",""สบก!CU89"")"),0.0)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IFERROR(__xludf.DUMMYFUNCTION("IMPORTRANGE(""https://docs.google.com/spreadsheets/d/1Yj_ptqi66GCucihVvJfMjLAmec39IyEx_6qawtMGysU/edit?usp=sharing"",""สบก!CP89"")"),0.0)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IFERROR(__xludf.DUMMYFUNCTION("IMPORTRANGE(""https://docs.google.com/spreadsheets/d/1Yj_ptqi66GCucihVvJfMjLAmec39IyEx_6qawtMGysU/edit?usp=sharing"",""สบก!CQ89"")"),0.0)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IFERROR(__xludf.DUMMYFUNCTION("IMPORTRANGE(""https://docs.google.com/spreadsheets/d/1Yj_ptqi66GCucihVvJfMjLAmec39IyEx_6qawtMGysU/edit?usp=sharing"",""สบก!CR89"")"),0.0)</f>
        <v>0</v>
      </c>
      <c r="M298" s="125"/>
      <c r="N298" s="115">
        <f>IFERROR(__xludf.DUMMYFUNCTION("IMPORTRANGE(""https://docs.google.com/spreadsheets/d/1Yj_ptqi66GCucihVvJfMjLAmec39IyEx_6qawtMGysU/edit?usp=sharing"",""สบก!CV89"")"),0.0)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IFERROR(__xludf.DUMMYFUNCTION("IMPORTRANGE(""https://docs.google.com/spreadsheets/d/1IYY_tgx_IHuhSq3AJ5eI5OnqOPBNLWSHKh2a30DoXe8/edit?usp=sharing"",""ภูเก็ต!J205"")"),0.0)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IFERROR(__xludf.DUMMYFUNCTION("IMPORTRANGE(""https://docs.google.com/spreadsheets/d/1IYY_tgx_IHuhSq3AJ5eI5OnqOPBNLWSHKh2a30DoXe8/edit?usp=sharing"",""ภูเก็ต!J206"")"),0.0)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IFERROR(__xludf.DUMMYFUNCTION("IMPORTRANGE(""https://docs.google.com/spreadsheets/d/1IYY_tgx_IHuhSq3AJ5eI5OnqOPBNLWSHKh2a30DoXe8/edit?usp=sharing"",""ภูเก็ต!J207"")"),0.0)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IFERROR(__xludf.DUMMYFUNCTION("IMPORTRANGE(""https://docs.google.com/spreadsheets/d/1IYY_tgx_IHuhSq3AJ5eI5OnqOPBNLWSHKh2a30DoXe8/edit?usp=sharing"",""ภูเก็ต!J208"")"),0.0)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IFERROR(__xludf.DUMMYFUNCTION("IMPORTRANGE(""https://docs.google.com/spreadsheets/d/1IYY_tgx_IHuhSq3AJ5eI5OnqOPBNLWSHKh2a30DoXe8/edit?usp=sharing"",""ภูเก็ต!I209"")"),0.0)</f>
        <v>0</v>
      </c>
      <c r="J304" s="238">
        <f>IFERROR(__xludf.DUMMYFUNCTION("IMPORTRANGE(""https://docs.google.com/spreadsheets/d/1IYY_tgx_IHuhSq3AJ5eI5OnqOPBNLWSHKh2a30DoXe8/edit?usp=sharing"",""ภูเก็ต!J209"")"),0.0)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IFERROR(__xludf.DUMMYFUNCTION("IMPORTRANGE(""https://docs.google.com/spreadsheets/d/1IYY_tgx_IHuhSq3AJ5eI5OnqOPBNLWSHKh2a30DoXe8/edit?usp=sharing"",""ภูเก็ต!I211"")"),0.0)</f>
        <v>0</v>
      </c>
      <c r="J306" s="238">
        <f>IFERROR(__xludf.DUMMYFUNCTION("IMPORTRANGE(""https://docs.google.com/spreadsheets/d/1IYY_tgx_IHuhSq3AJ5eI5OnqOPBNLWSHKh2a30DoXe8/edit?usp=sharing"",""ภูเก็ต!J211"")"),0.0)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IFERROR(__xludf.DUMMYFUNCTION("IMPORTRANGE(""https://docs.google.com/spreadsheets/d/1IYY_tgx_IHuhSq3AJ5eI5OnqOPBNLWSHKh2a30DoXe8/edit?usp=sharing"",""ภูเก็ต!J212"")"),0.0)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IFERROR(__xludf.DUMMYFUNCTION("IMPORTRANGE(""https://docs.google.com/spreadsheets/d/1IYY_tgx_IHuhSq3AJ5eI5OnqOPBNLWSHKh2a30DoXe8/edit?usp=sharing"",""ภูเก็ต!J213"")"),0.0)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IFERROR(__xludf.DUMMYFUNCTION("IMPORTRANGE(""https://docs.google.com/spreadsheets/d/1IYY_tgx_IHuhSq3AJ5eI5OnqOPBNLWSHKh2a30DoXe8/edit?usp=sharing"",""ภูเก็ต!I214"")"),0.0)</f>
        <v>0</v>
      </c>
      <c r="J309" s="366">
        <f>IFERROR(__xludf.DUMMYFUNCTION("IMPORTRANGE(""https://docs.google.com/spreadsheets/d/1IYY_tgx_IHuhSq3AJ5eI5OnqOPBNLWSHKh2a30DoXe8/edit?usp=sharing"",""ภูเก็ต!J214"")"),0.0)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IFERROR(__xludf.DUMMYFUNCTION("IMPORTRANGE(""https://docs.google.com/spreadsheets/d/1Yj_ptqi66GCucihVvJfMjLAmec39IyEx_6qawtMGysU/edit?usp=sharing"",""สบก!DC89"")"),0.0)</f>
        <v>0</v>
      </c>
      <c r="N314" s="202">
        <f>IFERROR(__xludf.DUMMYFUNCTION("IMPORTRANGE(""https://docs.google.com/spreadsheets/d/1Yj_ptqi66GCucihVvJfMjLAmec39IyEx_6qawtMGysU/edit?usp=sharing"",""สบก!DD89"")"),0.0)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IFERROR(__xludf.DUMMYFUNCTION("IMPORTRANGE(""https://docs.google.com/spreadsheets/d/1Yj_ptqi66GCucihVvJfMjLAmec39IyEx_6qawtMGysU/edit?usp=sharing"",""สบก!CY89"")"),0.0)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IFERROR(__xludf.DUMMYFUNCTION("IMPORTRANGE(""https://docs.google.com/spreadsheets/d/1Yj_ptqi66GCucihVvJfMjLAmec39IyEx_6qawtMGysU/edit?usp=sharing"",""สบก!CZ89"")"),0.0)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IFERROR(__xludf.DUMMYFUNCTION("IMPORTRANGE(""https://docs.google.com/spreadsheets/d/1Yj_ptqi66GCucihVvJfMjLAmec39IyEx_6qawtMGysU/edit?usp=sharing"",""สบก!DA89"")"),0.0)</f>
        <v>0</v>
      </c>
      <c r="M318" s="125"/>
      <c r="N318" s="115">
        <f>IFERROR(__xludf.DUMMYFUNCTION("IMPORTRANGE(""https://docs.google.com/spreadsheets/d/1Yj_ptqi66GCucihVvJfMjLAmec39IyEx_6qawtMGysU/edit?usp=sharing"",""สบก!DE89"")"),0.0)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IFERROR(__xludf.DUMMYFUNCTION("IMPORTRANGE(""https://docs.google.com/spreadsheets/d/1IYY_tgx_IHuhSq3AJ5eI5OnqOPBNLWSHKh2a30DoXe8/edit?usp=sharing"",""ภูเก็ต!J220"")"),0.0)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IFERROR(__xludf.DUMMYFUNCTION("IMPORTRANGE(""https://docs.google.com/spreadsheets/d/1IYY_tgx_IHuhSq3AJ5eI5OnqOPBNLWSHKh2a30DoXe8/edit?usp=sharing"",""ภูเก็ต!J221"")"),0.0)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IFERROR(__xludf.DUMMYFUNCTION("IMPORTRANGE(""https://docs.google.com/spreadsheets/d/1IYY_tgx_IHuhSq3AJ5eI5OnqOPBNLWSHKh2a30DoXe8/edit?usp=sharing"",""ภูเก็ต!J222"")"),0.0)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IFERROR(__xludf.DUMMYFUNCTION("IMPORTRANGE(""https://docs.google.com/spreadsheets/d/1IYY_tgx_IHuhSq3AJ5eI5OnqOPBNLWSHKh2a30DoXe8/edit?usp=sharing"",""ภูเก็ต!J223"")"),0.0)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IFERROR(__xludf.DUMMYFUNCTION("IMPORTRANGE(""https://docs.google.com/spreadsheets/d/1IYY_tgx_IHuhSq3AJ5eI5OnqOPBNLWSHKh2a30DoXe8/edit?usp=sharing"",""ภูเก็ต!I224"")"),0.0)</f>
        <v>0</v>
      </c>
      <c r="J324" s="238">
        <f>IFERROR(__xludf.DUMMYFUNCTION("IMPORTRANGE(""https://docs.google.com/spreadsheets/d/1IYY_tgx_IHuhSq3AJ5eI5OnqOPBNLWSHKh2a30DoXe8/edit?usp=sharing"",""ภูเก็ต!J224"")"),0.0)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IFERROR(__xludf.DUMMYFUNCTION("IMPORTRANGE(""https://docs.google.com/spreadsheets/d/1IYY_tgx_IHuhSq3AJ5eI5OnqOPBNLWSHKh2a30DoXe8/edit?usp=sharing"",""ภูเก็ต!J225"")"),0.0)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IFERROR(__xludf.DUMMYFUNCTION("IMPORTRANGE(""https://docs.google.com/spreadsheets/d/1IYY_tgx_IHuhSq3AJ5eI5OnqOPBNLWSHKh2a30DoXe8/edit?usp=sharing"",""ภูเก็ต!J226"")"),0.0)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IFERROR(__xludf.DUMMYFUNCTION("IMPORTRANGE(""https://docs.google.com/spreadsheets/d/1IYY_tgx_IHuhSq3AJ5eI5OnqOPBNLWSHKh2a30DoXe8/edit?usp=sharing"",""ภูเก็ต!I228"")"),25.0)</f>
        <v>25</v>
      </c>
      <c r="J328" s="372">
        <f>IFERROR(__xludf.DUMMYFUNCTION("IMPORTRANGE(""https://docs.google.com/spreadsheets/d/1IYY_tgx_IHuhSq3AJ5eI5OnqOPBNLWSHKh2a30DoXe8/edit?usp=sharing"",""ภูเก็ต!J228"")"),1.0)</f>
        <v>1</v>
      </c>
      <c r="K328" s="350">
        <f>IF(I328&gt;0,J328*100/I328,0)</f>
        <v>4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734400</v>
      </c>
      <c r="M329" s="183">
        <f t="shared" si="99"/>
        <v>351560</v>
      </c>
      <c r="N329" s="183">
        <f t="shared" si="99"/>
        <v>244728</v>
      </c>
      <c r="O329" s="182">
        <f t="shared" ref="O329:O331" si="101">IF(L329&gt;0,N329*100/L329,0)</f>
        <v>33.32352941</v>
      </c>
      <c r="P329" s="182">
        <f t="shared" ref="P329:P331" si="102">IF(M329&gt;0,N329*100/M329,0)</f>
        <v>69.61201502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734400</v>
      </c>
      <c r="M331" s="188">
        <f t="shared" si="103"/>
        <v>351560</v>
      </c>
      <c r="N331" s="188">
        <f t="shared" si="103"/>
        <v>244728</v>
      </c>
      <c r="O331" s="187">
        <f t="shared" si="101"/>
        <v>33.32352941</v>
      </c>
      <c r="P331" s="187">
        <f t="shared" si="102"/>
        <v>69.61201502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696600</v>
      </c>
      <c r="M333" s="201">
        <f>IFERROR(__xludf.DUMMYFUNCTION("IMPORTRANGE(""https://docs.google.com/spreadsheets/d/1Yj_ptqi66GCucihVvJfMjLAmec39IyEx_6qawtMGysU/edit?usp=sharing"",""สบก!DL89"")"),351560.0)</f>
        <v>351560</v>
      </c>
      <c r="N333" s="202">
        <f>IFERROR(__xludf.DUMMYFUNCTION("IMPORTRANGE(""https://docs.google.com/spreadsheets/d/1Yj_ptqi66GCucihVvJfMjLAmec39IyEx_6qawtMGysU/edit?usp=sharing"",""สบก!DM89"")"),206928.0)</f>
        <v>206928</v>
      </c>
      <c r="O333" s="203">
        <f>IF(L333&gt;0,N333*100/L333,0)</f>
        <v>29.70542636</v>
      </c>
      <c r="P333" s="203">
        <f>IF(M333&gt;0,N333*100/M333,0)</f>
        <v>58.85993856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IFERROR(__xludf.DUMMYFUNCTION("IMPORTRANGE(""https://docs.google.com/spreadsheets/d/1Yj_ptqi66GCucihVvJfMjLAmec39IyEx_6qawtMGysU/edit?usp=sharing"",""สบก!DH89"")"),495500.0)</f>
        <v>495500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IFERROR(__xludf.DUMMYFUNCTION("IMPORTRANGE(""https://docs.google.com/spreadsheets/d/1Yj_ptqi66GCucihVvJfMjLAmec39IyEx_6qawtMGysU/edit?usp=sharing"",""สบก!DI89"")"),201100.0)</f>
        <v>201100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IFERROR(__xludf.DUMMYFUNCTION("IMPORTRANGE(""https://docs.google.com/spreadsheets/d/1Yj_ptqi66GCucihVvJfMjLAmec39IyEx_6qawtMGysU/edit?usp=sharing"",""สบก!DJ89"")"),37800.0)</f>
        <v>37800</v>
      </c>
      <c r="M337" s="125"/>
      <c r="N337" s="115">
        <f>IFERROR(__xludf.DUMMYFUNCTION("IMPORTRANGE(""https://docs.google.com/spreadsheets/d/1Yj_ptqi66GCucihVvJfMjLAmec39IyEx_6qawtMGysU/edit?usp=sharing"",""สบก!DN89"")"),37800.0)</f>
        <v>37800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IFERROR(__xludf.DUMMYFUNCTION("IMPORTRANGE(""https://docs.google.com/spreadsheets/d/1IYY_tgx_IHuhSq3AJ5eI5OnqOPBNLWSHKh2a30DoXe8/edit?usp=sharing"",""ภูเก็ต!I234"")"),0.0)</f>
        <v>0</v>
      </c>
      <c r="J339" s="222">
        <f>IFERROR(__xludf.DUMMYFUNCTION("IMPORTRANGE(""https://docs.google.com/spreadsheets/d/1IYY_tgx_IHuhSq3AJ5eI5OnqOPBNLWSHKh2a30DoXe8/edit?usp=sharing"",""ภูเก็ต!J234"")"),0.0)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IFERROR(__xludf.DUMMYFUNCTION("IMPORTRANGE(""https://docs.google.com/spreadsheets/d/1IYY_tgx_IHuhSq3AJ5eI5OnqOPBNLWSHKh2a30DoXe8/edit?usp=sharing"",""ภูเก็ต!I235"")"),200.0)</f>
        <v>200</v>
      </c>
      <c r="J340" s="222">
        <f>IFERROR(__xludf.DUMMYFUNCTION("IMPORTRANGE(""https://docs.google.com/spreadsheets/d/1IYY_tgx_IHuhSq3AJ5eI5OnqOPBNLWSHKh2a30DoXe8/edit?usp=sharing"",""ภูเก็ต!J235"")"),0.0)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IFERROR(__xludf.DUMMYFUNCTION("IMPORTRANGE(""https://docs.google.com/spreadsheets/d/1IYY_tgx_IHuhSq3AJ5eI5OnqOPBNLWSHKh2a30DoXe8/edit?usp=sharing"",""ภูเก็ต!I236"")"),25.0)</f>
        <v>25</v>
      </c>
      <c r="J341" s="222">
        <f>IFERROR(__xludf.DUMMYFUNCTION("IMPORTRANGE(""https://docs.google.com/spreadsheets/d/1IYY_tgx_IHuhSq3AJ5eI5OnqOPBNLWSHKh2a30DoXe8/edit?usp=sharing"",""ภูเก็ต!J236"")"),5.0)</f>
        <v>5</v>
      </c>
      <c r="K341" s="375">
        <f t="shared" si="104"/>
        <v>20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IFERROR(__xludf.DUMMYFUNCTION("IMPORTRANGE(""https://docs.google.com/spreadsheets/d/1IYY_tgx_IHuhSq3AJ5eI5OnqOPBNLWSHKh2a30DoXe8/edit?usp=sharing"",""ภูเก็ต!I237"")"),0.0)</f>
        <v>0</v>
      </c>
      <c r="J342" s="222">
        <f>IFERROR(__xludf.DUMMYFUNCTION("IMPORTRANGE(""https://docs.google.com/spreadsheets/d/1IYY_tgx_IHuhSq3AJ5eI5OnqOPBNLWSHKh2a30DoXe8/edit?usp=sharing"",""ภูเก็ต!J237"")"),6.88)</f>
        <v>6.88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IFERROR(__xludf.DUMMYFUNCTION("IMPORTRANGE(""https://docs.google.com/spreadsheets/d/1IYY_tgx_IHuhSq3AJ5eI5OnqOPBNLWSHKh2a30DoXe8/edit?usp=sharing"",""ภูเก็ต!I238"")"),25.0)</f>
        <v>25</v>
      </c>
      <c r="J343" s="222">
        <f>IFERROR(__xludf.DUMMYFUNCTION("IMPORTRANGE(""https://docs.google.com/spreadsheets/d/1IYY_tgx_IHuhSq3AJ5eI5OnqOPBNLWSHKh2a30DoXe8/edit?usp=sharing"",""ภูเก็ต!J238"")"),0.0)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IFERROR(__xludf.DUMMYFUNCTION("IMPORTRANGE(""https://docs.google.com/spreadsheets/d/1IYY_tgx_IHuhSq3AJ5eI5OnqOPBNLWSHKh2a30DoXe8/edit?usp=sharing"",""ภูเก็ต!I239"")"),0.0)</f>
        <v>0</v>
      </c>
      <c r="J344" s="222">
        <f>IFERROR(__xludf.DUMMYFUNCTION("IMPORTRANGE(""https://docs.google.com/spreadsheets/d/1IYY_tgx_IHuhSq3AJ5eI5OnqOPBNLWSHKh2a30DoXe8/edit?usp=sharing"",""ภูเก็ต!J239"")"),0.0)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IFERROR(__xludf.DUMMYFUNCTION("IMPORTRANGE(""https://docs.google.com/spreadsheets/d/1IYY_tgx_IHuhSq3AJ5eI5OnqOPBNLWSHKh2a30DoXe8/edit?usp=sharing"",""ภูเก็ต!I240"")"),25.0)</f>
        <v>25</v>
      </c>
      <c r="J345" s="222">
        <f>IFERROR(__xludf.DUMMYFUNCTION("IMPORTRANGE(""https://docs.google.com/spreadsheets/d/1IYY_tgx_IHuhSq3AJ5eI5OnqOPBNLWSHKh2a30DoXe8/edit?usp=sharing"",""ภูเก็ต!J240"")"),1.0)</f>
        <v>1</v>
      </c>
      <c r="K345" s="375">
        <f t="shared" si="104"/>
        <v>4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IFERROR(__xludf.DUMMYFUNCTION("IMPORTRANGE(""https://docs.google.com/spreadsheets/d/1IYY_tgx_IHuhSq3AJ5eI5OnqOPBNLWSHKh2a30DoXe8/edit?usp=sharing"",""ภูเก็ต!I241"")"),0.0)</f>
        <v>0</v>
      </c>
      <c r="J346" s="222">
        <f>IFERROR(__xludf.DUMMYFUNCTION("IMPORTRANGE(""https://docs.google.com/spreadsheets/d/1IYY_tgx_IHuhSq3AJ5eI5OnqOPBNLWSHKh2a30DoXe8/edit?usp=sharing"",""ภูเก็ต!J241"")"),1.05)</f>
        <v>1.05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IFERROR(__xludf.DUMMYFUNCTION("IMPORTRANGE(""https://docs.google.com/spreadsheets/d/1IYY_tgx_IHuhSq3AJ5eI5OnqOPBNLWSHKh2a30DoXe8/edit?usp=sharing"",""ภูเก็ต!L242"")"),518070.0)</f>
        <v>518070</v>
      </c>
      <c r="M347" s="391"/>
      <c r="N347" s="391">
        <f>IFERROR(__xludf.DUMMYFUNCTION("IMPORTRANGE(""https://docs.google.com/spreadsheets/d/1IYY_tgx_IHuhSq3AJ5eI5OnqOPBNLWSHKh2a30DoXe8/edit?usp=sharing"",""ภูเก็ต!M242"")"),7700.0)</f>
        <v>7700</v>
      </c>
      <c r="O347" s="391">
        <f>+IF(L347&gt;0,N347*100/L347,0)</f>
        <v>1.486285637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IFERROR(__xludf.DUMMYFUNCTION("IMPORTRANGE(""https://docs.google.com/spreadsheets/d/1IYY_tgx_IHuhSq3AJ5eI5OnqOPBNLWSHKh2a30DoXe8/edit?usp=sharing"",""ภูเก็ต!I244"")"),40.0)</f>
        <v>40</v>
      </c>
      <c r="J349" s="404">
        <f>IFERROR(__xludf.DUMMYFUNCTION("IMPORTRANGE(""https://docs.google.com/spreadsheets/d/1IYY_tgx_IHuhSq3AJ5eI5OnqOPBNLWSHKh2a30DoXe8/edit?usp=sharing"",""ภูเก็ต!J244"")"),0.0)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IFERROR(__xludf.DUMMYFUNCTION("IMPORTRANGE(""https://docs.google.com/spreadsheets/d/1IYY_tgx_IHuhSq3AJ5eI5OnqOPBNLWSHKh2a30DoXe8/edit?usp=sharing"",""ภูเก็ต!L244"")"),89120.0)</f>
        <v>89120</v>
      </c>
      <c r="M349" s="406"/>
      <c r="N349" s="406">
        <f>IFERROR(__xludf.DUMMYFUNCTION("IMPORTRANGE(""https://docs.google.com/spreadsheets/d/1IYY_tgx_IHuhSq3AJ5eI5OnqOPBNLWSHKh2a30DoXe8/edit?usp=sharing"",""ภูเก็ต!M244"")"),0.0)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IFERROR(__xludf.DUMMYFUNCTION("IMPORTRANGE(""https://docs.google.com/spreadsheets/d/1IYY_tgx_IHuhSq3AJ5eI5OnqOPBNLWSHKh2a30DoXe8/edit?usp=sharing"",""ภูเก็ต!I245"")"),20.0)</f>
        <v>20</v>
      </c>
      <c r="J350" s="404">
        <f>IFERROR(__xludf.DUMMYFUNCTION("IMPORTRANGE(""https://docs.google.com/spreadsheets/d/1IYY_tgx_IHuhSq3AJ5eI5OnqOPBNLWSHKh2a30DoXe8/edit?usp=sharing"",""ภูเก็ต!J245"")"),0.0)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IFERROR(__xludf.DUMMYFUNCTION("IMPORTRANGE(""https://docs.google.com/spreadsheets/d/1IYY_tgx_IHuhSq3AJ5eI5OnqOPBNLWSHKh2a30DoXe8/edit?usp=sharing"",""ภูเก็ต!L246"")"),0.0)</f>
        <v>0</v>
      </c>
      <c r="M351" s="197"/>
      <c r="N351" s="197">
        <f>IFERROR(__xludf.DUMMYFUNCTION("IMPORTRANGE(""https://docs.google.com/spreadsheets/d/1IYY_tgx_IHuhSq3AJ5eI5OnqOPBNLWSHKh2a30DoXe8/edit?usp=sharing"",""ภูเก็ต!M246"")"),0.0)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IFERROR(__xludf.DUMMYFUNCTION("IMPORTRANGE(""https://docs.google.com/spreadsheets/d/1IYY_tgx_IHuhSq3AJ5eI5OnqOPBNLWSHKh2a30DoXe8/edit?usp=sharing"",""ภูเก็ต!L247"")"),89120.0)</f>
        <v>89120</v>
      </c>
      <c r="M352" s="198"/>
      <c r="N352" s="197">
        <f>IFERROR(__xludf.DUMMYFUNCTION("IMPORTRANGE(""https://docs.google.com/spreadsheets/d/1IYY_tgx_IHuhSq3AJ5eI5OnqOPBNLWSHKh2a30DoXe8/edit?usp=sharing"",""ภูเก็ต!M247"")"),0.0)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IFERROR(__xludf.DUMMYFUNCTION("IMPORTRANGE(""https://docs.google.com/spreadsheets/d/1IYY_tgx_IHuhSq3AJ5eI5OnqOPBNLWSHKh2a30DoXe8/edit?usp=sharing"",""ภูเก็ต!L248"")"),0.0)</f>
        <v>0</v>
      </c>
      <c r="M353" s="203"/>
      <c r="N353" s="203">
        <f>IFERROR(__xludf.DUMMYFUNCTION("IMPORTRANGE(""https://docs.google.com/spreadsheets/d/1IYY_tgx_IHuhSq3AJ5eI5OnqOPBNLWSHKh2a30DoXe8/edit?usp=sharing"",""ภูเก็ต!M248"")"),0.0)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IFERROR(__xludf.DUMMYFUNCTION("IMPORTRANGE(""https://docs.google.com/spreadsheets/d/1IYY_tgx_IHuhSq3AJ5eI5OnqOPBNLWSHKh2a30DoXe8/edit?usp=sharing"",""ภูเก็ต!L249"")"),89120.0)</f>
        <v>89120</v>
      </c>
      <c r="M354" s="203"/>
      <c r="N354" s="200">
        <f>IFERROR(__xludf.DUMMYFUNCTION("IMPORTRANGE(""https://docs.google.com/spreadsheets/d/1IYY_tgx_IHuhSq3AJ5eI5OnqOPBNLWSHKh2a30DoXe8/edit?usp=sharing"",""ภูเก็ต!M249"")"),0.0)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IFERROR(__xludf.DUMMYFUNCTION("IMPORTRANGE(""https://docs.google.com/spreadsheets/d/1IYY_tgx_IHuhSq3AJ5eI5OnqOPBNLWSHKh2a30DoXe8/edit?usp=sharing"",""ภูเก็ต!M250"")"),0.0)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IFERROR(__xludf.DUMMYFUNCTION("IMPORTRANGE(""https://docs.google.com/spreadsheets/d/1IYY_tgx_IHuhSq3AJ5eI5OnqOPBNLWSHKh2a30DoXe8/edit?usp=sharing"",""ภูเก็ต!M251"")"),0.0)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IFERROR(__xludf.DUMMYFUNCTION("IMPORTRANGE(""https://docs.google.com/spreadsheets/d/1IYY_tgx_IHuhSq3AJ5eI5OnqOPBNLWSHKh2a30DoXe8/edit?usp=sharing"",""ภูเก็ต!M252"")"),0.0)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IFERROR(__xludf.DUMMYFUNCTION("IMPORTRANGE(""https://docs.google.com/spreadsheets/d/1IYY_tgx_IHuhSq3AJ5eI5OnqOPBNLWSHKh2a30DoXe8/edit?usp=sharing"",""ภูเก็ต!M253"")"),0.0)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IFERROR(__xludf.DUMMYFUNCTION("IMPORTRANGE(""https://docs.google.com/spreadsheets/d/1IYY_tgx_IHuhSq3AJ5eI5OnqOPBNLWSHKh2a30DoXe8/edit?usp=sharing"",""ภูเก็ต!J255"")"),0.0)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IFERROR(__xludf.DUMMYFUNCTION("IMPORTRANGE(""https://docs.google.com/spreadsheets/d/1IYY_tgx_IHuhSq3AJ5eI5OnqOPBNLWSHKh2a30DoXe8/edit?usp=sharing"",""ภูเก็ต!J256"")"),1.0)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IFERROR(__xludf.DUMMYFUNCTION("IMPORTRANGE(""https://docs.google.com/spreadsheets/d/1IYY_tgx_IHuhSq3AJ5eI5OnqOPBNLWSHKh2a30DoXe8/edit?usp=sharing"",""ภูเก็ต!J257"")"),1.0)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IFERROR(__xludf.DUMMYFUNCTION("IMPORTRANGE(""https://docs.google.com/spreadsheets/d/1IYY_tgx_IHuhSq3AJ5eI5OnqOPBNLWSHKh2a30DoXe8/edit?usp=sharing"",""ภูเก็ต!J258"")"),1.0)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IFERROR(__xludf.DUMMYFUNCTION("IMPORTRANGE(""https://docs.google.com/spreadsheets/d/1IYY_tgx_IHuhSq3AJ5eI5OnqOPBNLWSHKh2a30DoXe8/edit?usp=sharing"",""ภูเก็ต!J166"")"),0.0)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IFERROR(__xludf.DUMMYFUNCTION("IMPORTRANGE(""https://docs.google.com/spreadsheets/d/1IYY_tgx_IHuhSq3AJ5eI5OnqOPBNLWSHKh2a30DoXe8/edit?usp=sharing"",""ภูเก็ต!J166"")"),0.0)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IFERROR(__xludf.DUMMYFUNCTION("IMPORTRANGE(""https://docs.google.com/spreadsheets/d/1IYY_tgx_IHuhSq3AJ5eI5OnqOPBNLWSHKh2a30DoXe8/edit?usp=sharing"",""ภูเก็ต!J166"")"),0.0)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IFERROR(__xludf.DUMMYFUNCTION("IMPORTRANGE(""https://docs.google.com/spreadsheets/d/1IYY_tgx_IHuhSq3AJ5eI5OnqOPBNLWSHKh2a30DoXe8/edit?usp=sharing"",""ภูเก็ต!J166"")"),0.0)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IFERROR(__xludf.DUMMYFUNCTION("IMPORTRANGE(""https://docs.google.com/spreadsheets/d/1IYY_tgx_IHuhSq3AJ5eI5OnqOPBNLWSHKh2a30DoXe8/edit?usp=sharing"",""ภูเก็ต!I263"")"),20.0)</f>
        <v>20</v>
      </c>
      <c r="J368" s="222">
        <f>IFERROR(__xludf.DUMMYFUNCTION("IMPORTRANGE(""https://docs.google.com/spreadsheets/d/1IYY_tgx_IHuhSq3AJ5eI5OnqOPBNLWSHKh2a30DoXe8/edit?usp=sharing"",""ภูเก็ต!J263"")"),0.0)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IFERROR(__xludf.DUMMYFUNCTION("IMPORTRANGE(""https://docs.google.com/spreadsheets/d/1IYY_tgx_IHuhSq3AJ5eI5OnqOPBNLWSHKh2a30DoXe8/edit?usp=sharing"",""ภูเก็ต!I164"")"),0.0)</f>
        <v>0</v>
      </c>
      <c r="J369" s="238">
        <f>IFERROR(__xludf.DUMMYFUNCTION("IMPORTRANGE(""https://docs.google.com/spreadsheets/d/1IYY_tgx_IHuhSq3AJ5eI5OnqOPBNLWSHKh2a30DoXe8/edit?usp=sharing"",""ภูเก็ต!J164"")"),0.0)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IFERROR(__xludf.DUMMYFUNCTION("IMPORTRANGE(""https://docs.google.com/spreadsheets/d/1IYY_tgx_IHuhSq3AJ5eI5OnqOPBNLWSHKh2a30DoXe8/edit?usp=sharing"",""ภูเก็ต!I265"")"),20.0)</f>
        <v>20</v>
      </c>
      <c r="J370" s="238">
        <f>IFERROR(__xludf.DUMMYFUNCTION("IMPORTRANGE(""https://docs.google.com/spreadsheets/d/1IYY_tgx_IHuhSq3AJ5eI5OnqOPBNLWSHKh2a30DoXe8/edit?usp=sharing"",""ภูเก็ต!J265"")"),0.0)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IFERROR(__xludf.DUMMYFUNCTION("IMPORTRANGE(""https://docs.google.com/spreadsheets/d/1IYY_tgx_IHuhSq3AJ5eI5OnqOPBNLWSHKh2a30DoXe8/edit?usp=sharing"",""ภูเก็ต!I164"")"),0.0)</f>
        <v>0</v>
      </c>
      <c r="J371" s="223">
        <f>IFERROR(__xludf.DUMMYFUNCTION("IMPORTRANGE(""https://docs.google.com/spreadsheets/d/1IYY_tgx_IHuhSq3AJ5eI5OnqOPBNLWSHKh2a30DoXe8/edit?usp=sharing"",""ภูเก็ต!J164"")"),0.0)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IFERROR(__xludf.DUMMYFUNCTION("IMPORTRANGE(""https://docs.google.com/spreadsheets/d/1IYY_tgx_IHuhSq3AJ5eI5OnqOPBNLWSHKh2a30DoXe8/edit?usp=sharing"",""ภูเก็ต!I267"")"),20.0)</f>
        <v>20</v>
      </c>
      <c r="J372" s="223">
        <f>IFERROR(__xludf.DUMMYFUNCTION("IMPORTRANGE(""https://docs.google.com/spreadsheets/d/1IYY_tgx_IHuhSq3AJ5eI5OnqOPBNLWSHKh2a30DoXe8/edit?usp=sharing"",""ภูเก็ต!J267"")"),0.0)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IFERROR(__xludf.DUMMYFUNCTION("IMPORTRANGE(""https://docs.google.com/spreadsheets/d/1IYY_tgx_IHuhSq3AJ5eI5OnqOPBNLWSHKh2a30DoXe8/edit?usp=sharing"",""ภูเก็ต!I164"")"),0.0)</f>
        <v>0</v>
      </c>
      <c r="J373" s="238">
        <f>IFERROR(__xludf.DUMMYFUNCTION("IMPORTRANGE(""https://docs.google.com/spreadsheets/d/1IYY_tgx_IHuhSq3AJ5eI5OnqOPBNLWSHKh2a30DoXe8/edit?usp=sharing"",""ภูเก็ต!J164"")"),0.0)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IFERROR(__xludf.DUMMYFUNCTION("IMPORTRANGE(""https://docs.google.com/spreadsheets/d/1IYY_tgx_IHuhSq3AJ5eI5OnqOPBNLWSHKh2a30DoXe8/edit?usp=sharing"",""ภูเก็ต!I164"")"),0.0)</f>
        <v>0</v>
      </c>
      <c r="J374" s="222">
        <f>IFERROR(__xludf.DUMMYFUNCTION("IMPORTRANGE(""https://docs.google.com/spreadsheets/d/1IYY_tgx_IHuhSq3AJ5eI5OnqOPBNLWSHKh2a30DoXe8/edit?usp=sharing"",""ภูเก็ต!J164"")"),0.0)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IFERROR(__xludf.DUMMYFUNCTION("IMPORTRANGE(""https://docs.google.com/spreadsheets/d/1IYY_tgx_IHuhSq3AJ5eI5OnqOPBNLWSHKh2a30DoXe8/edit?usp=sharing"",""ภูเก็ต!I270"")"),40.0)</f>
        <v>40</v>
      </c>
      <c r="J375" s="222">
        <f>IFERROR(__xludf.DUMMYFUNCTION("IMPORTRANGE(""https://docs.google.com/spreadsheets/d/1IYY_tgx_IHuhSq3AJ5eI5OnqOPBNLWSHKh2a30DoXe8/edit?usp=sharing"",""ภูเก็ต!J270"")"),0.0)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IFERROR(__xludf.DUMMYFUNCTION("IMPORTRANGE(""https://docs.google.com/spreadsheets/d/1IYY_tgx_IHuhSq3AJ5eI5OnqOPBNLWSHKh2a30DoXe8/edit?usp=sharing"",""ภูเก็ต!I271"")"),0.0)</f>
        <v>0</v>
      </c>
      <c r="J376" s="223">
        <f>IFERROR(__xludf.DUMMYFUNCTION("IMPORTRANGE(""https://docs.google.com/spreadsheets/d/1IYY_tgx_IHuhSq3AJ5eI5OnqOPBNLWSHKh2a30DoXe8/edit?usp=sharing"",""ภูเก็ต!J271"")"),0.0)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IFERROR(__xludf.DUMMYFUNCTION("IMPORTRANGE(""https://docs.google.com/spreadsheets/d/1IYY_tgx_IHuhSq3AJ5eI5OnqOPBNLWSHKh2a30DoXe8/edit?usp=sharing"",""ภูเก็ต!I272"")"),40.0)</f>
        <v>40</v>
      </c>
      <c r="J377" s="238">
        <f>IFERROR(__xludf.DUMMYFUNCTION("IMPORTRANGE(""https://docs.google.com/spreadsheets/d/1IYY_tgx_IHuhSq3AJ5eI5OnqOPBNLWSHKh2a30DoXe8/edit?usp=sharing"",""ภูเก็ต!J272"")"),0.0)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IFERROR(__xludf.DUMMYFUNCTION("IMPORTRANGE(""https://docs.google.com/spreadsheets/d/1IYY_tgx_IHuhSq3AJ5eI5OnqOPBNLWSHKh2a30DoXe8/edit?usp=sharing"",""ภูเก็ต!J273"")"),0.0)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IFERROR(__xludf.DUMMYFUNCTION("IMPORTRANGE(""https://docs.google.com/spreadsheets/d/1IYY_tgx_IHuhSq3AJ5eI5OnqOPBNLWSHKh2a30DoXe8/edit?usp=sharing"",""ภูเก็ต!J274"")"),0.0)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IFERROR(__xludf.DUMMYFUNCTION("IMPORTRANGE(""https://docs.google.com/spreadsheets/d/1IYY_tgx_IHuhSq3AJ5eI5OnqOPBNLWSHKh2a30DoXe8/edit?usp=sharing"",""ภูเก็ต!I275"")"),50.0)</f>
        <v>50</v>
      </c>
      <c r="J380" s="404">
        <f>IFERROR(__xludf.DUMMYFUNCTION("IMPORTRANGE(""https://docs.google.com/spreadsheets/d/1IYY_tgx_IHuhSq3AJ5eI5OnqOPBNLWSHKh2a30DoXe8/edit?usp=sharing"",""ภูเก็ต!J275"")"),0.0)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IFERROR(__xludf.DUMMYFUNCTION("IMPORTRANGE(""https://docs.google.com/spreadsheets/d/1IYY_tgx_IHuhSq3AJ5eI5OnqOPBNLWSHKh2a30DoXe8/edit?usp=sharing"",""ภูเก็ต!L275"")"),87710.0)</f>
        <v>87710</v>
      </c>
      <c r="M380" s="406"/>
      <c r="N380" s="406">
        <f>IFERROR(__xludf.DUMMYFUNCTION("IMPORTRANGE(""https://docs.google.com/spreadsheets/d/1IYY_tgx_IHuhSq3AJ5eI5OnqOPBNLWSHKh2a30DoXe8/edit?usp=sharing"",""ภูเก็ต!M275"")"),0.0)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IFERROR(__xludf.DUMMYFUNCTION("IMPORTRANGE(""https://docs.google.com/spreadsheets/d/1IYY_tgx_IHuhSq3AJ5eI5OnqOPBNLWSHKh2a30DoXe8/edit?usp=sharing"",""ภูเก็ต!I276"")"),5.0)</f>
        <v>5</v>
      </c>
      <c r="J381" s="404">
        <f>IFERROR(__xludf.DUMMYFUNCTION("IMPORTRANGE(""https://docs.google.com/spreadsheets/d/1IYY_tgx_IHuhSq3AJ5eI5OnqOPBNLWSHKh2a30DoXe8/edit?usp=sharing"",""ภูเก็ต!J276"")"),0.0)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IFERROR(__xludf.DUMMYFUNCTION("IMPORTRANGE(""https://docs.google.com/spreadsheets/d/1IYY_tgx_IHuhSq3AJ5eI5OnqOPBNLWSHKh2a30DoXe8/edit?usp=sharing"",""ภูเก็ต!L277"")"),0.0)</f>
        <v>0</v>
      </c>
      <c r="M382" s="197"/>
      <c r="N382" s="197">
        <f>IFERROR(__xludf.DUMMYFUNCTION("IMPORTRANGE(""https://docs.google.com/spreadsheets/d/1IYY_tgx_IHuhSq3AJ5eI5OnqOPBNLWSHKh2a30DoXe8/edit?usp=sharing"",""ภูเก็ต!M277"")"),0.0)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IFERROR(__xludf.DUMMYFUNCTION("IMPORTRANGE(""https://docs.google.com/spreadsheets/d/1IYY_tgx_IHuhSq3AJ5eI5OnqOPBNLWSHKh2a30DoXe8/edit?usp=sharing"",""ภูเก็ต!L278"")"),87710.0)</f>
        <v>87710</v>
      </c>
      <c r="M383" s="198"/>
      <c r="N383" s="198">
        <f>IFERROR(__xludf.DUMMYFUNCTION("IMPORTRANGE(""https://docs.google.com/spreadsheets/d/1IYY_tgx_IHuhSq3AJ5eI5OnqOPBNLWSHKh2a30DoXe8/edit?usp=sharing"",""ภูเก็ต!M278"")"),0.0)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IFERROR(__xludf.DUMMYFUNCTION("IMPORTRANGE(""https://docs.google.com/spreadsheets/d/1IYY_tgx_IHuhSq3AJ5eI5OnqOPBNLWSHKh2a30DoXe8/edit?usp=sharing"",""ภูเก็ต!L279"")"),0.0)</f>
        <v>0</v>
      </c>
      <c r="M384" s="203"/>
      <c r="N384" s="203">
        <f>IFERROR(__xludf.DUMMYFUNCTION("IMPORTRANGE(""https://docs.google.com/spreadsheets/d/1IYY_tgx_IHuhSq3AJ5eI5OnqOPBNLWSHKh2a30DoXe8/edit?usp=sharing"",""ภูเก็ต!M279"")"),0.0)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IFERROR(__xludf.DUMMYFUNCTION("IMPORTRANGE(""https://docs.google.com/spreadsheets/d/1IYY_tgx_IHuhSq3AJ5eI5OnqOPBNLWSHKh2a30DoXe8/edit?usp=sharing"",""ภูเก็ต!L280"")"),87710.0)</f>
        <v>87710</v>
      </c>
      <c r="M385" s="203"/>
      <c r="N385" s="200">
        <f>IFERROR(__xludf.DUMMYFUNCTION("IMPORTRANGE(""https://docs.google.com/spreadsheets/d/1IYY_tgx_IHuhSq3AJ5eI5OnqOPBNLWSHKh2a30DoXe8/edit?usp=sharing"",""ภูเก็ต!M280"")"),0.0)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IFERROR(__xludf.DUMMYFUNCTION("IMPORTRANGE(""https://docs.google.com/spreadsheets/d/1IYY_tgx_IHuhSq3AJ5eI5OnqOPBNLWSHKh2a30DoXe8/edit?usp=sharing"",""ภูเก็ต!M281"")"),0.0)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IFERROR(__xludf.DUMMYFUNCTION("IMPORTRANGE(""https://docs.google.com/spreadsheets/d/1IYY_tgx_IHuhSq3AJ5eI5OnqOPBNLWSHKh2a30DoXe8/edit?usp=sharing"",""ภูเก็ต!M282"")"),0.0)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IFERROR(__xludf.DUMMYFUNCTION("IMPORTRANGE(""https://docs.google.com/spreadsheets/d/1IYY_tgx_IHuhSq3AJ5eI5OnqOPBNLWSHKh2a30DoXe8/edit?usp=sharing"",""ภูเก็ต!M283"")"),0.0)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IFERROR(__xludf.DUMMYFUNCTION("IMPORTRANGE(""https://docs.google.com/spreadsheets/d/1IYY_tgx_IHuhSq3AJ5eI5OnqOPBNLWSHKh2a30DoXe8/edit?usp=sharing"",""ภูเก็ต!M284"")"),0.0)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IFERROR(__xludf.DUMMYFUNCTION("IMPORTRANGE(""https://docs.google.com/spreadsheets/d/1IYY_tgx_IHuhSq3AJ5eI5OnqOPBNLWSHKh2a30DoXe8/edit?usp=sharing"",""ภูเก็ต!J286"")"),0.0)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IFERROR(__xludf.DUMMYFUNCTION("IMPORTRANGE(""https://docs.google.com/spreadsheets/d/1IYY_tgx_IHuhSq3AJ5eI5OnqOPBNLWSHKh2a30DoXe8/edit?usp=sharing"",""ภูเก็ต!J287"")"),1.0)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IFERROR(__xludf.DUMMYFUNCTION("IMPORTRANGE(""https://docs.google.com/spreadsheets/d/1IYY_tgx_IHuhSq3AJ5eI5OnqOPBNLWSHKh2a30DoXe8/edit?usp=sharing"",""ภูเก็ต!J288"")"),1.0)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IFERROR(__xludf.DUMMYFUNCTION("IMPORTRANGE(""https://docs.google.com/spreadsheets/d/1IYY_tgx_IHuhSq3AJ5eI5OnqOPBNLWSHKh2a30DoXe8/edit?usp=sharing"",""ภูเก็ต!J289"")"),1.0)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IFERROR(__xludf.DUMMYFUNCTION("IMPORTRANGE(""https://docs.google.com/spreadsheets/d/1IYY_tgx_IHuhSq3AJ5eI5OnqOPBNLWSHKh2a30DoXe8/edit?usp=sharing"",""ภูเก็ต!I291"")"),5.0)</f>
        <v>5</v>
      </c>
      <c r="J396" s="232">
        <f>IFERROR(__xludf.DUMMYFUNCTION("IMPORTRANGE(""https://docs.google.com/spreadsheets/d/1IYY_tgx_IHuhSq3AJ5eI5OnqOPBNLWSHKh2a30DoXe8/edit?usp=sharing"",""ภูเก็ต!J291"")"),0.0)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IFERROR(__xludf.DUMMYFUNCTION("IMPORTRANGE(""https://docs.google.com/spreadsheets/d/1IYY_tgx_IHuhSq3AJ5eI5OnqOPBNLWSHKh2a30DoXe8/edit?usp=sharing"",""ภูเก็ต!I292"")"),50.0)</f>
        <v>50</v>
      </c>
      <c r="J397" s="232">
        <f>IFERROR(__xludf.DUMMYFUNCTION("IMPORTRANGE(""https://docs.google.com/spreadsheets/d/1IYY_tgx_IHuhSq3AJ5eI5OnqOPBNLWSHKh2a30DoXe8/edit?usp=sharing"",""ภูเก็ต!J292"")"),0.0)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IFERROR(__xludf.DUMMYFUNCTION("IMPORTRANGE(""https://docs.google.com/spreadsheets/d/1IYY_tgx_IHuhSq3AJ5eI5OnqOPBNLWSHKh2a30DoXe8/edit?usp=sharing"",""ภูเก็ต!I293"")"),5.0)</f>
        <v>5</v>
      </c>
      <c r="J398" s="232">
        <f>IFERROR(__xludf.DUMMYFUNCTION("IMPORTRANGE(""https://docs.google.com/spreadsheets/d/1IYY_tgx_IHuhSq3AJ5eI5OnqOPBNLWSHKh2a30DoXe8/edit?usp=sharing"",""ภูเก็ต!J293"")"),0.0)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IFERROR(__xludf.DUMMYFUNCTION("IMPORTRANGE(""https://docs.google.com/spreadsheets/d/1IYY_tgx_IHuhSq3AJ5eI5OnqOPBNLWSHKh2a30DoXe8/edit?usp=sharing"",""ภูเก็ต!J294"")"),0.0)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IFERROR(__xludf.DUMMYFUNCTION("IMPORTRANGE(""https://docs.google.com/spreadsheets/d/1IYY_tgx_IHuhSq3AJ5eI5OnqOPBNLWSHKh2a30DoXe8/edit?usp=sharing"",""ภูเก็ต!J295"")"),0.0)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IFERROR(__xludf.DUMMYFUNCTION("IMPORTRANGE(""https://docs.google.com/spreadsheets/d/1IYY_tgx_IHuhSq3AJ5eI5OnqOPBNLWSHKh2a30DoXe8/edit?usp=sharing"",""ภูเก็ต!I296"")"),90.0)</f>
        <v>90</v>
      </c>
      <c r="J401" s="404">
        <f>IFERROR(__xludf.DUMMYFUNCTION("IMPORTRANGE(""https://docs.google.com/spreadsheets/d/1IYY_tgx_IHuhSq3AJ5eI5OnqOPBNLWSHKh2a30DoXe8/edit?usp=sharing"",""ภูเก็ต!J296"")"),0.0)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IFERROR(__xludf.DUMMYFUNCTION("IMPORTRANGE(""https://docs.google.com/spreadsheets/d/1IYY_tgx_IHuhSq3AJ5eI5OnqOPBNLWSHKh2a30DoXe8/edit?usp=sharing"",""ภูเก็ต!L296"")"),116320.0)</f>
        <v>116320</v>
      </c>
      <c r="M401" s="406"/>
      <c r="N401" s="406">
        <f>IFERROR(__xludf.DUMMYFUNCTION("IMPORTRANGE(""https://docs.google.com/spreadsheets/d/1IYY_tgx_IHuhSq3AJ5eI5OnqOPBNLWSHKh2a30DoXe8/edit?usp=sharing"",""ภูเก็ต!M296"")"),0.0)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IFERROR(__xludf.DUMMYFUNCTION("IMPORTRANGE(""https://docs.google.com/spreadsheets/d/1IYY_tgx_IHuhSq3AJ5eI5OnqOPBNLWSHKh2a30DoXe8/edit?usp=sharing"",""ภูเก็ต!I297"")"),30.0)</f>
        <v>30</v>
      </c>
      <c r="J402" s="404">
        <f>IFERROR(__xludf.DUMMYFUNCTION("IMPORTRANGE(""https://docs.google.com/spreadsheets/d/1IYY_tgx_IHuhSq3AJ5eI5OnqOPBNLWSHKh2a30DoXe8/edit?usp=sharing"",""ภูเก็ต!J297"")"),0.0)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IFERROR(__xludf.DUMMYFUNCTION("IMPORTRANGE(""https://docs.google.com/spreadsheets/d/1IYY_tgx_IHuhSq3AJ5eI5OnqOPBNLWSHKh2a30DoXe8/edit?usp=sharing"",""ภูเก็ต!L298"")"),0.0)</f>
        <v>0</v>
      </c>
      <c r="M403" s="197"/>
      <c r="N403" s="203">
        <f>IFERROR(__xludf.DUMMYFUNCTION("IMPORTRANGE(""https://docs.google.com/spreadsheets/d/1IYY_tgx_IHuhSq3AJ5eI5OnqOPBNLWSHKh2a30DoXe8/edit?usp=sharing"",""ภูเก็ต!M298"")"),0.0)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IFERROR(__xludf.DUMMYFUNCTION("IMPORTRANGE(""https://docs.google.com/spreadsheets/d/1IYY_tgx_IHuhSq3AJ5eI5OnqOPBNLWSHKh2a30DoXe8/edit?usp=sharing"",""ภูเก็ต!L299"")"),116320.0)</f>
        <v>116320</v>
      </c>
      <c r="M404" s="198"/>
      <c r="N404" s="203">
        <f>IFERROR(__xludf.DUMMYFUNCTION("IMPORTRANGE(""https://docs.google.com/spreadsheets/d/1IYY_tgx_IHuhSq3AJ5eI5OnqOPBNLWSHKh2a30DoXe8/edit?usp=sharing"",""ภูเก็ต!M299"")"),0.0)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IFERROR(__xludf.DUMMYFUNCTION("IMPORTRANGE(""https://docs.google.com/spreadsheets/d/1IYY_tgx_IHuhSq3AJ5eI5OnqOPBNLWSHKh2a30DoXe8/edit?usp=sharing"",""ภูเก็ต!L300"")"),0.0)</f>
        <v>0</v>
      </c>
      <c r="M405" s="203"/>
      <c r="N405" s="203">
        <f>IFERROR(__xludf.DUMMYFUNCTION("IMPORTRANGE(""https://docs.google.com/spreadsheets/d/1IYY_tgx_IHuhSq3AJ5eI5OnqOPBNLWSHKh2a30DoXe8/edit?usp=sharing"",""ภูเก็ต!M300"")"),0.0)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IFERROR(__xludf.DUMMYFUNCTION("IMPORTRANGE(""https://docs.google.com/spreadsheets/d/1IYY_tgx_IHuhSq3AJ5eI5OnqOPBNLWSHKh2a30DoXe8/edit?usp=sharing"",""ภูเก็ต!L301"")"),116320.0)</f>
        <v>116320</v>
      </c>
      <c r="M406" s="203"/>
      <c r="N406" s="203">
        <f>IFERROR(__xludf.DUMMYFUNCTION("IMPORTRANGE(""https://docs.google.com/spreadsheets/d/1IYY_tgx_IHuhSq3AJ5eI5OnqOPBNLWSHKh2a30DoXe8/edit?usp=sharing"",""ภูเก็ต!M301"")"),0.0)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IFERROR(__xludf.DUMMYFUNCTION("IMPORTRANGE(""https://docs.google.com/spreadsheets/d/1IYY_tgx_IHuhSq3AJ5eI5OnqOPBNLWSHKh2a30DoXe8/edit?usp=sharing"",""ภูเก็ต!M302"")"),0.0)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IFERROR(__xludf.DUMMYFUNCTION("IMPORTRANGE(""https://docs.google.com/spreadsheets/d/1IYY_tgx_IHuhSq3AJ5eI5OnqOPBNLWSHKh2a30DoXe8/edit?usp=sharing"",""ภูเก็ต!M303"")"),0.0)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IFERROR(__xludf.DUMMYFUNCTION("IMPORTRANGE(""https://docs.google.com/spreadsheets/d/1IYY_tgx_IHuhSq3AJ5eI5OnqOPBNLWSHKh2a30DoXe8/edit?usp=sharing"",""ภูเก็ต!M304"")"),0.0)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IFERROR(__xludf.DUMMYFUNCTION("IMPORTRANGE(""https://docs.google.com/spreadsheets/d/1IYY_tgx_IHuhSq3AJ5eI5OnqOPBNLWSHKh2a30DoXe8/edit?usp=sharing"",""ภูเก็ต!M305"")"),0.0)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IFERROR(__xludf.DUMMYFUNCTION("IMPORTRANGE(""https://docs.google.com/spreadsheets/d/1IYY_tgx_IHuhSq3AJ5eI5OnqOPBNLWSHKh2a30DoXe8/edit?usp=sharing"",""ภูเก็ต!J307"")"),0.0)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IFERROR(__xludf.DUMMYFUNCTION("IMPORTRANGE(""https://docs.google.com/spreadsheets/d/1IYY_tgx_IHuhSq3AJ5eI5OnqOPBNLWSHKh2a30DoXe8/edit?usp=sharing"",""ภูเก็ต!J308"")"),1.0)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IFERROR(__xludf.DUMMYFUNCTION("IMPORTRANGE(""https://docs.google.com/spreadsheets/d/1IYY_tgx_IHuhSq3AJ5eI5OnqOPBNLWSHKh2a30DoXe8/edit?usp=sharing"",""ภูเก็ต!J309"")"),1.0)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IFERROR(__xludf.DUMMYFUNCTION("IMPORTRANGE(""https://docs.google.com/spreadsheets/d/1IYY_tgx_IHuhSq3AJ5eI5OnqOPBNLWSHKh2a30DoXe8/edit?usp=sharing"",""ภูเก็ต!J310"")"),1.0)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IFERROR(__xludf.DUMMYFUNCTION("IMPORTRANGE(""https://docs.google.com/spreadsheets/d/1IYY_tgx_IHuhSq3AJ5eI5OnqOPBNLWSHKh2a30DoXe8/edit?usp=sharing"",""ภูเก็ต!I311"")"),30.0)</f>
        <v>30</v>
      </c>
      <c r="J416" s="235">
        <f>IFERROR(__xludf.DUMMYFUNCTION("IMPORTRANGE(""https://docs.google.com/spreadsheets/d/1IYY_tgx_IHuhSq3AJ5eI5OnqOPBNLWSHKh2a30DoXe8/edit?usp=sharing"",""ภูเก็ต!J311"")"),0.0)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IFERROR(__xludf.DUMMYFUNCTION("IMPORTRANGE(""https://docs.google.com/spreadsheets/d/1IYY_tgx_IHuhSq3AJ5eI5OnqOPBNLWSHKh2a30DoXe8/edit?usp=sharing"",""ภูเก็ต!I312"")"),10.0)</f>
        <v>10</v>
      </c>
      <c r="J417" s="425">
        <f>IFERROR(__xludf.DUMMYFUNCTION("IMPORTRANGE(""https://docs.google.com/spreadsheets/d/1IYY_tgx_IHuhSq3AJ5eI5OnqOPBNLWSHKh2a30DoXe8/edit?usp=sharing"",""ภูเก็ต!J312"")"),0.0)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IFERROR(__xludf.DUMMYFUNCTION("IMPORTRANGE(""https://docs.google.com/spreadsheets/d/1IYY_tgx_IHuhSq3AJ5eI5OnqOPBNLWSHKh2a30DoXe8/edit?usp=sharing"",""ภูเก็ต!I313"")"),30.0)</f>
        <v>30</v>
      </c>
      <c r="J418" s="426">
        <f>IFERROR(__xludf.DUMMYFUNCTION("IMPORTRANGE(""https://docs.google.com/spreadsheets/d/1IYY_tgx_IHuhSq3AJ5eI5OnqOPBNLWSHKh2a30DoXe8/edit?usp=sharing"",""ภูเก็ต!J313"")"),0.0)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IFERROR(__xludf.DUMMYFUNCTION("IMPORTRANGE(""https://docs.google.com/spreadsheets/d/1IYY_tgx_IHuhSq3AJ5eI5OnqOPBNLWSHKh2a30DoXe8/edit?usp=sharing"",""ภูเก็ต!I314"")"),10.0)</f>
        <v>10</v>
      </c>
      <c r="J419" s="427">
        <f>IFERROR(__xludf.DUMMYFUNCTION("IMPORTRANGE(""https://docs.google.com/spreadsheets/d/1IYY_tgx_IHuhSq3AJ5eI5OnqOPBNLWSHKh2a30DoXe8/edit?usp=sharing"",""ภูเก็ต!J314"")"),0.0)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IFERROR(__xludf.DUMMYFUNCTION("IMPORTRANGE(""https://docs.google.com/spreadsheets/d/1IYY_tgx_IHuhSq3AJ5eI5OnqOPBNLWSHKh2a30DoXe8/edit?usp=sharing"",""ภูเก็ต!I315"")"),10.0)</f>
        <v>10</v>
      </c>
      <c r="J420" s="427">
        <f>IFERROR(__xludf.DUMMYFUNCTION("IMPORTRANGE(""https://docs.google.com/spreadsheets/d/1IYY_tgx_IHuhSq3AJ5eI5OnqOPBNLWSHKh2a30DoXe8/edit?usp=sharing"",""ภูเก็ต!J315"")"),0.0)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IFERROR(__xludf.DUMMYFUNCTION("IMPORTRANGE(""https://docs.google.com/spreadsheets/d/1IYY_tgx_IHuhSq3AJ5eI5OnqOPBNLWSHKh2a30DoXe8/edit?usp=sharing"",""ภูเก็ต!I316"")"),10.0)</f>
        <v>10</v>
      </c>
      <c r="J421" s="425">
        <f>IFERROR(__xludf.DUMMYFUNCTION("IMPORTRANGE(""https://docs.google.com/spreadsheets/d/1IYY_tgx_IHuhSq3AJ5eI5OnqOPBNLWSHKh2a30DoXe8/edit?usp=sharing"",""ภูเก็ต!J316"")"),0.0)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IFERROR(__xludf.DUMMYFUNCTION("IMPORTRANGE(""https://docs.google.com/spreadsheets/d/1IYY_tgx_IHuhSq3AJ5eI5OnqOPBNLWSHKh2a30DoXe8/edit?usp=sharing"",""ภูเก็ต!I317"")"),30.0)</f>
        <v>30</v>
      </c>
      <c r="J422" s="426">
        <f>IFERROR(__xludf.DUMMYFUNCTION("IMPORTRANGE(""https://docs.google.com/spreadsheets/d/1IYY_tgx_IHuhSq3AJ5eI5OnqOPBNLWSHKh2a30DoXe8/edit?usp=sharing"",""ภูเก็ต!J317"")"),0.0)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IFERROR(__xludf.DUMMYFUNCTION("IMPORTRANGE(""https://docs.google.com/spreadsheets/d/1IYY_tgx_IHuhSq3AJ5eI5OnqOPBNLWSHKh2a30DoXe8/edit?usp=sharing"",""ภูเก็ต!I318"")"),10.0)</f>
        <v>10</v>
      </c>
      <c r="J423" s="427">
        <f>IFERROR(__xludf.DUMMYFUNCTION("IMPORTRANGE(""https://docs.google.com/spreadsheets/d/1IYY_tgx_IHuhSq3AJ5eI5OnqOPBNLWSHKh2a30DoXe8/edit?usp=sharing"",""ภูเก็ต!J318"")"),0.0)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IFERROR(__xludf.DUMMYFUNCTION("IMPORTRANGE(""https://docs.google.com/spreadsheets/d/1IYY_tgx_IHuhSq3AJ5eI5OnqOPBNLWSHKh2a30DoXe8/edit?usp=sharing"",""ภูเก็ต!I319"")"),10.0)</f>
        <v>10</v>
      </c>
      <c r="J424" s="427">
        <f>IFERROR(__xludf.DUMMYFUNCTION("IMPORTRANGE(""https://docs.google.com/spreadsheets/d/1IYY_tgx_IHuhSq3AJ5eI5OnqOPBNLWSHKh2a30DoXe8/edit?usp=sharing"",""ภูเก็ต!J319"")"),0.0)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IFERROR(__xludf.DUMMYFUNCTION("IMPORTRANGE(""https://docs.google.com/spreadsheets/d/1IYY_tgx_IHuhSq3AJ5eI5OnqOPBNLWSHKh2a30DoXe8/edit?usp=sharing"",""ภูเก็ต!I320"")"),10.0)</f>
        <v>10</v>
      </c>
      <c r="J425" s="427">
        <f>IFERROR(__xludf.DUMMYFUNCTION("IMPORTRANGE(""https://docs.google.com/spreadsheets/d/1IYY_tgx_IHuhSq3AJ5eI5OnqOPBNLWSHKh2a30DoXe8/edit?usp=sharing"",""ภูเก็ต!J320"")"),0.0)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IFERROR(__xludf.DUMMYFUNCTION("IMPORTRANGE(""https://docs.google.com/spreadsheets/d/1IYY_tgx_IHuhSq3AJ5eI5OnqOPBNLWSHKh2a30DoXe8/edit?usp=sharing"",""ภูเก็ต!I321"")"),10.0)</f>
        <v>10</v>
      </c>
      <c r="J426" s="425">
        <f>IFERROR(__xludf.DUMMYFUNCTION("IMPORTRANGE(""https://docs.google.com/spreadsheets/d/1IYY_tgx_IHuhSq3AJ5eI5OnqOPBNLWSHKh2a30DoXe8/edit?usp=sharing"",""ภูเก็ต!J321"")"),0.0)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IFERROR(__xludf.DUMMYFUNCTION("IMPORTRANGE(""https://docs.google.com/spreadsheets/d/1IYY_tgx_IHuhSq3AJ5eI5OnqOPBNLWSHKh2a30DoXe8/edit?usp=sharing"",""ภูเก็ต!I322"")"),30.0)</f>
        <v>30</v>
      </c>
      <c r="J427" s="426">
        <f>IFERROR(__xludf.DUMMYFUNCTION("IMPORTRANGE(""https://docs.google.com/spreadsheets/d/1IYY_tgx_IHuhSq3AJ5eI5OnqOPBNLWSHKh2a30DoXe8/edit?usp=sharing"",""ภูเก็ต!J322"")"),0.0)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IFERROR(__xludf.DUMMYFUNCTION("IMPORTRANGE(""https://docs.google.com/spreadsheets/d/1IYY_tgx_IHuhSq3AJ5eI5OnqOPBNLWSHKh2a30DoXe8/edit?usp=sharing"",""ภูเก็ต!I323"")"),10.0)</f>
        <v>10</v>
      </c>
      <c r="J428" s="427">
        <f>IFERROR(__xludf.DUMMYFUNCTION("IMPORTRANGE(""https://docs.google.com/spreadsheets/d/1IYY_tgx_IHuhSq3AJ5eI5OnqOPBNLWSHKh2a30DoXe8/edit?usp=sharing"",""ภูเก็ต!J323"")"),0.0)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IFERROR(__xludf.DUMMYFUNCTION("IMPORTRANGE(""https://docs.google.com/spreadsheets/d/1IYY_tgx_IHuhSq3AJ5eI5OnqOPBNLWSHKh2a30DoXe8/edit?usp=sharing"",""ภูเก็ต!I324"")"),10.0)</f>
        <v>10</v>
      </c>
      <c r="J429" s="427">
        <f>IFERROR(__xludf.DUMMYFUNCTION("IMPORTRANGE(""https://docs.google.com/spreadsheets/d/1IYY_tgx_IHuhSq3AJ5eI5OnqOPBNLWSHKh2a30DoXe8/edit?usp=sharing"",""ภูเก็ต!J324"")"),0.0)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IFERROR(__xludf.DUMMYFUNCTION("IMPORTRANGE(""https://docs.google.com/spreadsheets/d/1IYY_tgx_IHuhSq3AJ5eI5OnqOPBNLWSHKh2a30DoXe8/edit?usp=sharing"",""ภูเก็ต!I325"")"),20.0)</f>
        <v>20</v>
      </c>
      <c r="J430" s="425">
        <f>IFERROR(__xludf.DUMMYFUNCTION("IMPORTRANGE(""https://docs.google.com/spreadsheets/d/1IYY_tgx_IHuhSq3AJ5eI5OnqOPBNLWSHKh2a30DoXe8/edit?usp=sharing"",""ภูเก็ต!J325"")"),0.0)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IFERROR(__xludf.DUMMYFUNCTION("IMPORTRANGE(""https://docs.google.com/spreadsheets/d/1IYY_tgx_IHuhSq3AJ5eI5OnqOPBNLWSHKh2a30DoXe8/edit?usp=sharing"",""ภูเก็ต!I326"")"),10.0)</f>
        <v>10</v>
      </c>
      <c r="J431" s="427">
        <f>IFERROR(__xludf.DUMMYFUNCTION("IMPORTRANGE(""https://docs.google.com/spreadsheets/d/1IYY_tgx_IHuhSq3AJ5eI5OnqOPBNLWSHKh2a30DoXe8/edit?usp=sharing"",""ภูเก็ต!J326"")"),0.0)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IFERROR(__xludf.DUMMYFUNCTION("IMPORTRANGE(""https://docs.google.com/spreadsheets/d/1IYY_tgx_IHuhSq3AJ5eI5OnqOPBNLWSHKh2a30DoXe8/edit?usp=sharing"",""ภูเก็ต!I327"")"),10.0)</f>
        <v>10</v>
      </c>
      <c r="J432" s="427">
        <f>IFERROR(__xludf.DUMMYFUNCTION("IMPORTRANGE(""https://docs.google.com/spreadsheets/d/1IYY_tgx_IHuhSq3AJ5eI5OnqOPBNLWSHKh2a30DoXe8/edit?usp=sharing"",""ภูเก็ต!J327"")"),0.0)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IFERROR(__xludf.DUMMYFUNCTION("IMPORTRANGE(""https://docs.google.com/spreadsheets/d/1IYY_tgx_IHuhSq3AJ5eI5OnqOPBNLWSHKh2a30DoXe8/edit?usp=sharing"",""ภูเก็ต!J328"")"),0.0)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IFERROR(__xludf.DUMMYFUNCTION("IMPORTRANGE(""https://docs.google.com/spreadsheets/d/1IYY_tgx_IHuhSq3AJ5eI5OnqOPBNLWSHKh2a30DoXe8/edit?usp=sharing"",""ภูเก็ต!J329"")"),0.0)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IFERROR(__xludf.DUMMYFUNCTION("IMPORTRANGE(""https://docs.google.com/spreadsheets/d/1IYY_tgx_IHuhSq3AJ5eI5OnqOPBNLWSHKh2a30DoXe8/edit?usp=sharing"",""ภูเก็ต!I330"")"),10.0)</f>
        <v>10</v>
      </c>
      <c r="J435" s="443">
        <f>IFERROR(__xludf.DUMMYFUNCTION("IMPORTRANGE(""https://docs.google.com/spreadsheets/d/1IYY_tgx_IHuhSq3AJ5eI5OnqOPBNLWSHKh2a30DoXe8/edit?usp=sharing"",""ภูเก็ต!J330"")"),0.0)</f>
        <v>0</v>
      </c>
      <c r="K435" s="444">
        <f>IF(I435&gt;0,J435*100/I435,0)</f>
        <v>0</v>
      </c>
      <c r="L435" s="445">
        <f>IFERROR(__xludf.DUMMYFUNCTION("IMPORTRANGE(""https://docs.google.com/spreadsheets/d/1IYY_tgx_IHuhSq3AJ5eI5OnqOPBNLWSHKh2a30DoXe8/edit?usp=sharing"",""ภูเก็ต!L330"")"),71000.0)</f>
        <v>71000</v>
      </c>
      <c r="M435" s="445"/>
      <c r="N435" s="445">
        <f>IFERROR(__xludf.DUMMYFUNCTION("IMPORTRANGE(""https://docs.google.com/spreadsheets/d/1IYY_tgx_IHuhSq3AJ5eI5OnqOPBNLWSHKh2a30DoXe8/edit?usp=sharing"",""ภูเก็ต!M330"")"),0.0)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IFERROR(__xludf.DUMMYFUNCTION("IMPORTRANGE(""https://docs.google.com/spreadsheets/d/1IYY_tgx_IHuhSq3AJ5eI5OnqOPBNLWSHKh2a30DoXe8/edit?usp=sharing"",""ภูเก็ต!L331"")"),0.0)</f>
        <v>0</v>
      </c>
      <c r="M436" s="197"/>
      <c r="N436" s="203">
        <f>IFERROR(__xludf.DUMMYFUNCTION("IMPORTRANGE(""https://docs.google.com/spreadsheets/d/1IYY_tgx_IHuhSq3AJ5eI5OnqOPBNLWSHKh2a30DoXe8/edit?usp=sharing"",""ภูเก็ต!M331"")"),0.0)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IFERROR(__xludf.DUMMYFUNCTION("IMPORTRANGE(""https://docs.google.com/spreadsheets/d/1IYY_tgx_IHuhSq3AJ5eI5OnqOPBNLWSHKh2a30DoXe8/edit?usp=sharing"",""ภูเก็ต!L332"")"),71000.0)</f>
        <v>71000</v>
      </c>
      <c r="M437" s="198"/>
      <c r="N437" s="203">
        <f>IFERROR(__xludf.DUMMYFUNCTION("IMPORTRANGE(""https://docs.google.com/spreadsheets/d/1IYY_tgx_IHuhSq3AJ5eI5OnqOPBNLWSHKh2a30DoXe8/edit?usp=sharing"",""ภูเก็ต!M332"")"),0.0)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IFERROR(__xludf.DUMMYFUNCTION("IMPORTRANGE(""https://docs.google.com/spreadsheets/d/1IYY_tgx_IHuhSq3AJ5eI5OnqOPBNLWSHKh2a30DoXe8/edit?usp=sharing"",""ภูเก็ต!L333"")"),0.0)</f>
        <v>0</v>
      </c>
      <c r="M438" s="203"/>
      <c r="N438" s="203">
        <f>IFERROR(__xludf.DUMMYFUNCTION("IMPORTRANGE(""https://docs.google.com/spreadsheets/d/1IYY_tgx_IHuhSq3AJ5eI5OnqOPBNLWSHKh2a30DoXe8/edit?usp=sharing"",""ภูเก็ต!M333"")"),0.0)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IFERROR(__xludf.DUMMYFUNCTION("IMPORTRANGE(""https://docs.google.com/spreadsheets/d/1IYY_tgx_IHuhSq3AJ5eI5OnqOPBNLWSHKh2a30DoXe8/edit?usp=sharing"",""ภูเก็ต!L334"")"),71000.0)</f>
        <v>71000</v>
      </c>
      <c r="M439" s="203"/>
      <c r="N439" s="203">
        <f>IFERROR(__xludf.DUMMYFUNCTION("IMPORTRANGE(""https://docs.google.com/spreadsheets/d/1IYY_tgx_IHuhSq3AJ5eI5OnqOPBNLWSHKh2a30DoXe8/edit?usp=sharing"",""ภูเก็ต!M334"")"),0.0)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IFERROR(__xludf.DUMMYFUNCTION("IMPORTRANGE(""https://docs.google.com/spreadsheets/d/1IYY_tgx_IHuhSq3AJ5eI5OnqOPBNLWSHKh2a30DoXe8/edit?usp=sharing"",""ภูเก็ต!M335"")"),0.0)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IFERROR(__xludf.DUMMYFUNCTION("IMPORTRANGE(""https://docs.google.com/spreadsheets/d/1IYY_tgx_IHuhSq3AJ5eI5OnqOPBNLWSHKh2a30DoXe8/edit?usp=sharing"",""ภูเก็ต!M336"")"),0.0)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IFERROR(__xludf.DUMMYFUNCTION("IMPORTRANGE(""https://docs.google.com/spreadsheets/d/1IYY_tgx_IHuhSq3AJ5eI5OnqOPBNLWSHKh2a30DoXe8/edit?usp=sharing"",""ภูเก็ต!M337"")"),0.0)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IFERROR(__xludf.DUMMYFUNCTION("IMPORTRANGE(""https://docs.google.com/spreadsheets/d/1IYY_tgx_IHuhSq3AJ5eI5OnqOPBNLWSHKh2a30DoXe8/edit?usp=sharing"",""ภูเก็ต!M338"")"),0.0)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IFERROR(__xludf.DUMMYFUNCTION("IMPORTRANGE(""https://docs.google.com/spreadsheets/d/1IYY_tgx_IHuhSq3AJ5eI5OnqOPBNLWSHKh2a30DoXe8/edit?usp=sharing"",""ภูเก็ต!J340"")"),0.0)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IFERROR(__xludf.DUMMYFUNCTION("IMPORTRANGE(""https://docs.google.com/spreadsheets/d/1IYY_tgx_IHuhSq3AJ5eI5OnqOPBNLWSHKh2a30DoXe8/edit?usp=sharing"",""ภูเก็ต!J341"")"),1.0)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IFERROR(__xludf.DUMMYFUNCTION("IMPORTRANGE(""https://docs.google.com/spreadsheets/d/1IYY_tgx_IHuhSq3AJ5eI5OnqOPBNLWSHKh2a30DoXe8/edit?usp=sharing"",""ภูเก็ต!J342"")"),1.0)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IFERROR(__xludf.DUMMYFUNCTION("IMPORTRANGE(""https://docs.google.com/spreadsheets/d/1IYY_tgx_IHuhSq3AJ5eI5OnqOPBNLWSHKh2a30DoXe8/edit?usp=sharing"",""ภูเก็ต!J343"")"),1.0)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IFERROR(__xludf.DUMMYFUNCTION("IMPORTRANGE(""https://docs.google.com/spreadsheets/d/1IYY_tgx_IHuhSq3AJ5eI5OnqOPBNLWSHKh2a30DoXe8/edit?usp=sharing"",""ภูเก็ต!I344"")"),10.0)</f>
        <v>10</v>
      </c>
      <c r="J449" s="235">
        <f>IFERROR(__xludf.DUMMYFUNCTION("IMPORTRANGE(""https://docs.google.com/spreadsheets/d/1IYY_tgx_IHuhSq3AJ5eI5OnqOPBNLWSHKh2a30DoXe8/edit?usp=sharing"",""ภูเก็ต!J344"")"),0.0)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IFERROR(__xludf.DUMMYFUNCTION("IMPORTRANGE(""https://docs.google.com/spreadsheets/d/1IYY_tgx_IHuhSq3AJ5eI5OnqOPBNLWSHKh2a30DoXe8/edit?usp=sharing"",""ภูเก็ต!I345"")"),10.0)</f>
        <v>10</v>
      </c>
      <c r="J450" s="223">
        <f>IFERROR(__xludf.DUMMYFUNCTION("IMPORTRANGE(""https://docs.google.com/spreadsheets/d/1IYY_tgx_IHuhSq3AJ5eI5OnqOPBNLWSHKh2a30DoXe8/edit?usp=sharing"",""ภูเก็ต!J345"")"),0.0)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IFERROR(__xludf.DUMMYFUNCTION("IMPORTRANGE(""https://docs.google.com/spreadsheets/d/1IYY_tgx_IHuhSq3AJ5eI5OnqOPBNLWSHKh2a30DoXe8/edit?usp=sharing"",""ภูเก็ต!I346"")"),0.0)</f>
        <v>0</v>
      </c>
      <c r="J451" s="222">
        <f>IFERROR(__xludf.DUMMYFUNCTION("IMPORTRANGE(""https://docs.google.com/spreadsheets/d/1IYY_tgx_IHuhSq3AJ5eI5OnqOPBNLWSHKh2a30DoXe8/edit?usp=sharing"",""ภูเก็ต!J346"")"),0.0)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IFERROR(__xludf.DUMMYFUNCTION("IMPORTRANGE(""https://docs.google.com/spreadsheets/d/1IYY_tgx_IHuhSq3AJ5eI5OnqOPBNLWSHKh2a30DoXe8/edit?usp=sharing"",""ภูเก็ต!I347"")"),0.0)</f>
        <v>0</v>
      </c>
      <c r="J452" s="222">
        <f>IFERROR(__xludf.DUMMYFUNCTION("IMPORTRANGE(""https://docs.google.com/spreadsheets/d/1IYY_tgx_IHuhSq3AJ5eI5OnqOPBNLWSHKh2a30DoXe8/edit?usp=sharing"",""ภูเก็ต!J347"")"),0.0)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IFERROR(__xludf.DUMMYFUNCTION("IMPORTRANGE(""https://docs.google.com/spreadsheets/d/1IYY_tgx_IHuhSq3AJ5eI5OnqOPBNLWSHKh2a30DoXe8/edit?usp=sharing"",""ภูเก็ต!J348"")"),0.0)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IFERROR(__xludf.DUMMYFUNCTION("IMPORTRANGE(""https://docs.google.com/spreadsheets/d/1IYY_tgx_IHuhSq3AJ5eI5OnqOPBNLWSHKh2a30DoXe8/edit?usp=sharing"",""ภูเก็ต!J349"")"),0.0)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IFERROR(__xludf.DUMMYFUNCTION("IMPORTRANGE(""https://docs.google.com/spreadsheets/d/1IYY_tgx_IHuhSq3AJ5eI5OnqOPBNLWSHKh2a30DoXe8/edit?usp=sharing"",""ภูเก็ต!I350"")"),0.0)</f>
        <v>0</v>
      </c>
      <c r="J455" s="404">
        <f>IFERROR(__xludf.DUMMYFUNCTION("IMPORTRANGE(""https://docs.google.com/spreadsheets/d/1IYY_tgx_IHuhSq3AJ5eI5OnqOPBNLWSHKh2a30DoXe8/edit?usp=sharing"",""ภูเก็ต!J350"")"),0.0)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IFERROR(__xludf.DUMMYFUNCTION("IMPORTRANGE(""https://docs.google.com/spreadsheets/d/1IYY_tgx_IHuhSq3AJ5eI5OnqOPBNLWSHKh2a30DoXe8/edit?usp=sharing"",""ภูเก็ต!L350"")"),0.0)</f>
        <v>0</v>
      </c>
      <c r="M455" s="406"/>
      <c r="N455" s="406">
        <f>IFERROR(__xludf.DUMMYFUNCTION("IMPORTRANGE(""https://docs.google.com/spreadsheets/d/1IYY_tgx_IHuhSq3AJ5eI5OnqOPBNLWSHKh2a30DoXe8/edit?usp=sharing"",""ภูเก็ต!M350"")"),0.0)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IFERROR(__xludf.DUMMYFUNCTION("IMPORTRANGE(""https://docs.google.com/spreadsheets/d/1IYY_tgx_IHuhSq3AJ5eI5OnqOPBNLWSHKh2a30DoXe8/edit?usp=sharing"",""ภูเก็ต!L351"")"),0.0)</f>
        <v>0</v>
      </c>
      <c r="M456" s="197"/>
      <c r="N456" s="203">
        <f>IFERROR(__xludf.DUMMYFUNCTION("IMPORTRANGE(""https://docs.google.com/spreadsheets/d/1IYY_tgx_IHuhSq3AJ5eI5OnqOPBNLWSHKh2a30DoXe8/edit?usp=sharing"",""ภูเก็ต!M351"")"),0.0)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IFERROR(__xludf.DUMMYFUNCTION("IMPORTRANGE(""https://docs.google.com/spreadsheets/d/1IYY_tgx_IHuhSq3AJ5eI5OnqOPBNLWSHKh2a30DoXe8/edit?usp=sharing"",""ภูเก็ต!L352"")"),0.0)</f>
        <v>0</v>
      </c>
      <c r="M457" s="198"/>
      <c r="N457" s="203">
        <f>IFERROR(__xludf.DUMMYFUNCTION("IMPORTRANGE(""https://docs.google.com/spreadsheets/d/1IYY_tgx_IHuhSq3AJ5eI5OnqOPBNLWSHKh2a30DoXe8/edit?usp=sharing"",""ภูเก็ต!M352"")"),0.0)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IFERROR(__xludf.DUMMYFUNCTION("IMPORTRANGE(""https://docs.google.com/spreadsheets/d/1IYY_tgx_IHuhSq3AJ5eI5OnqOPBNLWSHKh2a30DoXe8/edit?usp=sharing"",""ภูเก็ต!L353"")"),0.0)</f>
        <v>0</v>
      </c>
      <c r="M458" s="203"/>
      <c r="N458" s="203">
        <f>IFERROR(__xludf.DUMMYFUNCTION("IMPORTRANGE(""https://docs.google.com/spreadsheets/d/1IYY_tgx_IHuhSq3AJ5eI5OnqOPBNLWSHKh2a30DoXe8/edit?usp=sharing"",""ภูเก็ต!M353"")"),0.0)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IFERROR(__xludf.DUMMYFUNCTION("IMPORTRANGE(""https://docs.google.com/spreadsheets/d/1IYY_tgx_IHuhSq3AJ5eI5OnqOPBNLWSHKh2a30DoXe8/edit?usp=sharing"",""ภูเก็ต!L354"")"),0.0)</f>
        <v>0</v>
      </c>
      <c r="M459" s="203"/>
      <c r="N459" s="203">
        <f>IFERROR(__xludf.DUMMYFUNCTION("IMPORTRANGE(""https://docs.google.com/spreadsheets/d/1IYY_tgx_IHuhSq3AJ5eI5OnqOPBNLWSHKh2a30DoXe8/edit?usp=sharing"",""ภูเก็ต!M354"")"),0.0)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IFERROR(__xludf.DUMMYFUNCTION("IMPORTRANGE(""https://docs.google.com/spreadsheets/d/1IYY_tgx_IHuhSq3AJ5eI5OnqOPBNLWSHKh2a30DoXe8/edit?usp=sharing"",""ภูเก็ต!M355"")"),0.0)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IFERROR(__xludf.DUMMYFUNCTION("IMPORTRANGE(""https://docs.google.com/spreadsheets/d/1IYY_tgx_IHuhSq3AJ5eI5OnqOPBNLWSHKh2a30DoXe8/edit?usp=sharing"",""ภูเก็ต!M356"")"),0.0)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IFERROR(__xludf.DUMMYFUNCTION("IMPORTRANGE(""https://docs.google.com/spreadsheets/d/1IYY_tgx_IHuhSq3AJ5eI5OnqOPBNLWSHKh2a30DoXe8/edit?usp=sharing"",""ภูเก็ต!M357"")"),0.0)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IFERROR(__xludf.DUMMYFUNCTION("IMPORTRANGE(""https://docs.google.com/spreadsheets/d/1IYY_tgx_IHuhSq3AJ5eI5OnqOPBNLWSHKh2a30DoXe8/edit?usp=sharing"",""ภูเก็ต!M358"")"),0.0)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IFERROR(__xludf.DUMMYFUNCTION("IMPORTRANGE(""https://docs.google.com/spreadsheets/d/1IYY_tgx_IHuhSq3AJ5eI5OnqOPBNLWSHKh2a30DoXe8/edit?usp=sharing"",""ภูเก็ต!I359"")"),0.0)</f>
        <v>0</v>
      </c>
      <c r="J464" s="301">
        <f>IFERROR(__xludf.DUMMYFUNCTION("IMPORTRANGE(""https://docs.google.com/spreadsheets/d/1IYY_tgx_IHuhSq3AJ5eI5OnqOPBNLWSHKh2a30DoXe8/edit?usp=sharing"",""ภูเก็ต!J359"")"),0.0)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IFERROR(__xludf.DUMMYFUNCTION("IMPORTRANGE(""https://docs.google.com/spreadsheets/d/1IYY_tgx_IHuhSq3AJ5eI5OnqOPBNLWSHKh2a30DoXe8/edit?usp=sharing"",""ภูเก็ต!I360"")"),0.0)</f>
        <v>0</v>
      </c>
      <c r="J465" s="453">
        <f>IFERROR(__xludf.DUMMYFUNCTION("IMPORTRANGE(""https://docs.google.com/spreadsheets/d/1IYY_tgx_IHuhSq3AJ5eI5OnqOPBNLWSHKh2a30DoXe8/edit?usp=sharing"",""ภูเก็ต!J360"")"),0.0)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IFERROR(__xludf.DUMMYFUNCTION("IMPORTRANGE(""https://docs.google.com/spreadsheets/d/1IYY_tgx_IHuhSq3AJ5eI5OnqOPBNLWSHKh2a30DoXe8/edit?usp=sharing"",""ภูเก็ต!I361"")"),0.0)</f>
        <v>0</v>
      </c>
      <c r="J466" s="453">
        <f>IFERROR(__xludf.DUMMYFUNCTION("IMPORTRANGE(""https://docs.google.com/spreadsheets/d/1IYY_tgx_IHuhSq3AJ5eI5OnqOPBNLWSHKh2a30DoXe8/edit?usp=sharing"",""ภูเก็ต!J361"")"),0.0)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IFERROR(__xludf.DUMMYFUNCTION("IMPORTRANGE(""https://docs.google.com/spreadsheets/d/1IYY_tgx_IHuhSq3AJ5eI5OnqOPBNLWSHKh2a30DoXe8/edit?usp=sharing"",""ภูเก็ต!I362"")"),0.0)</f>
        <v>0</v>
      </c>
      <c r="J467" s="223">
        <f>IFERROR(__xludf.DUMMYFUNCTION("IMPORTRANGE(""https://docs.google.com/spreadsheets/d/1IYY_tgx_IHuhSq3AJ5eI5OnqOPBNLWSHKh2a30DoXe8/edit?usp=sharing"",""ภูเก็ต!J362"")"),0.0)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IFERROR(__xludf.DUMMYFUNCTION("IMPORTRANGE(""https://docs.google.com/spreadsheets/d/1IYY_tgx_IHuhSq3AJ5eI5OnqOPBNLWSHKh2a30DoXe8/edit?usp=sharing"",""ภูเก็ต!I363"")"),0.0)</f>
        <v>0</v>
      </c>
      <c r="J468" s="223">
        <f>IFERROR(__xludf.DUMMYFUNCTION("IMPORTRANGE(""https://docs.google.com/spreadsheets/d/1IYY_tgx_IHuhSq3AJ5eI5OnqOPBNLWSHKh2a30DoXe8/edit?usp=sharing"",""ภูเก็ต!J363"")"),0.0)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IFERROR(__xludf.DUMMYFUNCTION("IMPORTRANGE(""https://docs.google.com/spreadsheets/d/1IYY_tgx_IHuhSq3AJ5eI5OnqOPBNLWSHKh2a30DoXe8/edit?usp=sharing"",""ภูเก็ต!I364"")"),0.0)</f>
        <v>0</v>
      </c>
      <c r="J469" s="223">
        <f>IFERROR(__xludf.DUMMYFUNCTION("IMPORTRANGE(""https://docs.google.com/spreadsheets/d/1IYY_tgx_IHuhSq3AJ5eI5OnqOPBNLWSHKh2a30DoXe8/edit?usp=sharing"",""ภูเก็ต!J364"")"),0.0)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IFERROR(__xludf.DUMMYFUNCTION("IMPORTRANGE(""https://docs.google.com/spreadsheets/d/1IYY_tgx_IHuhSq3AJ5eI5OnqOPBNLWSHKh2a30DoXe8/edit?usp=sharing"",""ภูเก็ต!I365"")"),0.0)</f>
        <v>0</v>
      </c>
      <c r="J470" s="223">
        <f>IFERROR(__xludf.DUMMYFUNCTION("IMPORTRANGE(""https://docs.google.com/spreadsheets/d/1IYY_tgx_IHuhSq3AJ5eI5OnqOPBNLWSHKh2a30DoXe8/edit?usp=sharing"",""ภูเก็ต!J365"")"),0.0)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IFERROR(__xludf.DUMMYFUNCTION("IMPORTRANGE(""https://docs.google.com/spreadsheets/d/1IYY_tgx_IHuhSq3AJ5eI5OnqOPBNLWSHKh2a30DoXe8/edit?usp=sharing"",""ภูเก็ต!I366"")"),0.0)</f>
        <v>0</v>
      </c>
      <c r="J471" s="223">
        <f>IFERROR(__xludf.DUMMYFUNCTION("IMPORTRANGE(""https://docs.google.com/spreadsheets/d/1IYY_tgx_IHuhSq3AJ5eI5OnqOPBNLWSHKh2a30DoXe8/edit?usp=sharing"",""ภูเก็ต!J366"")"),0.0)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IFERROR(__xludf.DUMMYFUNCTION("IMPORTRANGE(""https://docs.google.com/spreadsheets/d/1IYY_tgx_IHuhSq3AJ5eI5OnqOPBNLWSHKh2a30DoXe8/edit?usp=sharing"",""ภูเก็ต!I367"")"),0.0)</f>
        <v>0</v>
      </c>
      <c r="J472" s="223">
        <f>IFERROR(__xludf.DUMMYFUNCTION("IMPORTRANGE(""https://docs.google.com/spreadsheets/d/1IYY_tgx_IHuhSq3AJ5eI5OnqOPBNLWSHKh2a30DoXe8/edit?usp=sharing"",""ภูเก็ต!J367"")"),0.0)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IFERROR(__xludf.DUMMYFUNCTION("IMPORTRANGE(""https://docs.google.com/spreadsheets/d/1IYY_tgx_IHuhSq3AJ5eI5OnqOPBNLWSHKh2a30DoXe8/edit?usp=sharing"",""ภูเก็ต!I368"")"),0.0)</f>
        <v>0</v>
      </c>
      <c r="J473" s="453">
        <f>IFERROR(__xludf.DUMMYFUNCTION("IMPORTRANGE(""https://docs.google.com/spreadsheets/d/1IYY_tgx_IHuhSq3AJ5eI5OnqOPBNLWSHKh2a30DoXe8/edit?usp=sharing"",""ภูเก็ต!J368"")"),0.0)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IFERROR(__xludf.DUMMYFUNCTION("IMPORTRANGE(""https://docs.google.com/spreadsheets/d/1IYY_tgx_IHuhSq3AJ5eI5OnqOPBNLWSHKh2a30DoXe8/edit?usp=sharing"",""ภูเก็ต!I369"")"),0.0)</f>
        <v>0</v>
      </c>
      <c r="J474" s="453">
        <f>IFERROR(__xludf.DUMMYFUNCTION("IMPORTRANGE(""https://docs.google.com/spreadsheets/d/1IYY_tgx_IHuhSq3AJ5eI5OnqOPBNLWSHKh2a30DoXe8/edit?usp=sharing"",""ภูเก็ต!J369"")"),0.0)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IFERROR(__xludf.DUMMYFUNCTION("IMPORTRANGE(""https://docs.google.com/spreadsheets/d/1IYY_tgx_IHuhSq3AJ5eI5OnqOPBNLWSHKh2a30DoXe8/edit?usp=sharing"",""ภูเก็ต!I370"")"),0.0)</f>
        <v>0</v>
      </c>
      <c r="J475" s="223">
        <f>IFERROR(__xludf.DUMMYFUNCTION("IMPORTRANGE(""https://docs.google.com/spreadsheets/d/1IYY_tgx_IHuhSq3AJ5eI5OnqOPBNLWSHKh2a30DoXe8/edit?usp=sharing"",""ภูเก็ต!J370"")"),0.0)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IFERROR(__xludf.DUMMYFUNCTION("IMPORTRANGE(""https://docs.google.com/spreadsheets/d/1IYY_tgx_IHuhSq3AJ5eI5OnqOPBNLWSHKh2a30DoXe8/edit?usp=sharing"",""ภูเก็ต!I371"")"),0.0)</f>
        <v>0</v>
      </c>
      <c r="J476" s="223">
        <f>IFERROR(__xludf.DUMMYFUNCTION("IMPORTRANGE(""https://docs.google.com/spreadsheets/d/1IYY_tgx_IHuhSq3AJ5eI5OnqOPBNLWSHKh2a30DoXe8/edit?usp=sharing"",""ภูเก็ต!J371"")"),0.0)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IFERROR(__xludf.DUMMYFUNCTION("IMPORTRANGE(""https://docs.google.com/spreadsheets/d/1IYY_tgx_IHuhSq3AJ5eI5OnqOPBNLWSHKh2a30DoXe8/edit?usp=sharing"",""ภูเก็ต!I372"")"),0.0)</f>
        <v>0</v>
      </c>
      <c r="J477" s="223">
        <f>IFERROR(__xludf.DUMMYFUNCTION("IMPORTRANGE(""https://docs.google.com/spreadsheets/d/1IYY_tgx_IHuhSq3AJ5eI5OnqOPBNLWSHKh2a30DoXe8/edit?usp=sharing"",""ภูเก็ต!J372"")"),0.0)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IFERROR(__xludf.DUMMYFUNCTION("IMPORTRANGE(""https://docs.google.com/spreadsheets/d/1IYY_tgx_IHuhSq3AJ5eI5OnqOPBNLWSHKh2a30DoXe8/edit?usp=sharing"",""ภูเก็ต!I373"")"),0.0)</f>
        <v>0</v>
      </c>
      <c r="J478" s="223">
        <f>IFERROR(__xludf.DUMMYFUNCTION("IMPORTRANGE(""https://docs.google.com/spreadsheets/d/1IYY_tgx_IHuhSq3AJ5eI5OnqOPBNLWSHKh2a30DoXe8/edit?usp=sharing"",""ภูเก็ต!J373"")"),0.0)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IFERROR(__xludf.DUMMYFUNCTION("IMPORTRANGE(""https://docs.google.com/spreadsheets/d/1IYY_tgx_IHuhSq3AJ5eI5OnqOPBNLWSHKh2a30DoXe8/edit?usp=sharing"",""ภูเก็ต!I374"")"),0.0)</f>
        <v>0</v>
      </c>
      <c r="J479" s="223">
        <f>IFERROR(__xludf.DUMMYFUNCTION("IMPORTRANGE(""https://docs.google.com/spreadsheets/d/1IYY_tgx_IHuhSq3AJ5eI5OnqOPBNLWSHKh2a30DoXe8/edit?usp=sharing"",""ภูเก็ต!J374"")"),0.0)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IFERROR(__xludf.DUMMYFUNCTION("IMPORTRANGE(""https://docs.google.com/spreadsheets/d/1IYY_tgx_IHuhSq3AJ5eI5OnqOPBNLWSHKh2a30DoXe8/edit?usp=sharing"",""ภูเก็ต!I375"")"),0.0)</f>
        <v>0</v>
      </c>
      <c r="J480" s="223">
        <f>IFERROR(__xludf.DUMMYFUNCTION("IMPORTRANGE(""https://docs.google.com/spreadsheets/d/1IYY_tgx_IHuhSq3AJ5eI5OnqOPBNLWSHKh2a30DoXe8/edit?usp=sharing"",""ภูเก็ต!J375"")"),0.0)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IFERROR(__xludf.DUMMYFUNCTION("IMPORTRANGE(""https://docs.google.com/spreadsheets/d/1IYY_tgx_IHuhSq3AJ5eI5OnqOPBNLWSHKh2a30DoXe8/edit?usp=sharing"",""ภูเก็ต!I376"")"),0.0)</f>
        <v>0</v>
      </c>
      <c r="J481" s="453">
        <f>IFERROR(__xludf.DUMMYFUNCTION("IMPORTRANGE(""https://docs.google.com/spreadsheets/d/1IYY_tgx_IHuhSq3AJ5eI5OnqOPBNLWSHKh2a30DoXe8/edit?usp=sharing"",""ภูเก็ต!J376"")"),0.0)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IFERROR(__xludf.DUMMYFUNCTION("IMPORTRANGE(""https://docs.google.com/spreadsheets/d/1IYY_tgx_IHuhSq3AJ5eI5OnqOPBNLWSHKh2a30DoXe8/edit?usp=sharing"",""ภูเก็ต!I377"")"),0.0)</f>
        <v>0</v>
      </c>
      <c r="J482" s="453">
        <f>IFERROR(__xludf.DUMMYFUNCTION("IMPORTRANGE(""https://docs.google.com/spreadsheets/d/1IYY_tgx_IHuhSq3AJ5eI5OnqOPBNLWSHKh2a30DoXe8/edit?usp=sharing"",""ภูเก็ต!J377"")"),0.0)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IFERROR(__xludf.DUMMYFUNCTION("IMPORTRANGE(""https://docs.google.com/spreadsheets/d/1IYY_tgx_IHuhSq3AJ5eI5OnqOPBNLWSHKh2a30DoXe8/edit?usp=sharing"",""ภูเก็ต!I378"")"),0.0)</f>
        <v>0</v>
      </c>
      <c r="J483" s="223">
        <f>IFERROR(__xludf.DUMMYFUNCTION("IMPORTRANGE(""https://docs.google.com/spreadsheets/d/1IYY_tgx_IHuhSq3AJ5eI5OnqOPBNLWSHKh2a30DoXe8/edit?usp=sharing"",""ภูเก็ต!J378"")"),0.0)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IFERROR(__xludf.DUMMYFUNCTION("IMPORTRANGE(""https://docs.google.com/spreadsheets/d/1IYY_tgx_IHuhSq3AJ5eI5OnqOPBNLWSHKh2a30DoXe8/edit?usp=sharing"",""ภูเก็ต!I379"")"),0.0)</f>
        <v>0</v>
      </c>
      <c r="J484" s="223">
        <f>IFERROR(__xludf.DUMMYFUNCTION("IMPORTRANGE(""https://docs.google.com/spreadsheets/d/1IYY_tgx_IHuhSq3AJ5eI5OnqOPBNLWSHKh2a30DoXe8/edit?usp=sharing"",""ภูเก็ต!J379"")"),0.0)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IFERROR(__xludf.DUMMYFUNCTION("IMPORTRANGE(""https://docs.google.com/spreadsheets/d/1IYY_tgx_IHuhSq3AJ5eI5OnqOPBNLWSHKh2a30DoXe8/edit?usp=sharing"",""ภูเก็ต!I380"")"),0.0)</f>
        <v>0</v>
      </c>
      <c r="J485" s="223">
        <f>IFERROR(__xludf.DUMMYFUNCTION("IMPORTRANGE(""https://docs.google.com/spreadsheets/d/1IYY_tgx_IHuhSq3AJ5eI5OnqOPBNLWSHKh2a30DoXe8/edit?usp=sharing"",""ภูเก็ต!J380"")"),0.0)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IFERROR(__xludf.DUMMYFUNCTION("IMPORTRANGE(""https://docs.google.com/spreadsheets/d/1IYY_tgx_IHuhSq3AJ5eI5OnqOPBNLWSHKh2a30DoXe8/edit?usp=sharing"",""ภูเก็ต!I381"")"),0.0)</f>
        <v>0</v>
      </c>
      <c r="J486" s="223">
        <f>IFERROR(__xludf.DUMMYFUNCTION("IMPORTRANGE(""https://docs.google.com/spreadsheets/d/1IYY_tgx_IHuhSq3AJ5eI5OnqOPBNLWSHKh2a30DoXe8/edit?usp=sharing"",""ภูเก็ต!J381"")"),0.0)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IFERROR(__xludf.DUMMYFUNCTION("IMPORTRANGE(""https://docs.google.com/spreadsheets/d/1IYY_tgx_IHuhSq3AJ5eI5OnqOPBNLWSHKh2a30DoXe8/edit?usp=sharing"",""ภูเก็ต!I382"")"),0.0)</f>
        <v>0</v>
      </c>
      <c r="J487" s="453">
        <f>IFERROR(__xludf.DUMMYFUNCTION("IMPORTRANGE(""https://docs.google.com/spreadsheets/d/1IYY_tgx_IHuhSq3AJ5eI5OnqOPBNLWSHKh2a30DoXe8/edit?usp=sharing"",""ภูเก็ต!J382"")"),0.0)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IFERROR(__xludf.DUMMYFUNCTION("IMPORTRANGE(""https://docs.google.com/spreadsheets/d/1IYY_tgx_IHuhSq3AJ5eI5OnqOPBNLWSHKh2a30DoXe8/edit?usp=sharing"",""ภูเก็ต!I383"")"),0.0)</f>
        <v>0</v>
      </c>
      <c r="J488" s="453">
        <f>IFERROR(__xludf.DUMMYFUNCTION("IMPORTRANGE(""https://docs.google.com/spreadsheets/d/1IYY_tgx_IHuhSq3AJ5eI5OnqOPBNLWSHKh2a30DoXe8/edit?usp=sharing"",""ภูเก็ต!J383"")"),0.0)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IFERROR(__xludf.DUMMYFUNCTION("IMPORTRANGE(""https://docs.google.com/spreadsheets/d/1IYY_tgx_IHuhSq3AJ5eI5OnqOPBNLWSHKh2a30DoXe8/edit?usp=sharing"",""ภูเก็ต!I384"")"),0.0)</f>
        <v>0</v>
      </c>
      <c r="J489" s="223">
        <f>IFERROR(__xludf.DUMMYFUNCTION("IMPORTRANGE(""https://docs.google.com/spreadsheets/d/1IYY_tgx_IHuhSq3AJ5eI5OnqOPBNLWSHKh2a30DoXe8/edit?usp=sharing"",""ภูเก็ต!J384"")"),0.0)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IFERROR(__xludf.DUMMYFUNCTION("IMPORTRANGE(""https://docs.google.com/spreadsheets/d/1IYY_tgx_IHuhSq3AJ5eI5OnqOPBNLWSHKh2a30DoXe8/edit?usp=sharing"",""ภูเก็ต!I385"")"),0.0)</f>
        <v>0</v>
      </c>
      <c r="J490" s="223">
        <f>IFERROR(__xludf.DUMMYFUNCTION("IMPORTRANGE(""https://docs.google.com/spreadsheets/d/1IYY_tgx_IHuhSq3AJ5eI5OnqOPBNLWSHKh2a30DoXe8/edit?usp=sharing"",""ภูเก็ต!J385"")"),0.0)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IFERROR(__xludf.DUMMYFUNCTION("IMPORTRANGE(""https://docs.google.com/spreadsheets/d/1IYY_tgx_IHuhSq3AJ5eI5OnqOPBNLWSHKh2a30DoXe8/edit?usp=sharing"",""ภูเก็ต!I386"")"),0.0)</f>
        <v>0</v>
      </c>
      <c r="J491" s="223">
        <f>IFERROR(__xludf.DUMMYFUNCTION("IMPORTRANGE(""https://docs.google.com/spreadsheets/d/1IYY_tgx_IHuhSq3AJ5eI5OnqOPBNLWSHKh2a30DoXe8/edit?usp=sharing"",""ภูเก็ต!J386"")"),0.0)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IFERROR(__xludf.DUMMYFUNCTION("IMPORTRANGE(""https://docs.google.com/spreadsheets/d/1IYY_tgx_IHuhSq3AJ5eI5OnqOPBNLWSHKh2a30DoXe8/edit?usp=sharing"",""ภูเก็ต!I387"")"),0.0)</f>
        <v>0</v>
      </c>
      <c r="J492" s="223">
        <f>IFERROR(__xludf.DUMMYFUNCTION("IMPORTRANGE(""https://docs.google.com/spreadsheets/d/1IYY_tgx_IHuhSq3AJ5eI5OnqOPBNLWSHKh2a30DoXe8/edit?usp=sharing"",""ภูเก็ต!J387"")"),0.0)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IFERROR(__xludf.DUMMYFUNCTION("IMPORTRANGE(""https://docs.google.com/spreadsheets/d/1IYY_tgx_IHuhSq3AJ5eI5OnqOPBNLWSHKh2a30DoXe8/edit?usp=sharing"",""ภูเก็ต!I388"")"),0.0)</f>
        <v>0</v>
      </c>
      <c r="J493" s="223">
        <f>IFERROR(__xludf.DUMMYFUNCTION("IMPORTRANGE(""https://docs.google.com/spreadsheets/d/1IYY_tgx_IHuhSq3AJ5eI5OnqOPBNLWSHKh2a30DoXe8/edit?usp=sharing"",""ภูเก็ต!J388"")"),0.0)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IFERROR(__xludf.DUMMYFUNCTION("IMPORTRANGE(""https://docs.google.com/spreadsheets/d/1IYY_tgx_IHuhSq3AJ5eI5OnqOPBNLWSHKh2a30DoXe8/edit?usp=sharing"",""ภูเก็ต!I389"")"),0.0)</f>
        <v>0</v>
      </c>
      <c r="J494" s="469">
        <f>IFERROR(__xludf.DUMMYFUNCTION("IMPORTRANGE(""https://docs.google.com/spreadsheets/d/1IYY_tgx_IHuhSq3AJ5eI5OnqOPBNLWSHKh2a30DoXe8/edit?usp=sharing"",""ภูเก็ต!J389"")"),0.0)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IFERROR(__xludf.DUMMYFUNCTION("IMPORTRANGE(""https://docs.google.com/spreadsheets/d/1IYY_tgx_IHuhSq3AJ5eI5OnqOPBNLWSHKh2a30DoXe8/edit?usp=sharing"",""ภูเก็ต!I390"")"),0.0)</f>
        <v>0</v>
      </c>
      <c r="J495" s="469">
        <f>IFERROR(__xludf.DUMMYFUNCTION("IMPORTRANGE(""https://docs.google.com/spreadsheets/d/1IYY_tgx_IHuhSq3AJ5eI5OnqOPBNLWSHKh2a30DoXe8/edit?usp=sharing"",""ภูเก็ต!J390"")"),0.0)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IFERROR(__xludf.DUMMYFUNCTION("IMPORTRANGE(""https://docs.google.com/spreadsheets/d/1IYY_tgx_IHuhSq3AJ5eI5OnqOPBNLWSHKh2a30DoXe8/edit?usp=sharing"",""ภูเก็ต!I391"")"),0.0)</f>
        <v>0</v>
      </c>
      <c r="J496" s="469">
        <f>IFERROR(__xludf.DUMMYFUNCTION("IMPORTRANGE(""https://docs.google.com/spreadsheets/d/1IYY_tgx_IHuhSq3AJ5eI5OnqOPBNLWSHKh2a30DoXe8/edit?usp=sharing"",""ภูเก็ต!J391"")"),0.0)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IFERROR(__xludf.DUMMYFUNCTION("IMPORTRANGE(""https://docs.google.com/spreadsheets/d/1IYY_tgx_IHuhSq3AJ5eI5OnqOPBNLWSHKh2a30DoXe8/edit?usp=sharing"",""ภูเก็ต!I392"")"),0.0)</f>
        <v>0</v>
      </c>
      <c r="J497" s="476">
        <f>IFERROR(__xludf.DUMMYFUNCTION("IMPORTRANGE(""https://docs.google.com/spreadsheets/d/1IYY_tgx_IHuhSq3AJ5eI5OnqOPBNLWSHKh2a30DoXe8/edit?usp=sharing"",""ภูเก็ต!J392"")"),0.0)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IFERROR(__xludf.DUMMYFUNCTION("IMPORTRANGE(""https://docs.google.com/spreadsheets/d/1IYY_tgx_IHuhSq3AJ5eI5OnqOPBNLWSHKh2a30DoXe8/edit?usp=sharing"",""ภูเก็ต!I393"")"),0.0)</f>
        <v>0</v>
      </c>
      <c r="J498" s="453">
        <f>IFERROR(__xludf.DUMMYFUNCTION("IMPORTRANGE(""https://docs.google.com/spreadsheets/d/1IYY_tgx_IHuhSq3AJ5eI5OnqOPBNLWSHKh2a30DoXe8/edit?usp=sharing"",""ภูเก็ต!J393"")"),0.0)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IFERROR(__xludf.DUMMYFUNCTION("IMPORTRANGE(""https://docs.google.com/spreadsheets/d/1IYY_tgx_IHuhSq3AJ5eI5OnqOPBNLWSHKh2a30DoXe8/edit?usp=sharing"",""ภูเก็ต!I394"")"),0.0)</f>
        <v>0</v>
      </c>
      <c r="J499" s="453">
        <f>IFERROR(__xludf.DUMMYFUNCTION("IMPORTRANGE(""https://docs.google.com/spreadsheets/d/1IYY_tgx_IHuhSq3AJ5eI5OnqOPBNLWSHKh2a30DoXe8/edit?usp=sharing"",""ภูเก็ต!J394"")"),0.0)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IFERROR(__xludf.DUMMYFUNCTION("IMPORTRANGE(""https://docs.google.com/spreadsheets/d/1IYY_tgx_IHuhSq3AJ5eI5OnqOPBNLWSHKh2a30DoXe8/edit?usp=sharing"",""ภูเก็ต!I395"")"),0.0)</f>
        <v>0</v>
      </c>
      <c r="J500" s="195">
        <f>IFERROR(__xludf.DUMMYFUNCTION("IMPORTRANGE(""https://docs.google.com/spreadsheets/d/1IYY_tgx_IHuhSq3AJ5eI5OnqOPBNLWSHKh2a30DoXe8/edit?usp=sharing"",""ภูเก็ต!J395"")"),0.0)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IFERROR(__xludf.DUMMYFUNCTION("IMPORTRANGE(""https://docs.google.com/spreadsheets/d/1IYY_tgx_IHuhSq3AJ5eI5OnqOPBNLWSHKh2a30DoXe8/edit?usp=sharing"",""ภูเก็ต!I396"")"),0.0)</f>
        <v>0</v>
      </c>
      <c r="J501" s="195">
        <f>IFERROR(__xludf.DUMMYFUNCTION("IMPORTRANGE(""https://docs.google.com/spreadsheets/d/1IYY_tgx_IHuhSq3AJ5eI5OnqOPBNLWSHKh2a30DoXe8/edit?usp=sharing"",""ภูเก็ต!J396"")"),0.0)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IFERROR(__xludf.DUMMYFUNCTION("IMPORTRANGE(""https://docs.google.com/spreadsheets/d/1IYY_tgx_IHuhSq3AJ5eI5OnqOPBNLWSHKh2a30DoXe8/edit?usp=sharing"",""ภูเก็ต!I397"")"),0.0)</f>
        <v>0</v>
      </c>
      <c r="J502" s="223">
        <f>IFERROR(__xludf.DUMMYFUNCTION("IMPORTRANGE(""https://docs.google.com/spreadsheets/d/1IYY_tgx_IHuhSq3AJ5eI5OnqOPBNLWSHKh2a30DoXe8/edit?usp=sharing"",""ภูเก็ต!J397"")"),0.0)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IFERROR(__xludf.DUMMYFUNCTION("IMPORTRANGE(""https://docs.google.com/spreadsheets/d/1IYY_tgx_IHuhSq3AJ5eI5OnqOPBNLWSHKh2a30DoXe8/edit?usp=sharing"",""ภูเก็ต!I398"")"),0.0)</f>
        <v>0</v>
      </c>
      <c r="J503" s="232">
        <f>IFERROR(__xludf.DUMMYFUNCTION("IMPORTRANGE(""https://docs.google.com/spreadsheets/d/1IYY_tgx_IHuhSq3AJ5eI5OnqOPBNLWSHKh2a30DoXe8/edit?usp=sharing"",""ภูเก็ต!J398"")"),0.0)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IFERROR(__xludf.DUMMYFUNCTION("IMPORTRANGE(""https://docs.google.com/spreadsheets/d/1IYY_tgx_IHuhSq3AJ5eI5OnqOPBNLWSHKh2a30DoXe8/edit?usp=sharing"",""ภูเก็ต!I399"")"),0.0)</f>
        <v>0</v>
      </c>
      <c r="J504" s="223">
        <f>IFERROR(__xludf.DUMMYFUNCTION("IMPORTRANGE(""https://docs.google.com/spreadsheets/d/1IYY_tgx_IHuhSq3AJ5eI5OnqOPBNLWSHKh2a30DoXe8/edit?usp=sharing"",""ภูเก็ต!J399"")"),0.0)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IFERROR(__xludf.DUMMYFUNCTION("IMPORTRANGE(""https://docs.google.com/spreadsheets/d/1IYY_tgx_IHuhSq3AJ5eI5OnqOPBNLWSHKh2a30DoXe8/edit?usp=sharing"",""ภูเก็ต!I400"")"),0.0)</f>
        <v>0</v>
      </c>
      <c r="J505" s="232">
        <f>IFERROR(__xludf.DUMMYFUNCTION("IMPORTRANGE(""https://docs.google.com/spreadsheets/d/1IYY_tgx_IHuhSq3AJ5eI5OnqOPBNLWSHKh2a30DoXe8/edit?usp=sharing"",""ภูเก็ต!J400"")"),0.0)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IFERROR(__xludf.DUMMYFUNCTION("IMPORTRANGE(""https://docs.google.com/spreadsheets/d/1IYY_tgx_IHuhSq3AJ5eI5OnqOPBNLWSHKh2a30DoXe8/edit?usp=sharing"",""ภูเก็ต!I401"")"),0.0)</f>
        <v>0</v>
      </c>
      <c r="J506" s="223">
        <f>IFERROR(__xludf.DUMMYFUNCTION("IMPORTRANGE(""https://docs.google.com/spreadsheets/d/1IYY_tgx_IHuhSq3AJ5eI5OnqOPBNLWSHKh2a30DoXe8/edit?usp=sharing"",""ภูเก็ต!J401"")"),0.0)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IFERROR(__xludf.DUMMYFUNCTION("IMPORTRANGE(""https://docs.google.com/spreadsheets/d/1IYY_tgx_IHuhSq3AJ5eI5OnqOPBNLWSHKh2a30DoXe8/edit?usp=sharing"",""ภูเก็ต!I402"")"),0.0)</f>
        <v>0</v>
      </c>
      <c r="J507" s="232">
        <f>IFERROR(__xludf.DUMMYFUNCTION("IMPORTRANGE(""https://docs.google.com/spreadsheets/d/1IYY_tgx_IHuhSq3AJ5eI5OnqOPBNLWSHKh2a30DoXe8/edit?usp=sharing"",""ภูเก็ต!J402"")"),0.0)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IFERROR(__xludf.DUMMYFUNCTION("IMPORTRANGE(""https://docs.google.com/spreadsheets/d/1IYY_tgx_IHuhSq3AJ5eI5OnqOPBNLWSHKh2a30DoXe8/edit?usp=sharing"",""ภูเก็ต!I403"")"),0.0)</f>
        <v>0</v>
      </c>
      <c r="J508" s="195">
        <f>IFERROR(__xludf.DUMMYFUNCTION("IMPORTRANGE(""https://docs.google.com/spreadsheets/d/1IYY_tgx_IHuhSq3AJ5eI5OnqOPBNLWSHKh2a30DoXe8/edit?usp=sharing"",""ภูเก็ต!J403"")"),0.0)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IFERROR(__xludf.DUMMYFUNCTION("IMPORTRANGE(""https://docs.google.com/spreadsheets/d/1IYY_tgx_IHuhSq3AJ5eI5OnqOPBNLWSHKh2a30DoXe8/edit?usp=sharing"",""ภูเก็ต!I404"")"),0.0)</f>
        <v>0</v>
      </c>
      <c r="J509" s="195">
        <f>IFERROR(__xludf.DUMMYFUNCTION("IMPORTRANGE(""https://docs.google.com/spreadsheets/d/1IYY_tgx_IHuhSq3AJ5eI5OnqOPBNLWSHKh2a30DoXe8/edit?usp=sharing"",""ภูเก็ต!J404"")"),0.0)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IFERROR(__xludf.DUMMYFUNCTION("IMPORTRANGE(""https://docs.google.com/spreadsheets/d/1IYY_tgx_IHuhSq3AJ5eI5OnqOPBNLWSHKh2a30DoXe8/edit?usp=sharing"",""ภูเก็ต!I405"")"),0.0)</f>
        <v>0</v>
      </c>
      <c r="J510" s="232">
        <f>IFERROR(__xludf.DUMMYFUNCTION("IMPORTRANGE(""https://docs.google.com/spreadsheets/d/1IYY_tgx_IHuhSq3AJ5eI5OnqOPBNLWSHKh2a30DoXe8/edit?usp=sharing"",""ภูเก็ต!J405"")"),0.0)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IFERROR(__xludf.DUMMYFUNCTION("IMPORTRANGE(""https://docs.google.com/spreadsheets/d/1IYY_tgx_IHuhSq3AJ5eI5OnqOPBNLWSHKh2a30DoXe8/edit?usp=sharing"",""ภูเก็ต!I406"")"),0.0)</f>
        <v>0</v>
      </c>
      <c r="J511" s="232">
        <f>IFERROR(__xludf.DUMMYFUNCTION("IMPORTRANGE(""https://docs.google.com/spreadsheets/d/1IYY_tgx_IHuhSq3AJ5eI5OnqOPBNLWSHKh2a30DoXe8/edit?usp=sharing"",""ภูเก็ต!J406"")"),0.0)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IFERROR(__xludf.DUMMYFUNCTION("IMPORTRANGE(""https://docs.google.com/spreadsheets/d/1IYY_tgx_IHuhSq3AJ5eI5OnqOPBNLWSHKh2a30DoXe8/edit?usp=sharing"",""ภูเก็ต!I407"")"),0.0)</f>
        <v>0</v>
      </c>
      <c r="J512" s="232">
        <f>IFERROR(__xludf.DUMMYFUNCTION("IMPORTRANGE(""https://docs.google.com/spreadsheets/d/1IYY_tgx_IHuhSq3AJ5eI5OnqOPBNLWSHKh2a30DoXe8/edit?usp=sharing"",""ภูเก็ต!J407"")"),0.0)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IFERROR(__xludf.DUMMYFUNCTION("IMPORTRANGE(""https://docs.google.com/spreadsheets/d/1IYY_tgx_IHuhSq3AJ5eI5OnqOPBNLWSHKh2a30DoXe8/edit?usp=sharing"",""ภูเก็ต!I408"")"),0.0)</f>
        <v>0</v>
      </c>
      <c r="J513" s="232">
        <f>IFERROR(__xludf.DUMMYFUNCTION("IMPORTRANGE(""https://docs.google.com/spreadsheets/d/1IYY_tgx_IHuhSq3AJ5eI5OnqOPBNLWSHKh2a30DoXe8/edit?usp=sharing"",""ภูเก็ต!J408"")"),0.0)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IFERROR(__xludf.DUMMYFUNCTION("IMPORTRANGE(""https://docs.google.com/spreadsheets/d/1IYY_tgx_IHuhSq3AJ5eI5OnqOPBNLWSHKh2a30DoXe8/edit?usp=sharing"",""ภูเก็ต!I409"")"),0.0)</f>
        <v>0</v>
      </c>
      <c r="J514" s="232">
        <f>IFERROR(__xludf.DUMMYFUNCTION("IMPORTRANGE(""https://docs.google.com/spreadsheets/d/1IYY_tgx_IHuhSq3AJ5eI5OnqOPBNLWSHKh2a30DoXe8/edit?usp=sharing"",""ภูเก็ต!J409"")"),0.0)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IFERROR(__xludf.DUMMYFUNCTION("IMPORTRANGE(""https://docs.google.com/spreadsheets/d/1IYY_tgx_IHuhSq3AJ5eI5OnqOPBNLWSHKh2a30DoXe8/edit?usp=sharing"",""ภูเก็ต!I410"")"),0.0)</f>
        <v>0</v>
      </c>
      <c r="J515" s="232">
        <f>IFERROR(__xludf.DUMMYFUNCTION("IMPORTRANGE(""https://docs.google.com/spreadsheets/d/1IYY_tgx_IHuhSq3AJ5eI5OnqOPBNLWSHKh2a30DoXe8/edit?usp=sharing"",""ภูเก็ต!J410"")"),0.0)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IFERROR(__xludf.DUMMYFUNCTION("IMPORTRANGE(""https://docs.google.com/spreadsheets/d/1IYY_tgx_IHuhSq3AJ5eI5OnqOPBNLWSHKh2a30DoXe8/edit?usp=sharing"",""ภูเก็ต!I411"")"),0.0)</f>
        <v>0</v>
      </c>
      <c r="J516" s="301">
        <f>IFERROR(__xludf.DUMMYFUNCTION("IMPORTRANGE(""https://docs.google.com/spreadsheets/d/1IYY_tgx_IHuhSq3AJ5eI5OnqOPBNLWSHKh2a30DoXe8/edit?usp=sharing"",""ภูเก็ต!J411"")"),0.0)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IFERROR(__xludf.DUMMYFUNCTION("IMPORTRANGE(""https://docs.google.com/spreadsheets/d/1IYY_tgx_IHuhSq3AJ5eI5OnqOPBNLWSHKh2a30DoXe8/edit?usp=sharing"",""ภูเก็ต!I412"")"),0.0)</f>
        <v>0</v>
      </c>
      <c r="J517" s="317">
        <f>IFERROR(__xludf.DUMMYFUNCTION("IMPORTRANGE(""https://docs.google.com/spreadsheets/d/1IYY_tgx_IHuhSq3AJ5eI5OnqOPBNLWSHKh2a30DoXe8/edit?usp=sharing"",""ภูเก็ต!J412"")"),0.0)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IFERROR(__xludf.DUMMYFUNCTION("IMPORTRANGE(""https://docs.google.com/spreadsheets/d/1IYY_tgx_IHuhSq3AJ5eI5OnqOPBNLWSHKh2a30DoXe8/edit?usp=sharing"",""ภูเก็ต!I413"")"),0.0)</f>
        <v>0</v>
      </c>
      <c r="J518" s="317">
        <f>IFERROR(__xludf.DUMMYFUNCTION("IMPORTRANGE(""https://docs.google.com/spreadsheets/d/1IYY_tgx_IHuhSq3AJ5eI5OnqOPBNLWSHKh2a30DoXe8/edit?usp=sharing"",""ภูเก็ต!J413"")"),0.0)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IFERROR(__xludf.DUMMYFUNCTION("IMPORTRANGE(""https://docs.google.com/spreadsheets/d/1IYY_tgx_IHuhSq3AJ5eI5OnqOPBNLWSHKh2a30DoXe8/edit?usp=sharing"",""ภูเก็ต!I414"")"),0.0)</f>
        <v>0</v>
      </c>
      <c r="J519" s="222">
        <f>IFERROR(__xludf.DUMMYFUNCTION("IMPORTRANGE(""https://docs.google.com/spreadsheets/d/1IYY_tgx_IHuhSq3AJ5eI5OnqOPBNLWSHKh2a30DoXe8/edit?usp=sharing"",""ภูเก็ต!J414"")"),0.0)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IFERROR(__xludf.DUMMYFUNCTION("IMPORTRANGE(""https://docs.google.com/spreadsheets/d/1IYY_tgx_IHuhSq3AJ5eI5OnqOPBNLWSHKh2a30DoXe8/edit?usp=sharing"",""ภูเก็ต!I415"")"),0.0)</f>
        <v>0</v>
      </c>
      <c r="J520" s="222">
        <f>IFERROR(__xludf.DUMMYFUNCTION("IMPORTRANGE(""https://docs.google.com/spreadsheets/d/1IYY_tgx_IHuhSq3AJ5eI5OnqOPBNLWSHKh2a30DoXe8/edit?usp=sharing"",""ภูเก็ต!J415"")"),0.0)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IFERROR(__xludf.DUMMYFUNCTION("IMPORTRANGE(""https://docs.google.com/spreadsheets/d/1IYY_tgx_IHuhSq3AJ5eI5OnqOPBNLWSHKh2a30DoXe8/edit?usp=sharing"",""ภูเก็ต!I416"")"),0.0)</f>
        <v>0</v>
      </c>
      <c r="J521" s="222">
        <f>IFERROR(__xludf.DUMMYFUNCTION("IMPORTRANGE(""https://docs.google.com/spreadsheets/d/1IYY_tgx_IHuhSq3AJ5eI5OnqOPBNLWSHKh2a30DoXe8/edit?usp=sharing"",""ภูเก็ต!J416"")"),0.0)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IFERROR(__xludf.DUMMYFUNCTION("IMPORTRANGE(""https://docs.google.com/spreadsheets/d/1IYY_tgx_IHuhSq3AJ5eI5OnqOPBNLWSHKh2a30DoXe8/edit?usp=sharing"",""ภูเก็ต!I417"")"),0.0)</f>
        <v>0</v>
      </c>
      <c r="J522" s="222">
        <f>IFERROR(__xludf.DUMMYFUNCTION("IMPORTRANGE(""https://docs.google.com/spreadsheets/d/1IYY_tgx_IHuhSq3AJ5eI5OnqOPBNLWSHKh2a30DoXe8/edit?usp=sharing"",""ภูเก็ต!J417"")"),0.0)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IFERROR(__xludf.DUMMYFUNCTION("IMPORTRANGE(""https://docs.google.com/spreadsheets/d/1IYY_tgx_IHuhSq3AJ5eI5OnqOPBNLWSHKh2a30DoXe8/edit?usp=sharing"",""ภูเก็ต!I418"")"),0.0)</f>
        <v>0</v>
      </c>
      <c r="J523" s="222">
        <f>IFERROR(__xludf.DUMMYFUNCTION("IMPORTRANGE(""https://docs.google.com/spreadsheets/d/1IYY_tgx_IHuhSq3AJ5eI5OnqOPBNLWSHKh2a30DoXe8/edit?usp=sharing"",""ภูเก็ต!J418"")"),0.0)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IFERROR(__xludf.DUMMYFUNCTION("IMPORTRANGE(""https://docs.google.com/spreadsheets/d/1IYY_tgx_IHuhSq3AJ5eI5OnqOPBNLWSHKh2a30DoXe8/edit?usp=sharing"",""ภูเก็ต!I419"")"),0.0)</f>
        <v>0</v>
      </c>
      <c r="J524" s="222">
        <f>IFERROR(__xludf.DUMMYFUNCTION("IMPORTRANGE(""https://docs.google.com/spreadsheets/d/1IYY_tgx_IHuhSq3AJ5eI5OnqOPBNLWSHKh2a30DoXe8/edit?usp=sharing"",""ภูเก็ต!J419"")"),0.0)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IFERROR(__xludf.DUMMYFUNCTION("IMPORTRANGE(""https://docs.google.com/spreadsheets/d/1IYY_tgx_IHuhSq3AJ5eI5OnqOPBNLWSHKh2a30DoXe8/edit?usp=sharing"",""ภูเก็ต!I420"")"),0.0)</f>
        <v>0</v>
      </c>
      <c r="J525" s="317">
        <f>IFERROR(__xludf.DUMMYFUNCTION("IMPORTRANGE(""https://docs.google.com/spreadsheets/d/1IYY_tgx_IHuhSq3AJ5eI5OnqOPBNLWSHKh2a30DoXe8/edit?usp=sharing"",""ภูเก็ต!J420"")"),0.0)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IFERROR(__xludf.DUMMYFUNCTION("IMPORTRANGE(""https://docs.google.com/spreadsheets/d/1IYY_tgx_IHuhSq3AJ5eI5OnqOPBNLWSHKh2a30DoXe8/edit?usp=sharing"",""ภูเก็ต!I421"")"),0.0)</f>
        <v>0</v>
      </c>
      <c r="J526" s="317">
        <f>IFERROR(__xludf.DUMMYFUNCTION("IMPORTRANGE(""https://docs.google.com/spreadsheets/d/1IYY_tgx_IHuhSq3AJ5eI5OnqOPBNLWSHKh2a30DoXe8/edit?usp=sharing"",""ภูเก็ต!J421"")"),0.0)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IFERROR(__xludf.DUMMYFUNCTION("IMPORTRANGE(""https://docs.google.com/spreadsheets/d/1IYY_tgx_IHuhSq3AJ5eI5OnqOPBNLWSHKh2a30DoXe8/edit?usp=sharing"",""ภูเก็ต!I422"")"),0.0)</f>
        <v>0</v>
      </c>
      <c r="J527" s="232">
        <f>IFERROR(__xludf.DUMMYFUNCTION("IMPORTRANGE(""https://docs.google.com/spreadsheets/d/1IYY_tgx_IHuhSq3AJ5eI5OnqOPBNLWSHKh2a30DoXe8/edit?usp=sharing"",""ภูเก็ต!J422"")"),0.0)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IFERROR(__xludf.DUMMYFUNCTION("IMPORTRANGE(""https://docs.google.com/spreadsheets/d/1IYY_tgx_IHuhSq3AJ5eI5OnqOPBNLWSHKh2a30DoXe8/edit?usp=sharing"",""ภูเก็ต!I423"")"),0.0)</f>
        <v>0</v>
      </c>
      <c r="J528" s="232">
        <f>IFERROR(__xludf.DUMMYFUNCTION("IMPORTRANGE(""https://docs.google.com/spreadsheets/d/1IYY_tgx_IHuhSq3AJ5eI5OnqOPBNLWSHKh2a30DoXe8/edit?usp=sharing"",""ภูเก็ต!J423"")"),0.0)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IFERROR(__xludf.DUMMYFUNCTION("IMPORTRANGE(""https://docs.google.com/spreadsheets/d/1IYY_tgx_IHuhSq3AJ5eI5OnqOPBNLWSHKh2a30DoXe8/edit?usp=sharing"",""ภูเก็ต!I424"")"),0.0)</f>
        <v>0</v>
      </c>
      <c r="J529" s="232">
        <f>IFERROR(__xludf.DUMMYFUNCTION("IMPORTRANGE(""https://docs.google.com/spreadsheets/d/1IYY_tgx_IHuhSq3AJ5eI5OnqOPBNLWSHKh2a30DoXe8/edit?usp=sharing"",""ภูเก็ต!J424"")"),0.0)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IFERROR(__xludf.DUMMYFUNCTION("IMPORTRANGE(""https://docs.google.com/spreadsheets/d/1IYY_tgx_IHuhSq3AJ5eI5OnqOPBNLWSHKh2a30DoXe8/edit?usp=sharing"",""ภูเก็ต!I425"")"),0.0)</f>
        <v>0</v>
      </c>
      <c r="J530" s="232">
        <f>IFERROR(__xludf.DUMMYFUNCTION("IMPORTRANGE(""https://docs.google.com/spreadsheets/d/1IYY_tgx_IHuhSq3AJ5eI5OnqOPBNLWSHKh2a30DoXe8/edit?usp=sharing"",""ภูเก็ต!J425"")"),0.0)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IFERROR(__xludf.DUMMYFUNCTION("IMPORTRANGE(""https://docs.google.com/spreadsheets/d/1IYY_tgx_IHuhSq3AJ5eI5OnqOPBNLWSHKh2a30DoXe8/edit?usp=sharing"",""ภูเก็ต!I426"")"),0.0)</f>
        <v>0</v>
      </c>
      <c r="J531" s="232">
        <f>IFERROR(__xludf.DUMMYFUNCTION("IMPORTRANGE(""https://docs.google.com/spreadsheets/d/1IYY_tgx_IHuhSq3AJ5eI5OnqOPBNLWSHKh2a30DoXe8/edit?usp=sharing"",""ภูเก็ต!J426"")"),0.0)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IFERROR(__xludf.DUMMYFUNCTION("IMPORTRANGE(""https://docs.google.com/spreadsheets/d/1IYY_tgx_IHuhSq3AJ5eI5OnqOPBNLWSHKh2a30DoXe8/edit?usp=sharing"",""ภูเก็ต!I427"")"),0.0)</f>
        <v>0</v>
      </c>
      <c r="J532" s="499">
        <f>IFERROR(__xludf.DUMMYFUNCTION("IMPORTRANGE(""https://docs.google.com/spreadsheets/d/1IYY_tgx_IHuhSq3AJ5eI5OnqOPBNLWSHKh2a30DoXe8/edit?usp=sharing"",""ภูเก็ต!J427"")"),0.0)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IFERROR(__xludf.DUMMYFUNCTION("IMPORTRANGE(""https://docs.google.com/spreadsheets/d/1IYY_tgx_IHuhSq3AJ5eI5OnqOPBNLWSHKh2a30DoXe8/edit?usp=sharing"",""ภูเก็ต!I428"")"),13.0)</f>
        <v>13</v>
      </c>
      <c r="J533" s="443">
        <f>IFERROR(__xludf.DUMMYFUNCTION("IMPORTRANGE(""https://docs.google.com/spreadsheets/d/1IYY_tgx_IHuhSq3AJ5eI5OnqOPBNLWSHKh2a30DoXe8/edit?usp=sharing"",""ภูเก็ต!J428"")"),0.0)</f>
        <v>0</v>
      </c>
      <c r="K533" s="444">
        <f>IF(I533&gt;0,J533*100/I533,0)</f>
        <v>0</v>
      </c>
      <c r="L533" s="445">
        <f>IFERROR(__xludf.DUMMYFUNCTION("IMPORTRANGE(""https://docs.google.com/spreadsheets/d/1IYY_tgx_IHuhSq3AJ5eI5OnqOPBNLWSHKh2a30DoXe8/edit?usp=sharing"",""ภูเก็ต!L428"")"),26700.0)</f>
        <v>26700</v>
      </c>
      <c r="M533" s="445"/>
      <c r="N533" s="445">
        <f>IFERROR(__xludf.DUMMYFUNCTION("IMPORTRANGE(""https://docs.google.com/spreadsheets/d/1IYY_tgx_IHuhSq3AJ5eI5OnqOPBNLWSHKh2a30DoXe8/edit?usp=sharing"",""ภูเก็ต!M428"")"),0.0)</f>
        <v>0</v>
      </c>
      <c r="O533" s="445">
        <f t="shared" ref="O533:O537" si="119">+IF(L533&gt;0,N533*100/L533,0)</f>
        <v>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IFERROR(__xludf.DUMMYFUNCTION("IMPORTRANGE(""https://docs.google.com/spreadsheets/d/1IYY_tgx_IHuhSq3AJ5eI5OnqOPBNLWSHKh2a30DoXe8/edit?usp=sharing"",""ภูเก็ต!L429"")"),0.0)</f>
        <v>0</v>
      </c>
      <c r="M534" s="197"/>
      <c r="N534" s="203">
        <f>IFERROR(__xludf.DUMMYFUNCTION("IMPORTRANGE(""https://docs.google.com/spreadsheets/d/1IYY_tgx_IHuhSq3AJ5eI5OnqOPBNLWSHKh2a30DoXe8/edit?usp=sharing"",""ภูเก็ต!M429"")"),0.0)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IFERROR(__xludf.DUMMYFUNCTION("IMPORTRANGE(""https://docs.google.com/spreadsheets/d/1IYY_tgx_IHuhSq3AJ5eI5OnqOPBNLWSHKh2a30DoXe8/edit?usp=sharing"",""ภูเก็ต!L430"")"),26700.0)</f>
        <v>26700</v>
      </c>
      <c r="M535" s="198"/>
      <c r="N535" s="203">
        <f>IFERROR(__xludf.DUMMYFUNCTION("IMPORTRANGE(""https://docs.google.com/spreadsheets/d/1IYY_tgx_IHuhSq3AJ5eI5OnqOPBNLWSHKh2a30DoXe8/edit?usp=sharing"",""ภูเก็ต!M430"")"),0.0)</f>
        <v>0</v>
      </c>
      <c r="O535" s="203">
        <f t="shared" si="119"/>
        <v>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IFERROR(__xludf.DUMMYFUNCTION("IMPORTRANGE(""https://docs.google.com/spreadsheets/d/1IYY_tgx_IHuhSq3AJ5eI5OnqOPBNLWSHKh2a30DoXe8/edit?usp=sharing"",""ภูเก็ต!L431"")"),0.0)</f>
        <v>0</v>
      </c>
      <c r="M536" s="203"/>
      <c r="N536" s="203">
        <f>IFERROR(__xludf.DUMMYFUNCTION("IMPORTRANGE(""https://docs.google.com/spreadsheets/d/1IYY_tgx_IHuhSq3AJ5eI5OnqOPBNLWSHKh2a30DoXe8/edit?usp=sharing"",""ภูเก็ต!M431"")"),0.0)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IFERROR(__xludf.DUMMYFUNCTION("IMPORTRANGE(""https://docs.google.com/spreadsheets/d/1IYY_tgx_IHuhSq3AJ5eI5OnqOPBNLWSHKh2a30DoXe8/edit?usp=sharing"",""ภูเก็ต!L432"")"),26700.0)</f>
        <v>26700</v>
      </c>
      <c r="M537" s="203"/>
      <c r="N537" s="203">
        <f>IFERROR(__xludf.DUMMYFUNCTION("IMPORTRANGE(""https://docs.google.com/spreadsheets/d/1IYY_tgx_IHuhSq3AJ5eI5OnqOPBNLWSHKh2a30DoXe8/edit?usp=sharing"",""ภูเก็ต!M432"")"),0.0)</f>
        <v>0</v>
      </c>
      <c r="O537" s="203">
        <f t="shared" si="119"/>
        <v>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IFERROR(__xludf.DUMMYFUNCTION("IMPORTRANGE(""https://docs.google.com/spreadsheets/d/1IYY_tgx_IHuhSq3AJ5eI5OnqOPBNLWSHKh2a30DoXe8/edit?usp=sharing"",""ภูเก็ต!M433"")"),0.0)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IFERROR(__xludf.DUMMYFUNCTION("IMPORTRANGE(""https://docs.google.com/spreadsheets/d/1IYY_tgx_IHuhSq3AJ5eI5OnqOPBNLWSHKh2a30DoXe8/edit?usp=sharing"",""ภูเก็ต!M434"")"),0.0)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IFERROR(__xludf.DUMMYFUNCTION("IMPORTRANGE(""https://docs.google.com/spreadsheets/d/1IYY_tgx_IHuhSq3AJ5eI5OnqOPBNLWSHKh2a30DoXe8/edit?usp=sharing"",""ภูเก็ต!M435"")"),0.0)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IFERROR(__xludf.DUMMYFUNCTION("IMPORTRANGE(""https://docs.google.com/spreadsheets/d/1IYY_tgx_IHuhSq3AJ5eI5OnqOPBNLWSHKh2a30DoXe8/edit?usp=sharing"",""ภูเก็ต!M436"")"),0.0)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IFERROR(__xludf.DUMMYFUNCTION("IMPORTRANGE(""https://docs.google.com/spreadsheets/d/1IYY_tgx_IHuhSq3AJ5eI5OnqOPBNLWSHKh2a30DoXe8/edit?usp=sharing"",""ภูเก็ต!J438"")"),0.0)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IFERROR(__xludf.DUMMYFUNCTION("IMPORTRANGE(""https://docs.google.com/spreadsheets/d/1IYY_tgx_IHuhSq3AJ5eI5OnqOPBNLWSHKh2a30DoXe8/edit?usp=sharing"",""ภูเก็ต!J439"")"),1.0)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IFERROR(__xludf.DUMMYFUNCTION("IMPORTRANGE(""https://docs.google.com/spreadsheets/d/1IYY_tgx_IHuhSq3AJ5eI5OnqOPBNLWSHKh2a30DoXe8/edit?usp=sharing"",""ภูเก็ต!J440"")"),1.0)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IFERROR(__xludf.DUMMYFUNCTION("IMPORTRANGE(""https://docs.google.com/spreadsheets/d/1IYY_tgx_IHuhSq3AJ5eI5OnqOPBNLWSHKh2a30DoXe8/edit?usp=sharing"",""ภูเก็ต!J441"")"),1.0)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IFERROR(__xludf.DUMMYFUNCTION("IMPORTRANGE(""https://docs.google.com/spreadsheets/d/1IYY_tgx_IHuhSq3AJ5eI5OnqOPBNLWSHKh2a30DoXe8/edit?usp=sharing"",""ภูเก็ต!I442"")"),13.0)</f>
        <v>13</v>
      </c>
      <c r="J547" s="223">
        <f>IFERROR(__xludf.DUMMYFUNCTION("IMPORTRANGE(""https://docs.google.com/spreadsheets/d/1IYY_tgx_IHuhSq3AJ5eI5OnqOPBNLWSHKh2a30DoXe8/edit?usp=sharing"",""ภูเก็ต!J442"")"),0.0)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IFERROR(__xludf.DUMMYFUNCTION("IMPORTRANGE(""https://docs.google.com/spreadsheets/d/1IYY_tgx_IHuhSq3AJ5eI5OnqOPBNLWSHKh2a30DoXe8/edit?usp=sharing"",""ภูเก็ต!J166"")"),0.0)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IFERROR(__xludf.DUMMYFUNCTION("IMPORTRANGE(""https://docs.google.com/spreadsheets/d/1IYY_tgx_IHuhSq3AJ5eI5OnqOPBNLWSHKh2a30DoXe8/edit?usp=sharing"",""ภูเก็ต!J444"")"),0.0)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IFERROR(__xludf.DUMMYFUNCTION("IMPORTRANGE(""https://docs.google.com/spreadsheets/d/1IYY_tgx_IHuhSq3AJ5eI5OnqOPBNLWSHKh2a30DoXe8/edit?usp=sharing"",""ภูเก็ต!J445"")"),0.0)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IFERROR(__xludf.DUMMYFUNCTION("IMPORTRANGE(""https://docs.google.com/spreadsheets/d/1IYY_tgx_IHuhSq3AJ5eI5OnqOPBNLWSHKh2a30DoXe8/edit?usp=sharing"",""ภูเก็ต!I446"")"),0.0)</f>
        <v>0</v>
      </c>
      <c r="J551" s="443">
        <f>IFERROR(__xludf.DUMMYFUNCTION("IMPORTRANGE(""https://docs.google.com/spreadsheets/d/1IYY_tgx_IHuhSq3AJ5eI5OnqOPBNLWSHKh2a30DoXe8/edit?usp=sharing"",""ภูเก็ต!J446"")"),0.0)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IFERROR(__xludf.DUMMYFUNCTION("IMPORTRANGE(""https://docs.google.com/spreadsheets/d/1IYY_tgx_IHuhSq3AJ5eI5OnqOPBNLWSHKh2a30DoXe8/edit?usp=sharing"",""ภูเก็ต!L446"")"),0.0)</f>
        <v>0</v>
      </c>
      <c r="M551" s="445"/>
      <c r="N551" s="445">
        <f>IFERROR(__xludf.DUMMYFUNCTION("IMPORTRANGE(""https://docs.google.com/spreadsheets/d/1IYY_tgx_IHuhSq3AJ5eI5OnqOPBNLWSHKh2a30DoXe8/edit?usp=sharing"",""ภูเก็ต!M446"")"),0.0)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IFERROR(__xludf.DUMMYFUNCTION("IMPORTRANGE(""https://docs.google.com/spreadsheets/d/1IYY_tgx_IHuhSq3AJ5eI5OnqOPBNLWSHKh2a30DoXe8/edit?usp=sharing"",""ภูเก็ต!L447"")"),0.0)</f>
        <v>0</v>
      </c>
      <c r="M552" s="197"/>
      <c r="N552" s="203">
        <f>IFERROR(__xludf.DUMMYFUNCTION("IMPORTRANGE(""https://docs.google.com/spreadsheets/d/1IYY_tgx_IHuhSq3AJ5eI5OnqOPBNLWSHKh2a30DoXe8/edit?usp=sharing"",""ภูเก็ต!M447"")"),0.0)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IFERROR(__xludf.DUMMYFUNCTION("IMPORTRANGE(""https://docs.google.com/spreadsheets/d/1IYY_tgx_IHuhSq3AJ5eI5OnqOPBNLWSHKh2a30DoXe8/edit?usp=sharing"",""ภูเก็ต!L448"")"),0.0)</f>
        <v>0</v>
      </c>
      <c r="M553" s="198"/>
      <c r="N553" s="203">
        <f>IFERROR(__xludf.DUMMYFUNCTION("IMPORTRANGE(""https://docs.google.com/spreadsheets/d/1IYY_tgx_IHuhSq3AJ5eI5OnqOPBNLWSHKh2a30DoXe8/edit?usp=sharing"",""ภูเก็ต!M448"")"),0.0)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IFERROR(__xludf.DUMMYFUNCTION("IMPORTRANGE(""https://docs.google.com/spreadsheets/d/1IYY_tgx_IHuhSq3AJ5eI5OnqOPBNLWSHKh2a30DoXe8/edit?usp=sharing"",""ภูเก็ต!L449"")"),0.0)</f>
        <v>0</v>
      </c>
      <c r="M554" s="203"/>
      <c r="N554" s="203">
        <f>IFERROR(__xludf.DUMMYFUNCTION("IMPORTRANGE(""https://docs.google.com/spreadsheets/d/1IYY_tgx_IHuhSq3AJ5eI5OnqOPBNLWSHKh2a30DoXe8/edit?usp=sharing"",""ภูเก็ต!M449"")"),0.0)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IFERROR(__xludf.DUMMYFUNCTION("IMPORTRANGE(""https://docs.google.com/spreadsheets/d/1IYY_tgx_IHuhSq3AJ5eI5OnqOPBNLWSHKh2a30DoXe8/edit?usp=sharing"",""ภูเก็ต!L450"")"),0.0)</f>
        <v>0</v>
      </c>
      <c r="M555" s="203"/>
      <c r="N555" s="203">
        <f>IFERROR(__xludf.DUMMYFUNCTION("IMPORTRANGE(""https://docs.google.com/spreadsheets/d/1IYY_tgx_IHuhSq3AJ5eI5OnqOPBNLWSHKh2a30DoXe8/edit?usp=sharing"",""ภูเก็ต!M450"")"),0.0)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IFERROR(__xludf.DUMMYFUNCTION("IMPORTRANGE(""https://docs.google.com/spreadsheets/d/1IYY_tgx_IHuhSq3AJ5eI5OnqOPBNLWSHKh2a30DoXe8/edit?usp=sharing"",""ภูเก็ต!M451"")"),0.0)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IFERROR(__xludf.DUMMYFUNCTION("IMPORTRANGE(""https://docs.google.com/spreadsheets/d/1IYY_tgx_IHuhSq3AJ5eI5OnqOPBNLWSHKh2a30DoXe8/edit?usp=sharing"",""ภูเก็ต!M452"")"),0.0)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IFERROR(__xludf.DUMMYFUNCTION("IMPORTRANGE(""https://docs.google.com/spreadsheets/d/1IYY_tgx_IHuhSq3AJ5eI5OnqOPBNLWSHKh2a30DoXe8/edit?usp=sharing"",""ภูเก็ต!M453"")"),0.0)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IFERROR(__xludf.DUMMYFUNCTION("IMPORTRANGE(""https://docs.google.com/spreadsheets/d/1IYY_tgx_IHuhSq3AJ5eI5OnqOPBNLWSHKh2a30DoXe8/edit?usp=sharing"",""ภูเก็ต!M454"")"),0.0)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IFERROR(__xludf.DUMMYFUNCTION("IMPORTRANGE(""https://docs.google.com/spreadsheets/d/1IYY_tgx_IHuhSq3AJ5eI5OnqOPBNLWSHKh2a30DoXe8/edit?usp=sharing"",""ภูเก็ต!I455"")"),0.0)</f>
        <v>0</v>
      </c>
      <c r="J560" s="195">
        <f>IFERROR(__xludf.DUMMYFUNCTION("IMPORTRANGE(""https://docs.google.com/spreadsheets/d/1IYY_tgx_IHuhSq3AJ5eI5OnqOPBNLWSHKh2a30DoXe8/edit?usp=sharing"",""ภูเก็ต!J455"")"),0.0)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IFERROR(__xludf.DUMMYFUNCTION("IMPORTRANGE(""https://docs.google.com/spreadsheets/d/1IYY_tgx_IHuhSq3AJ5eI5OnqOPBNLWSHKh2a30DoXe8/edit?usp=sharing"",""ภูเก็ต!I456"")"),0.0)</f>
        <v>0</v>
      </c>
      <c r="J561" s="238">
        <f>IFERROR(__xludf.DUMMYFUNCTION("IMPORTRANGE(""https://docs.google.com/spreadsheets/d/1IYY_tgx_IHuhSq3AJ5eI5OnqOPBNLWSHKh2a30DoXe8/edit?usp=sharing"",""ภูเก็ต!J456"")"),0.0)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IFERROR(__xludf.DUMMYFUNCTION("IMPORTRANGE(""https://docs.google.com/spreadsheets/d/1IYY_tgx_IHuhSq3AJ5eI5OnqOPBNLWSHKh2a30DoXe8/edit?usp=sharing"",""ภูเก็ต!I457"")"),"")</f>
        <v/>
      </c>
      <c r="J562" s="238" t="str">
        <f>IFERROR(__xludf.DUMMYFUNCTION("IMPORTRANGE(""https://docs.google.com/spreadsheets/d/1IYY_tgx_IHuhSq3AJ5eI5OnqOPBNLWSHKh2a30DoXe8/edit?usp=sharing"",""ภูเก็ต!J457"")"),"")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IFERROR(__xludf.DUMMYFUNCTION("IMPORTRANGE(""https://docs.google.com/spreadsheets/d/1IYY_tgx_IHuhSq3AJ5eI5OnqOPBNLWSHKh2a30DoXe8/edit?usp=sharing"",""ภูเก็ต!I458"")"),"")</f>
        <v/>
      </c>
      <c r="J563" s="222" t="str">
        <f>IFERROR(__xludf.DUMMYFUNCTION("IMPORTRANGE(""https://docs.google.com/spreadsheets/d/1IYY_tgx_IHuhSq3AJ5eI5OnqOPBNLWSHKh2a30DoXe8/edit?usp=sharing"",""ภูเก็ต!J458"")"),"")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IFERROR(__xludf.DUMMYFUNCTION("IMPORTRANGE(""https://docs.google.com/spreadsheets/d/1IYY_tgx_IHuhSq3AJ5eI5OnqOPBNLWSHKh2a30DoXe8/edit?usp=sharing"",""ภูเก็ต!I459"")"),50.0)</f>
        <v>50</v>
      </c>
      <c r="J564" s="404">
        <f>IFERROR(__xludf.DUMMYFUNCTION("IMPORTRANGE(""https://docs.google.com/spreadsheets/d/1IYY_tgx_IHuhSq3AJ5eI5OnqOPBNLWSHKh2a30DoXe8/edit?usp=sharing"",""ภูเก็ต!J459"")"),0.0)</f>
        <v>0</v>
      </c>
      <c r="K564" s="405">
        <f t="shared" si="122"/>
        <v>0</v>
      </c>
      <c r="L564" s="406">
        <f>IFERROR(__xludf.DUMMYFUNCTION("IMPORTRANGE(""https://docs.google.com/spreadsheets/d/1IYY_tgx_IHuhSq3AJ5eI5OnqOPBNLWSHKh2a30DoXe8/edit?usp=sharing"",""ภูเก็ต!L459"")"),119920.0)</f>
        <v>119920</v>
      </c>
      <c r="M564" s="406"/>
      <c r="N564" s="406">
        <f>IFERROR(__xludf.DUMMYFUNCTION("IMPORTRANGE(""https://docs.google.com/spreadsheets/d/1IYY_tgx_IHuhSq3AJ5eI5OnqOPBNLWSHKh2a30DoXe8/edit?usp=sharing"",""ภูเก็ต!M459"")"),7700.0)</f>
        <v>7700</v>
      </c>
      <c r="O564" s="406">
        <f t="shared" ref="O564:O568" si="123">+IF(L564&gt;0,N564*100/L564,0)</f>
        <v>6.420947298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IFERROR(__xludf.DUMMYFUNCTION("IMPORTRANGE(""https://docs.google.com/spreadsheets/d/1IYY_tgx_IHuhSq3AJ5eI5OnqOPBNLWSHKh2a30DoXe8/edit?usp=sharing"",""ภูเก็ต!L460"")"),0.0)</f>
        <v>0</v>
      </c>
      <c r="M565" s="197"/>
      <c r="N565" s="203">
        <f>IFERROR(__xludf.DUMMYFUNCTION("IMPORTRANGE(""https://docs.google.com/spreadsheets/d/1IYY_tgx_IHuhSq3AJ5eI5OnqOPBNLWSHKh2a30DoXe8/edit?usp=sharing"",""ภูเก็ต!M460"")"),0.0)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IFERROR(__xludf.DUMMYFUNCTION("IMPORTRANGE(""https://docs.google.com/spreadsheets/d/1IYY_tgx_IHuhSq3AJ5eI5OnqOPBNLWSHKh2a30DoXe8/edit?usp=sharing"",""ภูเก็ต!L461"")"),119920.0)</f>
        <v>119920</v>
      </c>
      <c r="M566" s="198"/>
      <c r="N566" s="203">
        <f>IFERROR(__xludf.DUMMYFUNCTION("IMPORTRANGE(""https://docs.google.com/spreadsheets/d/1IYY_tgx_IHuhSq3AJ5eI5OnqOPBNLWSHKh2a30DoXe8/edit?usp=sharing"",""ภูเก็ต!M461"")"),7700.0)</f>
        <v>7700</v>
      </c>
      <c r="O566" s="203">
        <f t="shared" si="123"/>
        <v>6.420947298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IFERROR(__xludf.DUMMYFUNCTION("IMPORTRANGE(""https://docs.google.com/spreadsheets/d/1IYY_tgx_IHuhSq3AJ5eI5OnqOPBNLWSHKh2a30DoXe8/edit?usp=sharing"",""ภูเก็ต!L462"")"),0.0)</f>
        <v>0</v>
      </c>
      <c r="M567" s="203"/>
      <c r="N567" s="203">
        <f>IFERROR(__xludf.DUMMYFUNCTION("IMPORTRANGE(""https://docs.google.com/spreadsheets/d/1IYY_tgx_IHuhSq3AJ5eI5OnqOPBNLWSHKh2a30DoXe8/edit?usp=sharing"",""ภูเก็ต!M462"")"),0.0)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IFERROR(__xludf.DUMMYFUNCTION("IMPORTRANGE(""https://docs.google.com/spreadsheets/d/1IYY_tgx_IHuhSq3AJ5eI5OnqOPBNLWSHKh2a30DoXe8/edit?usp=sharing"",""ภูเก็ต!L463"")"),119920.0)</f>
        <v>119920</v>
      </c>
      <c r="M568" s="203"/>
      <c r="N568" s="203">
        <f>IFERROR(__xludf.DUMMYFUNCTION("IMPORTRANGE(""https://docs.google.com/spreadsheets/d/1IYY_tgx_IHuhSq3AJ5eI5OnqOPBNLWSHKh2a30DoXe8/edit?usp=sharing"",""ภูเก็ต!M463"")"),7700.0)</f>
        <v>7700</v>
      </c>
      <c r="O568" s="203">
        <f t="shared" si="123"/>
        <v>6.420947298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IFERROR(__xludf.DUMMYFUNCTION("IMPORTRANGE(""https://docs.google.com/spreadsheets/d/1IYY_tgx_IHuhSq3AJ5eI5OnqOPBNLWSHKh2a30DoXe8/edit?usp=sharing"",""ภูเก็ต!M464"")"),0.0)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IFERROR(__xludf.DUMMYFUNCTION("IMPORTRANGE(""https://docs.google.com/spreadsheets/d/1IYY_tgx_IHuhSq3AJ5eI5OnqOPBNLWSHKh2a30DoXe8/edit?usp=sharing"",""ภูเก็ต!M465"")"),0.0)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IFERROR(__xludf.DUMMYFUNCTION("IMPORTRANGE(""https://docs.google.com/spreadsheets/d/1IYY_tgx_IHuhSq3AJ5eI5OnqOPBNLWSHKh2a30DoXe8/edit?usp=sharing"",""ภูเก็ต!M466"")"),7700.0)</f>
        <v>7700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IFERROR(__xludf.DUMMYFUNCTION("IMPORTRANGE(""https://docs.google.com/spreadsheets/d/1IYY_tgx_IHuhSq3AJ5eI5OnqOPBNLWSHKh2a30DoXe8/edit?usp=sharing"",""ภูเก็ต!M467"")"),0.0)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IFERROR(__xludf.DUMMYFUNCTION("IMPORTRANGE(""https://docs.google.com/spreadsheets/d/1IYY_tgx_IHuhSq3AJ5eI5OnqOPBNLWSHKh2a30DoXe8/edit?usp=sharing"",""ภูเก็ต!I468"")"),50.0)</f>
        <v>50</v>
      </c>
      <c r="J573" s="453">
        <f>IFERROR(__xludf.DUMMYFUNCTION("IMPORTRANGE(""https://docs.google.com/spreadsheets/d/1IYY_tgx_IHuhSq3AJ5eI5OnqOPBNLWSHKh2a30DoXe8/edit?usp=sharing"",""ภูเก็ต!J468"")"),0.0)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IFERROR(__xludf.DUMMYFUNCTION("IMPORTRANGE(""https://docs.google.com/spreadsheets/d/1IYY_tgx_IHuhSq3AJ5eI5OnqOPBNLWSHKh2a30DoXe8/edit?usp=sharing"",""ภูเก็ต!I470"")"),0.0)</f>
        <v>0</v>
      </c>
      <c r="J575" s="232">
        <f>IFERROR(__xludf.DUMMYFUNCTION("IMPORTRANGE(""https://docs.google.com/spreadsheets/d/1IYY_tgx_IHuhSq3AJ5eI5OnqOPBNLWSHKh2a30DoXe8/edit?usp=sharing"",""ภูเก็ต!J470"")"),0.0)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IFERROR(__xludf.DUMMYFUNCTION("IMPORTRANGE(""https://docs.google.com/spreadsheets/d/1IYY_tgx_IHuhSq3AJ5eI5OnqOPBNLWSHKh2a30DoXe8/edit?usp=sharing"",""ภูเก็ต!I471"")"),0.0)</f>
        <v>0</v>
      </c>
      <c r="J576" s="232">
        <f>IFERROR(__xludf.DUMMYFUNCTION("IMPORTRANGE(""https://docs.google.com/spreadsheets/d/1IYY_tgx_IHuhSq3AJ5eI5OnqOPBNLWSHKh2a30DoXe8/edit?usp=sharing"",""ภูเก็ต!J471"")"),0.0)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IFERROR(__xludf.DUMMYFUNCTION("IMPORTRANGE(""https://docs.google.com/spreadsheets/d/1IYY_tgx_IHuhSq3AJ5eI5OnqOPBNLWSHKh2a30DoXe8/edit?usp=sharing"",""ภูเก็ต!I472"")"),0.0)</f>
        <v>0</v>
      </c>
      <c r="J577" s="223">
        <f>IFERROR(__xludf.DUMMYFUNCTION("IMPORTRANGE(""https://docs.google.com/spreadsheets/d/1IYY_tgx_IHuhSq3AJ5eI5OnqOPBNLWSHKh2a30DoXe8/edit?usp=sharing"",""ภูเก็ต!J472"")"),0.0)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IFERROR(__xludf.DUMMYFUNCTION("IMPORTRANGE(""https://docs.google.com/spreadsheets/d/1IYY_tgx_IHuhSq3AJ5eI5OnqOPBNLWSHKh2a30DoXe8/edit?usp=sharing"",""ภูเก็ต!I473"")"),0.0)</f>
        <v>0</v>
      </c>
      <c r="J578" s="232">
        <f>IFERROR(__xludf.DUMMYFUNCTION("IMPORTRANGE(""https://docs.google.com/spreadsheets/d/1IYY_tgx_IHuhSq3AJ5eI5OnqOPBNLWSHKh2a30DoXe8/edit?usp=sharing"",""ภูเก็ต!J473"")"),0.0)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IFERROR(__xludf.DUMMYFUNCTION("IMPORTRANGE(""https://docs.google.com/spreadsheets/d/1IYY_tgx_IHuhSq3AJ5eI5OnqOPBNLWSHKh2a30DoXe8/edit?usp=sharing"",""ภูเก็ต!I474"")"),0.0)</f>
        <v>0</v>
      </c>
      <c r="J579" s="232">
        <f>IFERROR(__xludf.DUMMYFUNCTION("IMPORTRANGE(""https://docs.google.com/spreadsheets/d/1IYY_tgx_IHuhSq3AJ5eI5OnqOPBNLWSHKh2a30DoXe8/edit?usp=sharing"",""ภูเก็ต!J474"")"),0.0)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IFERROR(__xludf.DUMMYFUNCTION("IMPORTRANGE(""https://docs.google.com/spreadsheets/d/1IYY_tgx_IHuhSq3AJ5eI5OnqOPBNLWSHKh2a30DoXe8/edit?usp=sharing"",""ภูเก็ต!I475"")"),0.0)</f>
        <v>0</v>
      </c>
      <c r="J580" s="404">
        <f>IFERROR(__xludf.DUMMYFUNCTION("IMPORTRANGE(""https://docs.google.com/spreadsheets/d/1IYY_tgx_IHuhSq3AJ5eI5OnqOPBNLWSHKh2a30DoXe8/edit?usp=sharing"",""ภูเก็ต!J475"")"),0.0)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IFERROR(__xludf.DUMMYFUNCTION("IMPORTRANGE(""https://docs.google.com/spreadsheets/d/1IYY_tgx_IHuhSq3AJ5eI5OnqOPBNLWSHKh2a30DoXe8/edit?usp=sharing"",""ภูเก็ต!L475"")"),0.0)</f>
        <v>0</v>
      </c>
      <c r="M580" s="406"/>
      <c r="N580" s="406">
        <f>IFERROR(__xludf.DUMMYFUNCTION("IMPORTRANGE(""https://docs.google.com/spreadsheets/d/1IYY_tgx_IHuhSq3AJ5eI5OnqOPBNLWSHKh2a30DoXe8/edit?usp=sharing"",""ภูเก็ต!M475"")"),0.0)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IFERROR(__xludf.DUMMYFUNCTION("IMPORTRANGE(""https://docs.google.com/spreadsheets/d/1IYY_tgx_IHuhSq3AJ5eI5OnqOPBNLWSHKh2a30DoXe8/edit?usp=sharing"",""ภูเก็ต!L476"")"),0.0)</f>
        <v>0</v>
      </c>
      <c r="M581" s="197"/>
      <c r="N581" s="203">
        <f>IFERROR(__xludf.DUMMYFUNCTION("IMPORTRANGE(""https://docs.google.com/spreadsheets/d/1IYY_tgx_IHuhSq3AJ5eI5OnqOPBNLWSHKh2a30DoXe8/edit?usp=sharing"",""ภูเก็ต!M476"")"),0.0)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IFERROR(__xludf.DUMMYFUNCTION("IMPORTRANGE(""https://docs.google.com/spreadsheets/d/1IYY_tgx_IHuhSq3AJ5eI5OnqOPBNLWSHKh2a30DoXe8/edit?usp=sharing"",""ภูเก็ต!L477"")"),0.0)</f>
        <v>0</v>
      </c>
      <c r="M582" s="198"/>
      <c r="N582" s="203">
        <f>IFERROR(__xludf.DUMMYFUNCTION("IMPORTRANGE(""https://docs.google.com/spreadsheets/d/1IYY_tgx_IHuhSq3AJ5eI5OnqOPBNLWSHKh2a30DoXe8/edit?usp=sharing"",""ภูเก็ต!M477"")"),0.0)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IFERROR(__xludf.DUMMYFUNCTION("IMPORTRANGE(""https://docs.google.com/spreadsheets/d/1IYY_tgx_IHuhSq3AJ5eI5OnqOPBNLWSHKh2a30DoXe8/edit?usp=sharing"",""ภูเก็ต!L478"")"),0.0)</f>
        <v>0</v>
      </c>
      <c r="M583" s="203"/>
      <c r="N583" s="203">
        <f>IFERROR(__xludf.DUMMYFUNCTION("IMPORTRANGE(""https://docs.google.com/spreadsheets/d/1IYY_tgx_IHuhSq3AJ5eI5OnqOPBNLWSHKh2a30DoXe8/edit?usp=sharing"",""ภูเก็ต!M478"")"),0.0)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IFERROR(__xludf.DUMMYFUNCTION("IMPORTRANGE(""https://docs.google.com/spreadsheets/d/1IYY_tgx_IHuhSq3AJ5eI5OnqOPBNLWSHKh2a30DoXe8/edit?usp=sharing"",""ภูเก็ต!L479"")"),0.0)</f>
        <v>0</v>
      </c>
      <c r="M584" s="203"/>
      <c r="N584" s="203">
        <f>IFERROR(__xludf.DUMMYFUNCTION("IMPORTRANGE(""https://docs.google.com/spreadsheets/d/1IYY_tgx_IHuhSq3AJ5eI5OnqOPBNLWSHKh2a30DoXe8/edit?usp=sharing"",""ภูเก็ต!M479"")"),0.0)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IFERROR(__xludf.DUMMYFUNCTION("IMPORTRANGE(""https://docs.google.com/spreadsheets/d/1IYY_tgx_IHuhSq3AJ5eI5OnqOPBNLWSHKh2a30DoXe8/edit?usp=sharing"",""ภูเก็ต!M480"")"),0.0)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IFERROR(__xludf.DUMMYFUNCTION("IMPORTRANGE(""https://docs.google.com/spreadsheets/d/1IYY_tgx_IHuhSq3AJ5eI5OnqOPBNLWSHKh2a30DoXe8/edit?usp=sharing"",""ภูเก็ต!M481"")"),0.0)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IFERROR(__xludf.DUMMYFUNCTION("IMPORTRANGE(""https://docs.google.com/spreadsheets/d/1IYY_tgx_IHuhSq3AJ5eI5OnqOPBNLWSHKh2a30DoXe8/edit?usp=sharing"",""ภูเก็ต!M482"")"),0.0)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IFERROR(__xludf.DUMMYFUNCTION("IMPORTRANGE(""https://docs.google.com/spreadsheets/d/1IYY_tgx_IHuhSq3AJ5eI5OnqOPBNLWSHKh2a30DoXe8/edit?usp=sharing"",""ภูเก็ต!M483"")"),0.0)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IFERROR(__xludf.DUMMYFUNCTION("IMPORTRANGE(""https://docs.google.com/spreadsheets/d/1IYY_tgx_IHuhSq3AJ5eI5OnqOPBNLWSHKh2a30DoXe8/edit?usp=sharing"",""ภูเก็ต!I484"")"),0.0)</f>
        <v>0</v>
      </c>
      <c r="J589" s="222">
        <f>IFERROR(__xludf.DUMMYFUNCTION("IMPORTRANGE(""https://docs.google.com/spreadsheets/d/1IYY_tgx_IHuhSq3AJ5eI5OnqOPBNLWSHKh2a30DoXe8/edit?usp=sharing"",""ภูเก็ต!J484"")"),0.0)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IFERROR(__xludf.DUMMYFUNCTION("IMPORTRANGE(""https://docs.google.com/spreadsheets/d/1IYY_tgx_IHuhSq3AJ5eI5OnqOPBNLWSHKh2a30DoXe8/edit?usp=sharing"",""ภูเก็ต!I485"")"),0.0)</f>
        <v>0</v>
      </c>
      <c r="J590" s="222">
        <f>IFERROR(__xludf.DUMMYFUNCTION("IMPORTRANGE(""https://docs.google.com/spreadsheets/d/1IYY_tgx_IHuhSq3AJ5eI5OnqOPBNLWSHKh2a30DoXe8/edit?usp=sharing"",""ภูเก็ต!J485"")"),0.0)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IFERROR(__xludf.DUMMYFUNCTION("IMPORTRANGE(""https://docs.google.com/spreadsheets/d/1IYY_tgx_IHuhSq3AJ5eI5OnqOPBNLWSHKh2a30DoXe8/edit?usp=sharing"",""ภูเก็ต!I486"")"),0.0)</f>
        <v>0</v>
      </c>
      <c r="J591" s="222">
        <f>IFERROR(__xludf.DUMMYFUNCTION("IMPORTRANGE(""https://docs.google.com/spreadsheets/d/1IYY_tgx_IHuhSq3AJ5eI5OnqOPBNLWSHKh2a30DoXe8/edit?usp=sharing"",""ภูเก็ต!J486"")"),0.0)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IFERROR(__xludf.DUMMYFUNCTION("IMPORTRANGE(""https://docs.google.com/spreadsheets/d/1IYY_tgx_IHuhSq3AJ5eI5OnqOPBNLWSHKh2a30DoXe8/edit?usp=sharing"",""ภูเก็ต!I487"")"),0.0)</f>
        <v>0</v>
      </c>
      <c r="J592" s="222">
        <f>IFERROR(__xludf.DUMMYFUNCTION("IMPORTRANGE(""https://docs.google.com/spreadsheets/d/1IYY_tgx_IHuhSq3AJ5eI5OnqOPBNLWSHKh2a30DoXe8/edit?usp=sharing"",""ภูเก็ต!J487"")"),0.0)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IFERROR(__xludf.DUMMYFUNCTION("IMPORTRANGE(""https://docs.google.com/spreadsheets/d/1IYY_tgx_IHuhSq3AJ5eI5OnqOPBNLWSHKh2a30DoXe8/edit?usp=sharing"",""ภูเก็ต!I488"")"),0.0)</f>
        <v>0</v>
      </c>
      <c r="J593" s="222">
        <f>IFERROR(__xludf.DUMMYFUNCTION("IMPORTRANGE(""https://docs.google.com/spreadsheets/d/1IYY_tgx_IHuhSq3AJ5eI5OnqOPBNLWSHKh2a30DoXe8/edit?usp=sharing"",""ภูเก็ต!J488"")"),0.0)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IFERROR(__xludf.DUMMYFUNCTION("IMPORTRANGE(""https://docs.google.com/spreadsheets/d/1IYY_tgx_IHuhSq3AJ5eI5OnqOPBNLWSHKh2a30DoXe8/edit?usp=sharing"",""ภูเก็ต!I489"")"),0.0)</f>
        <v>0</v>
      </c>
      <c r="J594" s="222">
        <f>IFERROR(__xludf.DUMMYFUNCTION("IMPORTRANGE(""https://docs.google.com/spreadsheets/d/1IYY_tgx_IHuhSq3AJ5eI5OnqOPBNLWSHKh2a30DoXe8/edit?usp=sharing"",""ภูเก็ต!J489"")"),0.0)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IFERROR(__xludf.DUMMYFUNCTION("IMPORTRANGE(""https://docs.google.com/spreadsheets/d/1IYY_tgx_IHuhSq3AJ5eI5OnqOPBNLWSHKh2a30DoXe8/edit?usp=sharing"",""ภูเก็ต!I490"")"),0.0)</f>
        <v>0</v>
      </c>
      <c r="J595" s="222">
        <f>IFERROR(__xludf.DUMMYFUNCTION("IMPORTRANGE(""https://docs.google.com/spreadsheets/d/1IYY_tgx_IHuhSq3AJ5eI5OnqOPBNLWSHKh2a30DoXe8/edit?usp=sharing"",""ภูเก็ต!J490"")"),0.0)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IFERROR(__xludf.DUMMYFUNCTION("IMPORTRANGE(""https://docs.google.com/spreadsheets/d/1IYY_tgx_IHuhSq3AJ5eI5OnqOPBNLWSHKh2a30DoXe8/edit?usp=sharing"",""ภูเก็ต!I491"")"),0.0)</f>
        <v>0</v>
      </c>
      <c r="J596" s="275">
        <f>IFERROR(__xludf.DUMMYFUNCTION("IMPORTRANGE(""https://docs.google.com/spreadsheets/d/1IYY_tgx_IHuhSq3AJ5eI5OnqOPBNLWSHKh2a30DoXe8/edit?usp=sharing"",""ภูเก็ต!J491"")"),0.0)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IFERROR(__xludf.DUMMYFUNCTION("IMPORTRANGE(""https://docs.google.com/spreadsheets/d/1IYY_tgx_IHuhSq3AJ5eI5OnqOPBNLWSHKh2a30DoXe8/edit?usp=sharing"",""ภูเก็ต!I492"")"),100.0)</f>
        <v>100</v>
      </c>
      <c r="J597" s="520">
        <f>IFERROR(__xludf.DUMMYFUNCTION("IMPORTRANGE(""https://docs.google.com/spreadsheets/d/1IYY_tgx_IHuhSq3AJ5eI5OnqOPBNLWSHKh2a30DoXe8/edit?usp=sharing"",""ภูเก็ต!J492"")"),0.0)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IFERROR(__xludf.DUMMYFUNCTION("IMPORTRANGE(""https://docs.google.com/spreadsheets/d/1IYY_tgx_IHuhSq3AJ5eI5OnqOPBNLWSHKh2a30DoXe8/edit?usp=sharing"",""ภูเก็ต!L492"")"),7300.0)</f>
        <v>7300</v>
      </c>
      <c r="M597" s="445"/>
      <c r="N597" s="445">
        <f>IFERROR(__xludf.DUMMYFUNCTION("IMPORTRANGE(""https://docs.google.com/spreadsheets/d/1IYY_tgx_IHuhSq3AJ5eI5OnqOPBNLWSHKh2a30DoXe8/edit?usp=sharing"",""ภูเก็ต!M492"")"),0.0)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IFERROR(__xludf.DUMMYFUNCTION("IMPORTRANGE(""https://docs.google.com/spreadsheets/d/1IYY_tgx_IHuhSq3AJ5eI5OnqOPBNLWSHKh2a30DoXe8/edit?usp=sharing"",""ภูเก็ต!L493"")"),0.0)</f>
        <v>0</v>
      </c>
      <c r="M598" s="197"/>
      <c r="N598" s="203">
        <f>IFERROR(__xludf.DUMMYFUNCTION("IMPORTRANGE(""https://docs.google.com/spreadsheets/d/1IYY_tgx_IHuhSq3AJ5eI5OnqOPBNLWSHKh2a30DoXe8/edit?usp=sharing"",""ภูเก็ต!M493"")"),0.0)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IFERROR(__xludf.DUMMYFUNCTION("IMPORTRANGE(""https://docs.google.com/spreadsheets/d/1IYY_tgx_IHuhSq3AJ5eI5OnqOPBNLWSHKh2a30DoXe8/edit?usp=sharing"",""ภูเก็ต!L494"")"),7300.0)</f>
        <v>7300</v>
      </c>
      <c r="M599" s="198"/>
      <c r="N599" s="203">
        <f>IFERROR(__xludf.DUMMYFUNCTION("IMPORTRANGE(""https://docs.google.com/spreadsheets/d/1IYY_tgx_IHuhSq3AJ5eI5OnqOPBNLWSHKh2a30DoXe8/edit?usp=sharing"",""ภูเก็ต!M494"")"),0.0)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IFERROR(__xludf.DUMMYFUNCTION("IMPORTRANGE(""https://docs.google.com/spreadsheets/d/1IYY_tgx_IHuhSq3AJ5eI5OnqOPBNLWSHKh2a30DoXe8/edit?usp=sharing"",""ภูเก็ต!L495"")"),0.0)</f>
        <v>0</v>
      </c>
      <c r="M600" s="203"/>
      <c r="N600" s="203">
        <f>IFERROR(__xludf.DUMMYFUNCTION("IMPORTRANGE(""https://docs.google.com/spreadsheets/d/1IYY_tgx_IHuhSq3AJ5eI5OnqOPBNLWSHKh2a30DoXe8/edit?usp=sharing"",""ภูเก็ต!M495"")"),0.0)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IFERROR(__xludf.DUMMYFUNCTION("IMPORTRANGE(""https://docs.google.com/spreadsheets/d/1IYY_tgx_IHuhSq3AJ5eI5OnqOPBNLWSHKh2a30DoXe8/edit?usp=sharing"",""ภูเก็ต!L496"")"),7300.0)</f>
        <v>7300</v>
      </c>
      <c r="M601" s="203"/>
      <c r="N601" s="203">
        <f>IFERROR(__xludf.DUMMYFUNCTION("IMPORTRANGE(""https://docs.google.com/spreadsheets/d/1IYY_tgx_IHuhSq3AJ5eI5OnqOPBNLWSHKh2a30DoXe8/edit?usp=sharing"",""ภูเก็ต!M496"")"),0.0)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IFERROR(__xludf.DUMMYFUNCTION("IMPORTRANGE(""https://docs.google.com/spreadsheets/d/1IYY_tgx_IHuhSq3AJ5eI5OnqOPBNLWSHKh2a30DoXe8/edit?usp=sharing"",""ภูเก็ต!M497"")"),0.0)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IFERROR(__xludf.DUMMYFUNCTION("IMPORTRANGE(""https://docs.google.com/spreadsheets/d/1IYY_tgx_IHuhSq3AJ5eI5OnqOPBNLWSHKh2a30DoXe8/edit?usp=sharing"",""ภูเก็ต!M498"")"),0.0)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IFERROR(__xludf.DUMMYFUNCTION("IMPORTRANGE(""https://docs.google.com/spreadsheets/d/1IYY_tgx_IHuhSq3AJ5eI5OnqOPBNLWSHKh2a30DoXe8/edit?usp=sharing"",""ภูเก็ต!M499"")"),0.0)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IFERROR(__xludf.DUMMYFUNCTION("IMPORTRANGE(""https://docs.google.com/spreadsheets/d/1IYY_tgx_IHuhSq3AJ5eI5OnqOPBNLWSHKh2a30DoXe8/edit?usp=sharing"",""ภูเก็ต!M500"")"),0.0)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IFERROR(__xludf.DUMMYFUNCTION("IMPORTRANGE(""https://docs.google.com/spreadsheets/d/1IYY_tgx_IHuhSq3AJ5eI5OnqOPBNLWSHKh2a30DoXe8/edit?usp=sharing"",""ภูเก็ต!J502"")"),0.0)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IFERROR(__xludf.DUMMYFUNCTION("IMPORTRANGE(""https://docs.google.com/spreadsheets/d/1IYY_tgx_IHuhSq3AJ5eI5OnqOPBNLWSHKh2a30DoXe8/edit?usp=sharing"",""ภูเก็ต!J503"")"),1.0)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IFERROR(__xludf.DUMMYFUNCTION("IMPORTRANGE(""https://docs.google.com/spreadsheets/d/1IYY_tgx_IHuhSq3AJ5eI5OnqOPBNLWSHKh2a30DoXe8/edit?usp=sharing"",""ภูเก็ต!J166"")"),0.0)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IFERROR(__xludf.DUMMYFUNCTION("IMPORTRANGE(""https://docs.google.com/spreadsheets/d/1IYY_tgx_IHuhSq3AJ5eI5OnqOPBNLWSHKh2a30DoXe8/edit?usp=sharing"",""ภูเก็ต!J166"")"),0.0)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IFERROR(__xludf.DUMMYFUNCTION("IMPORTRANGE(""https://docs.google.com/spreadsheets/d/1IYY_tgx_IHuhSq3AJ5eI5OnqOPBNLWSHKh2a30DoXe8/edit?usp=sharing"",""ภูเก็ต!I506"")"),100.0)</f>
        <v>100</v>
      </c>
      <c r="J611" s="195">
        <f>IFERROR(__xludf.DUMMYFUNCTION("IMPORTRANGE(""https://docs.google.com/spreadsheets/d/1IYY_tgx_IHuhSq3AJ5eI5OnqOPBNLWSHKh2a30DoXe8/edit?usp=sharing"",""ภูเก็ต!J506"")"),0.0)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IFERROR(__xludf.DUMMYFUNCTION("IMPORTRANGE(""https://docs.google.com/spreadsheets/d/1IYY_tgx_IHuhSq3AJ5eI5OnqOPBNLWSHKh2a30DoXe8/edit?usp=sharing"",""ภูเก็ต!I507"")"),0.0)</f>
        <v>0</v>
      </c>
      <c r="J612" s="232">
        <f>IFERROR(__xludf.DUMMYFUNCTION("IMPORTRANGE(""https://docs.google.com/spreadsheets/d/1IYY_tgx_IHuhSq3AJ5eI5OnqOPBNLWSHKh2a30DoXe8/edit?usp=sharing"",""ภูเก็ต!J507"")"),0.0)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IFERROR(__xludf.DUMMYFUNCTION("IMPORTRANGE(""https://docs.google.com/spreadsheets/d/1IYY_tgx_IHuhSq3AJ5eI5OnqOPBNLWSHKh2a30DoXe8/edit?usp=sharing"",""ภูเก็ต!I508"")"),0.0)</f>
        <v>0</v>
      </c>
      <c r="J613" s="232">
        <f>IFERROR(__xludf.DUMMYFUNCTION("IMPORTRANGE(""https://docs.google.com/spreadsheets/d/1IYY_tgx_IHuhSq3AJ5eI5OnqOPBNLWSHKh2a30DoXe8/edit?usp=sharing"",""ภูเก็ต!J508"")"),0.0)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IFERROR(__xludf.DUMMYFUNCTION("IMPORTRANGE(""https://docs.google.com/spreadsheets/d/1IYY_tgx_IHuhSq3AJ5eI5OnqOPBNLWSHKh2a30DoXe8/edit?usp=sharing"",""ภูเก็ต!I509"")"),0.0)</f>
        <v>0</v>
      </c>
      <c r="J614" s="232">
        <f>IFERROR(__xludf.DUMMYFUNCTION("IMPORTRANGE(""https://docs.google.com/spreadsheets/d/1IYY_tgx_IHuhSq3AJ5eI5OnqOPBNLWSHKh2a30DoXe8/edit?usp=sharing"",""ภูเก็ต!J509"")"),0.0)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IFERROR(__xludf.DUMMYFUNCTION("IMPORTRANGE(""https://docs.google.com/spreadsheets/d/1IYY_tgx_IHuhSq3AJ5eI5OnqOPBNLWSHKh2a30DoXe8/edit?usp=sharing"",""ภูเก็ต!I510"")"),0.0)</f>
        <v>0</v>
      </c>
      <c r="J615" s="232">
        <f>IFERROR(__xludf.DUMMYFUNCTION("IMPORTRANGE(""https://docs.google.com/spreadsheets/d/1IYY_tgx_IHuhSq3AJ5eI5OnqOPBNLWSHKh2a30DoXe8/edit?usp=sharing"",""ภูเก็ต!J510"")"),0.0)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IFERROR(__xludf.DUMMYFUNCTION("IMPORTRANGE(""https://docs.google.com/spreadsheets/d/1IYY_tgx_IHuhSq3AJ5eI5OnqOPBNLWSHKh2a30DoXe8/edit?usp=sharing"",""ภูเก็ต!I511"")"),0.0)</f>
        <v>0</v>
      </c>
      <c r="J616" s="232">
        <f>IFERROR(__xludf.DUMMYFUNCTION("IMPORTRANGE(""https://docs.google.com/spreadsheets/d/1IYY_tgx_IHuhSq3AJ5eI5OnqOPBNLWSHKh2a30DoXe8/edit?usp=sharing"",""ภูเก็ต!J511"")"),0.0)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IFERROR(__xludf.DUMMYFUNCTION("IMPORTRANGE(""https://docs.google.com/spreadsheets/d/1IYY_tgx_IHuhSq3AJ5eI5OnqOPBNLWSHKh2a30DoXe8/edit?usp=sharing"",""ภูเก็ต!I512"")"),0.0)</f>
        <v>0</v>
      </c>
      <c r="J617" s="222">
        <f>IFERROR(__xludf.DUMMYFUNCTION("IMPORTRANGE(""https://docs.google.com/spreadsheets/d/1IYY_tgx_IHuhSq3AJ5eI5OnqOPBNLWSHKh2a30DoXe8/edit?usp=sharing"",""ภูเก็ต!J512"")"),0.0)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IFERROR(__xludf.DUMMYFUNCTION("IMPORTRANGE(""https://docs.google.com/spreadsheets/d/1IYY_tgx_IHuhSq3AJ5eI5OnqOPBNLWSHKh2a30DoXe8/edit?usp=sharing"",""ภูเก็ต!I513"")"),0.0)</f>
        <v>0</v>
      </c>
      <c r="J618" s="223">
        <f>IFERROR(__xludf.DUMMYFUNCTION("IMPORTRANGE(""https://docs.google.com/spreadsheets/d/1IYY_tgx_IHuhSq3AJ5eI5OnqOPBNLWSHKh2a30DoXe8/edit?usp=sharing"",""ภูเก็ต!J513"")"),0.0)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IFERROR(__xludf.DUMMYFUNCTION("IMPORTRANGE(""https://docs.google.com/spreadsheets/d/1IYY_tgx_IHuhSq3AJ5eI5OnqOPBNLWSHKh2a30DoXe8/edit?usp=sharing"",""ภูเก็ต!I514"")"),0.0)</f>
        <v>0</v>
      </c>
      <c r="J619" s="223">
        <f>IFERROR(__xludf.DUMMYFUNCTION("IMPORTRANGE(""https://docs.google.com/spreadsheets/d/1IYY_tgx_IHuhSq3AJ5eI5OnqOPBNLWSHKh2a30DoXe8/edit?usp=sharing"",""ภูเก็ต!J514"")"),0.0)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IFERROR(__xludf.DUMMYFUNCTION("IMPORTRANGE(""https://docs.google.com/spreadsheets/d/1IYY_tgx_IHuhSq3AJ5eI5OnqOPBNLWSHKh2a30DoXe8/edit?usp=sharing"",""ภูเก็ต!I515"")"),0.0)</f>
        <v>0</v>
      </c>
      <c r="J620" s="237">
        <f>IFERROR(__xludf.DUMMYFUNCTION("IMPORTRANGE(""https://docs.google.com/spreadsheets/d/1IYY_tgx_IHuhSq3AJ5eI5OnqOPBNLWSHKh2a30DoXe8/edit?usp=sharing"",""ภูเก็ต!J515"")"),0.0)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IFERROR(__xludf.DUMMYFUNCTION("IMPORTRANGE(""https://docs.google.com/spreadsheets/d/1IYY_tgx_IHuhSq3AJ5eI5OnqOPBNLWSHKh2a30DoXe8/edit?usp=sharing"",""ภูเก็ต!I516"")"),0.0)</f>
        <v>0</v>
      </c>
      <c r="J621" s="237">
        <f>IFERROR(__xludf.DUMMYFUNCTION("IMPORTRANGE(""https://docs.google.com/spreadsheets/d/1IYY_tgx_IHuhSq3AJ5eI5OnqOPBNLWSHKh2a30DoXe8/edit?usp=sharing"",""ภูเก็ต!J516"")"),0.0)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IFERROR(__xludf.DUMMYFUNCTION("IMPORTRANGE(""https://docs.google.com/spreadsheets/d/1IYY_tgx_IHuhSq3AJ5eI5OnqOPBNLWSHKh2a30DoXe8/edit?usp=sharing"",""ภูเก็ต!I517"")"),0.0)</f>
        <v>0</v>
      </c>
      <c r="J622" s="223">
        <f>IFERROR(__xludf.DUMMYFUNCTION("IMPORTRANGE(""https://docs.google.com/spreadsheets/d/1IYY_tgx_IHuhSq3AJ5eI5OnqOPBNLWSHKh2a30DoXe8/edit?usp=sharing"",""ภูเก็ต!J517"")"),0.0)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IFERROR(__xludf.DUMMYFUNCTION("IMPORTRANGE(""https://docs.google.com/spreadsheets/d/1IYY_tgx_IHuhSq3AJ5eI5OnqOPBNLWSHKh2a30DoXe8/edit?usp=sharing"",""ภูเก็ต!I518"")"),0.0)</f>
        <v>0</v>
      </c>
      <c r="J623" s="223">
        <f>IFERROR(__xludf.DUMMYFUNCTION("IMPORTRANGE(""https://docs.google.com/spreadsheets/d/1IYY_tgx_IHuhSq3AJ5eI5OnqOPBNLWSHKh2a30DoXe8/edit?usp=sharing"",""ภูเก็ต!J518"")"),0.0)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IFERROR(__xludf.DUMMYFUNCTION("IMPORTRANGE(""https://docs.google.com/spreadsheets/d/1IYY_tgx_IHuhSq3AJ5eI5OnqOPBNLWSHKh2a30DoXe8/edit?usp=sharing"",""ภูเก็ต!I519"")"),0.0)</f>
        <v>0</v>
      </c>
      <c r="J624" s="222">
        <f>IFERROR(__xludf.DUMMYFUNCTION("IMPORTRANGE(""https://docs.google.com/spreadsheets/d/1IYY_tgx_IHuhSq3AJ5eI5OnqOPBNLWSHKh2a30DoXe8/edit?usp=sharing"",""ภูเก็ต!J519"")"),0.0)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IFERROR(__xludf.DUMMYFUNCTION("IMPORTRANGE(""https://docs.google.com/spreadsheets/d/1IYY_tgx_IHuhSq3AJ5eI5OnqOPBNLWSHKh2a30DoXe8/edit?usp=sharing"",""ภูเก็ต!I520"")"),0.0)</f>
        <v>0</v>
      </c>
      <c r="J625" s="223">
        <f>IFERROR(__xludf.DUMMYFUNCTION("IMPORTRANGE(""https://docs.google.com/spreadsheets/d/1IYY_tgx_IHuhSq3AJ5eI5OnqOPBNLWSHKh2a30DoXe8/edit?usp=sharing"",""ภูเก็ต!J520"")"),0.0)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IFERROR(__xludf.DUMMYFUNCTION("IMPORTRANGE(""https://docs.google.com/spreadsheets/d/1IYY_tgx_IHuhSq3AJ5eI5OnqOPBNLWSHKh2a30DoXe8/edit?usp=sharing"",""ภูเก็ต!I521"")"),0.0)</f>
        <v>0</v>
      </c>
      <c r="J626" s="223">
        <f>IFERROR(__xludf.DUMMYFUNCTION("IMPORTRANGE(""https://docs.google.com/spreadsheets/d/1IYY_tgx_IHuhSq3AJ5eI5OnqOPBNLWSHKh2a30DoXe8/edit?usp=sharing"",""ภูเก็ต!J521"")"),0.0)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IFERROR(__xludf.DUMMYFUNCTION("IMPORTRANGE(""https://docs.google.com/spreadsheets/d/1IYY_tgx_IHuhSq3AJ5eI5OnqOPBNLWSHKh2a30DoXe8/edit?usp=sharing"",""ภูเก็ต!I523"")"),661971.47)</f>
        <v>661971.47</v>
      </c>
      <c r="J628" s="374">
        <f>IFERROR(__xludf.DUMMYFUNCTION("IMPORTRANGE(""https://docs.google.com/spreadsheets/d/1IYY_tgx_IHuhSq3AJ5eI5OnqOPBNLWSHKh2a30DoXe8/edit?usp=sharing"",""ภูเก็ต!J523"")"),46143.71)</f>
        <v>46143.71</v>
      </c>
      <c r="K628" s="375">
        <f t="shared" ref="K628:K635" si="130">IF(I628&gt;0,J628*100/I628,0)</f>
        <v>6.970649354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IFERROR(__xludf.DUMMYFUNCTION("IMPORTRANGE(""https://docs.google.com/spreadsheets/d/1IYY_tgx_IHuhSq3AJ5eI5OnqOPBNLWSHKh2a30DoXe8/edit?usp=sharing"",""ภูเก็ต!I524"")"),36.0)</f>
        <v>36</v>
      </c>
      <c r="J629" s="374">
        <f>IFERROR(__xludf.DUMMYFUNCTION("IMPORTRANGE(""https://docs.google.com/spreadsheets/d/1IYY_tgx_IHuhSq3AJ5eI5OnqOPBNLWSHKh2a30DoXe8/edit?usp=sharing"",""ภูเก็ต!J524"")"),3.0)</f>
        <v>3</v>
      </c>
      <c r="K629" s="375">
        <f t="shared" si="130"/>
        <v>8.333333333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IFERROR(__xludf.DUMMYFUNCTION("IMPORTRANGE(""https://docs.google.com/spreadsheets/d/1IYY_tgx_IHuhSq3AJ5eI5OnqOPBNLWSHKh2a30DoXe8/edit?usp=sharing"",""ภูเก็ต!I525"")"),0.0)</f>
        <v>0</v>
      </c>
      <c r="J630" s="374">
        <f>IFERROR(__xludf.DUMMYFUNCTION("IMPORTRANGE(""https://docs.google.com/spreadsheets/d/1IYY_tgx_IHuhSq3AJ5eI5OnqOPBNLWSHKh2a30DoXe8/edit?usp=sharing"",""ภูเก็ต!J525"")"),0.0)</f>
        <v>0</v>
      </c>
      <c r="K630" s="375">
        <f t="shared" si="130"/>
        <v>0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IFERROR(__xludf.DUMMYFUNCTION("IMPORTRANGE(""https://docs.google.com/spreadsheets/d/1IYY_tgx_IHuhSq3AJ5eI5OnqOPBNLWSHKh2a30DoXe8/edit?usp=sharing"",""ภูเก็ต!I526"")"),0.0)</f>
        <v>0</v>
      </c>
      <c r="J631" s="374">
        <f>IFERROR(__xludf.DUMMYFUNCTION("IMPORTRANGE(""https://docs.google.com/spreadsheets/d/1IYY_tgx_IHuhSq3AJ5eI5OnqOPBNLWSHKh2a30DoXe8/edit?usp=sharing"",""ภูเก็ต!J526"")"),0.0)</f>
        <v>0</v>
      </c>
      <c r="K631" s="375">
        <f t="shared" si="130"/>
        <v>0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IFERROR(__xludf.DUMMYFUNCTION("IMPORTRANGE(""https://docs.google.com/spreadsheets/d/1IYY_tgx_IHuhSq3AJ5eI5OnqOPBNLWSHKh2a30DoXe8/edit?usp=sharing"",""ภูเก็ต!I527"")"),0.0)</f>
        <v>0</v>
      </c>
      <c r="J632" s="374">
        <f>IFERROR(__xludf.DUMMYFUNCTION("IMPORTRANGE(""https://docs.google.com/spreadsheets/d/1IYY_tgx_IHuhSq3AJ5eI5OnqOPBNLWSHKh2a30DoXe8/edit?usp=sharing"",""ภูเก็ต!J527"")"),0.0)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IFERROR(__xludf.DUMMYFUNCTION("IMPORTRANGE(""https://docs.google.com/spreadsheets/d/1IYY_tgx_IHuhSq3AJ5eI5OnqOPBNLWSHKh2a30DoXe8/edit?usp=sharing"",""ภูเก็ต!I528"")"),0.0)</f>
        <v>0</v>
      </c>
      <c r="J633" s="374">
        <f>IFERROR(__xludf.DUMMYFUNCTION("IMPORTRANGE(""https://docs.google.com/spreadsheets/d/1IYY_tgx_IHuhSq3AJ5eI5OnqOPBNLWSHKh2a30DoXe8/edit?usp=sharing"",""ภูเก็ต!J528"")"),0.0)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IFERROR(__xludf.DUMMYFUNCTION("IMPORTRANGE(""https://docs.google.com/spreadsheets/d/1IYY_tgx_IHuhSq3AJ5eI5OnqOPBNLWSHKh2a30DoXe8/edit?usp=sharing"",""ภูเก็ต!I529"")"),350000.0)</f>
        <v>350000</v>
      </c>
      <c r="J634" s="374">
        <f>IFERROR(__xludf.DUMMYFUNCTION("IMPORTRANGE(""https://docs.google.com/spreadsheets/d/1IYY_tgx_IHuhSq3AJ5eI5OnqOPBNLWSHKh2a30DoXe8/edit?usp=sharing"",""ภูเก็ต!J529"")"),0.0)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IFERROR(__xludf.DUMMYFUNCTION("IMPORTRANGE(""https://docs.google.com/spreadsheets/d/1IYY_tgx_IHuhSq3AJ5eI5OnqOPBNLWSHKh2a30DoXe8/edit?usp=sharing"",""ภูเก็ต!I530"")"),7.0)</f>
        <v>7</v>
      </c>
      <c r="J635" s="544">
        <f>IFERROR(__xludf.DUMMYFUNCTION("IMPORTRANGE(""https://docs.google.com/spreadsheets/d/1IYY_tgx_IHuhSq3AJ5eI5OnqOPBNLWSHKh2a30DoXe8/edit?usp=sharing"",""ภูเก็ต!J530"")"),0.0)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2478242</v>
      </c>
      <c r="M8" s="41">
        <f t="shared" si="1"/>
        <v>907965</v>
      </c>
      <c r="N8" s="41">
        <f t="shared" si="1"/>
        <v>964700.46</v>
      </c>
      <c r="O8" s="40">
        <f t="shared" ref="O8:O16" si="3">IF(L8&gt;0,N8*100/L8,0)</f>
        <v>38.92680618</v>
      </c>
      <c r="P8" s="40">
        <f t="shared" ref="P8:P16" si="4">IF(M8&gt;0,N8*100/M8,0)</f>
        <v>106.2486395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2478242</v>
      </c>
      <c r="M10" s="48">
        <f t="shared" si="5"/>
        <v>907965</v>
      </c>
      <c r="N10" s="48">
        <f t="shared" si="5"/>
        <v>964700.46</v>
      </c>
      <c r="O10" s="47">
        <f t="shared" si="3"/>
        <v>38.92680618</v>
      </c>
      <c r="P10" s="47">
        <f t="shared" si="4"/>
        <v>106.2486395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2283242</v>
      </c>
      <c r="M12" s="58">
        <f t="shared" si="7"/>
        <v>907965</v>
      </c>
      <c r="N12" s="58">
        <f t="shared" si="7"/>
        <v>769700.46</v>
      </c>
      <c r="O12" s="58">
        <f t="shared" si="3"/>
        <v>33.71085763</v>
      </c>
      <c r="P12" s="58">
        <f t="shared" si="4"/>
        <v>84.77204077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1360100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923142</v>
      </c>
      <c r="M14" s="58">
        <f t="shared" si="9"/>
        <v>0</v>
      </c>
      <c r="N14" s="58">
        <f t="shared" si="9"/>
        <v>202950.46</v>
      </c>
      <c r="O14" s="61">
        <f t="shared" si="3"/>
        <v>21.98474991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195000</v>
      </c>
      <c r="M16" s="58">
        <f t="shared" si="11"/>
        <v>0</v>
      </c>
      <c r="N16" s="58">
        <f t="shared" si="11"/>
        <v>195000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1872575</v>
      </c>
      <c r="M18" s="41">
        <f t="shared" si="12"/>
        <v>907965</v>
      </c>
      <c r="N18" s="41">
        <f t="shared" si="12"/>
        <v>761750</v>
      </c>
      <c r="O18" s="40">
        <f t="shared" ref="O18:O20" si="14">IF(L18&gt;0,N18*100/L18,0)</f>
        <v>40.67927853</v>
      </c>
      <c r="P18" s="40">
        <f t="shared" ref="P18:P26" si="15">IF(M18&gt;0,N18*100/M18,0)</f>
        <v>83.8964057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1872575</v>
      </c>
      <c r="M20" s="48">
        <f t="shared" si="16"/>
        <v>907965</v>
      </c>
      <c r="N20" s="48">
        <f t="shared" si="16"/>
        <v>761750</v>
      </c>
      <c r="O20" s="47">
        <f t="shared" si="14"/>
        <v>40.67927853</v>
      </c>
      <c r="P20" s="47">
        <f t="shared" si="15"/>
        <v>83.8964057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1677575</v>
      </c>
      <c r="M22" s="62">
        <f t="shared" si="18"/>
        <v>907965</v>
      </c>
      <c r="N22" s="61">
        <f t="shared" si="18"/>
        <v>566750</v>
      </c>
      <c r="O22" s="61">
        <f t="shared" si="19"/>
        <v>33.78388448</v>
      </c>
      <c r="P22" s="61">
        <f t="shared" si="15"/>
        <v>62.41980693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1360100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317475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195000</v>
      </c>
      <c r="M26" s="70">
        <f t="shared" si="23"/>
        <v>0</v>
      </c>
      <c r="N26" s="70">
        <f t="shared" si="23"/>
        <v>195000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605667</v>
      </c>
      <c r="M28" s="41">
        <f t="shared" si="24"/>
        <v>0</v>
      </c>
      <c r="N28" s="41">
        <f t="shared" si="24"/>
        <v>202950.46</v>
      </c>
      <c r="O28" s="40">
        <f t="shared" ref="O28:O30" si="26">IF(L28&gt;0,N28*100/L28,0)</f>
        <v>33.50858805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605667</v>
      </c>
      <c r="M30" s="48">
        <f t="shared" si="28"/>
        <v>0</v>
      </c>
      <c r="N30" s="48">
        <f t="shared" si="28"/>
        <v>202950.46</v>
      </c>
      <c r="O30" s="47">
        <f t="shared" si="26"/>
        <v>33.50858805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605667</v>
      </c>
      <c r="M32" s="61">
        <f t="shared" si="30"/>
        <v>0</v>
      </c>
      <c r="N32" s="61">
        <f t="shared" si="30"/>
        <v>202950.46</v>
      </c>
      <c r="O32" s="61">
        <f t="shared" si="31"/>
        <v>33.50858805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605667</v>
      </c>
      <c r="M34" s="61">
        <f t="shared" si="33"/>
        <v>0</v>
      </c>
      <c r="N34" s="61">
        <f t="shared" si="33"/>
        <v>202950.46</v>
      </c>
      <c r="O34" s="61">
        <f t="shared" si="31"/>
        <v>33.50858805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1872575</v>
      </c>
      <c r="M37" s="75">
        <f t="shared" si="34"/>
        <v>907965</v>
      </c>
      <c r="N37" s="75">
        <f t="shared" si="34"/>
        <v>761750</v>
      </c>
      <c r="O37" s="76">
        <f t="shared" si="31"/>
        <v>40.67927853</v>
      </c>
      <c r="P37" s="76">
        <f t="shared" si="27"/>
        <v>83.8964057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615100</v>
      </c>
      <c r="M41" s="102">
        <f t="shared" si="35"/>
        <v>283500</v>
      </c>
      <c r="N41" s="102">
        <f t="shared" si="35"/>
        <v>248278</v>
      </c>
      <c r="O41" s="101">
        <f t="shared" ref="O41:O43" si="37">IF(L41&gt;0,N41*100/L41,0)</f>
        <v>40.36384328</v>
      </c>
      <c r="P41" s="101">
        <f t="shared" ref="P41:P43" si="38">IF(M41&gt;0,N41*100/M41,0)</f>
        <v>87.57601411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615100</v>
      </c>
      <c r="M43" s="102">
        <f t="shared" si="39"/>
        <v>283500</v>
      </c>
      <c r="N43" s="102">
        <f t="shared" si="39"/>
        <v>248278</v>
      </c>
      <c r="O43" s="101">
        <f t="shared" si="37"/>
        <v>40.36384328</v>
      </c>
      <c r="P43" s="101">
        <f t="shared" si="38"/>
        <v>87.57601411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567100</v>
      </c>
      <c r="M45" s="115">
        <f>IFERROR(__xludf.DUMMYFUNCTION("IMPORTRANGE(""https://docs.google.com/spreadsheets/d/1Yj_ptqi66GCucihVvJfMjLAmec39IyEx_6qawtMGysU/edit?usp=sharing"",""สบก!Q90"")"),283500.0)</f>
        <v>283500</v>
      </c>
      <c r="N45" s="115">
        <f>IFERROR(__xludf.DUMMYFUNCTION("IMPORTRANGE(""https://docs.google.com/spreadsheets/d/1Yj_ptqi66GCucihVvJfMjLAmec39IyEx_6qawtMGysU/edit?usp=sharing"",""สบก!R90"")"),200278.0)</f>
        <v>200278</v>
      </c>
      <c r="O45" s="116">
        <f>IF(L45&gt;0,N45*100/L45,0)</f>
        <v>35.31616999</v>
      </c>
      <c r="P45" s="116">
        <f>IF(M45&gt;0,N45*100/M45,0)</f>
        <v>70.64479718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IFERROR(__xludf.DUMMYFUNCTION("IMPORTRANGE(""https://docs.google.com/spreadsheets/d/1Yj_ptqi66GCucihVvJfMjLAmec39IyEx_6qawtMGysU/edit?usp=sharing"",""สบก!M90"")"),567100.0)</f>
        <v>567100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IFERROR(__xludf.DUMMYFUNCTION("IMPORTRANGE(""https://docs.google.com/spreadsheets/d/1Yj_ptqi66GCucihVvJfMjLAmec39IyEx_6qawtMGysU/edit?usp=sharing"",""สบก!N90"")"),0.0)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IFERROR(__xludf.DUMMYFUNCTION("IMPORTRANGE(""https://docs.google.com/spreadsheets/d/1Yj_ptqi66GCucihVvJfMjLAmec39IyEx_6qawtMGysU/edit?usp=sharing"",""สบก!O90"")"),48000.0)</f>
        <v>48000</v>
      </c>
      <c r="M49" s="125"/>
      <c r="N49" s="115">
        <f>IFERROR(__xludf.DUMMYFUNCTION("IMPORTRANGE(""https://docs.google.com/spreadsheets/d/1Yj_ptqi66GCucihVvJfMjLAmec39IyEx_6qawtMGysU/edit?usp=sharing"",""สบก!S90"")"),48000.0)</f>
        <v>48000</v>
      </c>
      <c r="O49" s="125">
        <f>IF(L49&gt;0,N49*100/L49,0)</f>
        <v>100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169000</v>
      </c>
      <c r="M53" s="151">
        <f t="shared" si="40"/>
        <v>123500</v>
      </c>
      <c r="N53" s="151">
        <f t="shared" si="40"/>
        <v>68940</v>
      </c>
      <c r="O53" s="150">
        <f t="shared" ref="O53:O55" si="42">IF(L53&gt;0,N53*100/L53,0)</f>
        <v>40.79289941</v>
      </c>
      <c r="P53" s="150">
        <f t="shared" ref="P53:P55" si="43">IF(M53&gt;0,N53*100/M53,0)</f>
        <v>55.82186235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169000</v>
      </c>
      <c r="M55" s="151">
        <f t="shared" si="44"/>
        <v>123500</v>
      </c>
      <c r="N55" s="151">
        <f t="shared" si="44"/>
        <v>68940</v>
      </c>
      <c r="O55" s="150">
        <f t="shared" si="42"/>
        <v>40.79289941</v>
      </c>
      <c r="P55" s="150">
        <f t="shared" si="43"/>
        <v>55.82186235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169000</v>
      </c>
      <c r="M57" s="115">
        <f>IFERROR(__xludf.DUMMYFUNCTION("IMPORTRANGE(""https://docs.google.com/spreadsheets/d/1Yj_ptqi66GCucihVvJfMjLAmec39IyEx_6qawtMGysU/edit?usp=sharing"",""สบก!Z90"")"),123500.0)</f>
        <v>123500</v>
      </c>
      <c r="N57" s="115">
        <f>IFERROR(__xludf.DUMMYFUNCTION("IMPORTRANGE(""https://docs.google.com/spreadsheets/d/1Yj_ptqi66GCucihVvJfMjLAmec39IyEx_6qawtMGysU/edit?usp=sharing"",""สบก!AA90"")"),68940.0)</f>
        <v>68940</v>
      </c>
      <c r="O57" s="116">
        <f>IF(L57&gt;0,N57*100/L57,0)</f>
        <v>40.79289941</v>
      </c>
      <c r="P57" s="116">
        <f>IF(M57&gt;0,N57*100/M57,0)</f>
        <v>55.82186235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IFERROR(__xludf.DUMMYFUNCTION("IMPORTRANGE(""https://docs.google.com/spreadsheets/d/1Yj_ptqi66GCucihVvJfMjLAmec39IyEx_6qawtMGysU/edit?usp=sharing"",""สบก!V90"")"),169000.0)</f>
        <v>169000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IFERROR(__xludf.DUMMYFUNCTION("IMPORTRANGE(""https://docs.google.com/spreadsheets/d/1Yj_ptqi66GCucihVvJfMjLAmec39IyEx_6qawtMGysU/edit?usp=sharing"",""สบก!W90"")"),0.0)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IFERROR(__xludf.DUMMYFUNCTION("IMPORTRANGE(""https://docs.google.com/spreadsheets/d/1Yj_ptqi66GCucihVvJfMjLAmec39IyEx_6qawtMGysU/edit?usp=sharing"",""สบก!X90"")"),0.0)</f>
        <v>0</v>
      </c>
      <c r="M61" s="125"/>
      <c r="N61" s="115">
        <f>IFERROR(__xludf.DUMMYFUNCTION("IMPORTRANGE(""https://docs.google.com/spreadsheets/d/1Yj_ptqi66GCucihVvJfMjLAmec39IyEx_6qawtMGysU/edit?usp=sharing"",""สบก!AB90"")"),0.0)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IFERROR(__xludf.DUMMYFUNCTION("IMPORTRANGE(""https://docs.google.com/spreadsheets/d/1IYY_tgx_IHuhSq3AJ5eI5OnqOPBNLWSHKh2a30DoXe8/edit?usp=sharing"",""ยะลา!I9"")"),0.0)</f>
        <v>0</v>
      </c>
      <c r="J64" s="172">
        <f>IFERROR(__xludf.DUMMYFUNCTION("IMPORTRANGE(""https://docs.google.com/spreadsheets/d/1IYY_tgx_IHuhSq3AJ5eI5OnqOPBNLWSHKh2a30DoXe8/edit?usp=sharing"",""ยะลา!J9"")"),0.0)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IFERROR(__xludf.DUMMYFUNCTION("IMPORTRANGE(""https://docs.google.com/spreadsheets/d/1IYY_tgx_IHuhSq3AJ5eI5OnqOPBNLWSHKh2a30DoXe8/edit?usp=sharing"",""ยะลา!I10"")"),0.0)</f>
        <v>0</v>
      </c>
      <c r="J65" s="172">
        <f>IFERROR(__xludf.DUMMYFUNCTION("IMPORTRANGE(""https://docs.google.com/spreadsheets/d/1IYY_tgx_IHuhSq3AJ5eI5OnqOPBNLWSHKh2a30DoXe8/edit?usp=sharing"",""ยะลา!J10"")"),0.0)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IFERROR(__xludf.DUMMYFUNCTION("IMPORTRANGE(""https://docs.google.com/spreadsheets/d/1Yj_ptqi66GCucihVvJfMjLAmec39IyEx_6qawtMGysU/edit?usp=sharing"",""สบก!AI90"")"),0.0)</f>
        <v>0</v>
      </c>
      <c r="N70" s="202">
        <f>IFERROR(__xludf.DUMMYFUNCTION("IMPORTRANGE(""https://docs.google.com/spreadsheets/d/1Yj_ptqi66GCucihVvJfMjLAmec39IyEx_6qawtMGysU/edit?usp=sharing"",""สบก!AJ90"")"),0.0)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IFERROR(__xludf.DUMMYFUNCTION("IMPORTRANGE(""https://docs.google.com/spreadsheets/d/1Yj_ptqi66GCucihVvJfMjLAmec39IyEx_6qawtMGysU/edit?usp=sharing"",""สบก!AE90"")"),0.0)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IFERROR(__xludf.DUMMYFUNCTION("IMPORTRANGE(""https://docs.google.com/spreadsheets/d/1Yj_ptqi66GCucihVvJfMjLAmec39IyEx_6qawtMGysU/edit?usp=sharing"",""สบก!AF90"")"),0.0)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IFERROR(__xludf.DUMMYFUNCTION("IMPORTRANGE(""https://docs.google.com/spreadsheets/d/1Yj_ptqi66GCucihVvJfMjLAmec39IyEx_6qawtMGysU/edit?usp=sharing"",""สบก!AG90"")"),0.0)</f>
        <v>0</v>
      </c>
      <c r="M74" s="125"/>
      <c r="N74" s="115">
        <f>IFERROR(__xludf.DUMMYFUNCTION("IMPORTRANGE(""https://docs.google.com/spreadsheets/d/1Yj_ptqi66GCucihVvJfMjLAmec39IyEx_6qawtMGysU/edit?usp=sharing"",""สบก!AK90"")"),0.0)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IFERROR(__xludf.DUMMYFUNCTION("IMPORTRANGE(""https://docs.google.com/spreadsheets/d/1IYY_tgx_IHuhSq3AJ5eI5OnqOPBNLWSHKh2a30DoXe8/edit?usp=sharing"",""ยะลา!J16"")"),0.0)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IFERROR(__xludf.DUMMYFUNCTION("IMPORTRANGE(""https://docs.google.com/spreadsheets/d/1IYY_tgx_IHuhSq3AJ5eI5OnqOPBNLWSHKh2a30DoXe8/edit?usp=sharing"",""ยะลา!J17"")"),0.0)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IFERROR(__xludf.DUMMYFUNCTION("IMPORTRANGE(""https://docs.google.com/spreadsheets/d/1IYY_tgx_IHuhSq3AJ5eI5OnqOPBNLWSHKh2a30DoXe8/edit?usp=sharing"",""ยะลา!J18"")"),0.0)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IFERROR(__xludf.DUMMYFUNCTION("IMPORTRANGE(""https://docs.google.com/spreadsheets/d/1IYY_tgx_IHuhSq3AJ5eI5OnqOPBNLWSHKh2a30DoXe8/edit?usp=sharing"",""ยะลา!J19"")"),0.0)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IFERROR(__xludf.DUMMYFUNCTION("IMPORTRANGE(""https://docs.google.com/spreadsheets/d/1IYY_tgx_IHuhSq3AJ5eI5OnqOPBNLWSHKh2a30DoXe8/edit?usp=sharing"",""ยะลา!I20"")"),0.0)</f>
        <v>0</v>
      </c>
      <c r="J80" s="235">
        <f>IFERROR(__xludf.DUMMYFUNCTION("IMPORTRANGE(""https://docs.google.com/spreadsheets/d/1IYY_tgx_IHuhSq3AJ5eI5OnqOPBNLWSHKh2a30DoXe8/edit?usp=sharing"",""ยะลา!J20"")"),0.0)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IFERROR(__xludf.DUMMYFUNCTION("IMPORTRANGE(""https://docs.google.com/spreadsheets/d/1IYY_tgx_IHuhSq3AJ5eI5OnqOPBNLWSHKh2a30DoXe8/edit?usp=sharing"",""ยะลา!I21"")"),0.0)</f>
        <v>0</v>
      </c>
      <c r="J81" s="235">
        <f>IFERROR(__xludf.DUMMYFUNCTION("IMPORTRANGE(""https://docs.google.com/spreadsheets/d/1IYY_tgx_IHuhSq3AJ5eI5OnqOPBNLWSHKh2a30DoXe8/edit?usp=sharing"",""ยะลา!J21"")"),0.0)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IFERROR(__xludf.DUMMYFUNCTION("IMPORTRANGE(""https://docs.google.com/spreadsheets/d/1IYY_tgx_IHuhSq3AJ5eI5OnqOPBNLWSHKh2a30DoXe8/edit?usp=sharing"",""ยะลา!I22"")"),0.0)</f>
        <v>0</v>
      </c>
      <c r="J82" s="238">
        <f>IFERROR(__xludf.DUMMYFUNCTION("IMPORTRANGE(""https://docs.google.com/spreadsheets/d/1IYY_tgx_IHuhSq3AJ5eI5OnqOPBNLWSHKh2a30DoXe8/edit?usp=sharing"",""ยะลา!J22"")"),0.0)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IFERROR(__xludf.DUMMYFUNCTION("IMPORTRANGE(""https://docs.google.com/spreadsheets/d/1IYY_tgx_IHuhSq3AJ5eI5OnqOPBNLWSHKh2a30DoXe8/edit?usp=sharing"",""ยะลา!I23"")"),0.0)</f>
        <v>0</v>
      </c>
      <c r="J83" s="238">
        <f>IFERROR(__xludf.DUMMYFUNCTION("IMPORTRANGE(""https://docs.google.com/spreadsheets/d/1IYY_tgx_IHuhSq3AJ5eI5OnqOPBNLWSHKh2a30DoXe8/edit?usp=sharing"",""ยะลา!J23"")"),0.0)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IFERROR(__xludf.DUMMYFUNCTION("IMPORTRANGE(""https://docs.google.com/spreadsheets/d/1IYY_tgx_IHuhSq3AJ5eI5OnqOPBNLWSHKh2a30DoXe8/edit?usp=sharing"",""ยะลา!I24"")"),0.0)</f>
        <v>0</v>
      </c>
      <c r="J84" s="223">
        <f>IFERROR(__xludf.DUMMYFUNCTION("IMPORTRANGE(""https://docs.google.com/spreadsheets/d/1IYY_tgx_IHuhSq3AJ5eI5OnqOPBNLWSHKh2a30DoXe8/edit?usp=sharing"",""ยะลา!J24"")"),0.0)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IFERROR(__xludf.DUMMYFUNCTION("IMPORTRANGE(""https://docs.google.com/spreadsheets/d/1IYY_tgx_IHuhSq3AJ5eI5OnqOPBNLWSHKh2a30DoXe8/edit?usp=sharing"",""ยะลา!I25"")"),0.0)</f>
        <v>0</v>
      </c>
      <c r="J85" s="223">
        <f>IFERROR(__xludf.DUMMYFUNCTION("IMPORTRANGE(""https://docs.google.com/spreadsheets/d/1IYY_tgx_IHuhSq3AJ5eI5OnqOPBNLWSHKh2a30DoXe8/edit?usp=sharing"",""ยะลา!J25"")"),0.0)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IFERROR(__xludf.DUMMYFUNCTION("IMPORTRANGE(""https://docs.google.com/spreadsheets/d/1IYY_tgx_IHuhSq3AJ5eI5OnqOPBNLWSHKh2a30DoXe8/edit?usp=sharing"",""ยะลา!I26"")"),0.0)</f>
        <v>0</v>
      </c>
      <c r="J86" s="238">
        <f>IFERROR(__xludf.DUMMYFUNCTION("IMPORTRANGE(""https://docs.google.com/spreadsheets/d/1IYY_tgx_IHuhSq3AJ5eI5OnqOPBNLWSHKh2a30DoXe8/edit?usp=sharing"",""ยะลา!J26"")"),0.0)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IFERROR(__xludf.DUMMYFUNCTION("IMPORTRANGE(""https://docs.google.com/spreadsheets/d/1IYY_tgx_IHuhSq3AJ5eI5OnqOPBNLWSHKh2a30DoXe8/edit?usp=sharing"",""ยะลา!I27"")"),0.0)</f>
        <v>0</v>
      </c>
      <c r="J87" s="238">
        <f>IFERROR(__xludf.DUMMYFUNCTION("IMPORTRANGE(""https://docs.google.com/spreadsheets/d/1IYY_tgx_IHuhSq3AJ5eI5OnqOPBNLWSHKh2a30DoXe8/edit?usp=sharing"",""ยะลา!J27"")"),0.0)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IFERROR(__xludf.DUMMYFUNCTION("IMPORTRANGE(""https://docs.google.com/spreadsheets/d/1IYY_tgx_IHuhSq3AJ5eI5OnqOPBNLWSHKh2a30DoXe8/edit?usp=sharing"",""ยะลา!I28"")"),0.0)</f>
        <v>0</v>
      </c>
      <c r="J88" s="238">
        <f>IFERROR(__xludf.DUMMYFUNCTION("IMPORTRANGE(""https://docs.google.com/spreadsheets/d/1IYY_tgx_IHuhSq3AJ5eI5OnqOPBNLWSHKh2a30DoXe8/edit?usp=sharing"",""ยะลา!J28"")"),0.0)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IFERROR(__xludf.DUMMYFUNCTION("IMPORTRANGE(""https://docs.google.com/spreadsheets/d/1IYY_tgx_IHuhSq3AJ5eI5OnqOPBNLWSHKh2a30DoXe8/edit?usp=sharing"",""ยะลา!J29"")"),0.0)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IFERROR(__xludf.DUMMYFUNCTION("IMPORTRANGE(""https://docs.google.com/spreadsheets/d/1IYY_tgx_IHuhSq3AJ5eI5OnqOPBNLWSHKh2a30DoXe8/edit?usp=sharing"",""ยะลา!J30"")"),0.0)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IFERROR(__xludf.DUMMYFUNCTION("IMPORTRANGE(""https://docs.google.com/spreadsheets/d/1IYY_tgx_IHuhSq3AJ5eI5OnqOPBNLWSHKh2a30DoXe8/edit?usp=sharing"",""ยะลา!I32"")"),0.0)</f>
        <v>0</v>
      </c>
      <c r="J92" s="172">
        <f>IFERROR(__xludf.DUMMYFUNCTION("IMPORTRANGE(""https://docs.google.com/spreadsheets/d/1IYY_tgx_IHuhSq3AJ5eI5OnqOPBNLWSHKh2a30DoXe8/edit?usp=sharing"",""ยะลา!J32"")"),0.0)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IFERROR(__xludf.DUMMYFUNCTION("IMPORTRANGE(""https://docs.google.com/spreadsheets/d/1IYY_tgx_IHuhSq3AJ5eI5OnqOPBNLWSHKh2a30DoXe8/edit?usp=sharing"",""ยะลา!I33"")"),0.0)</f>
        <v>0</v>
      </c>
      <c r="J93" s="172">
        <f>IFERROR(__xludf.DUMMYFUNCTION("IMPORTRANGE(""https://docs.google.com/spreadsheets/d/1IYY_tgx_IHuhSq3AJ5eI5OnqOPBNLWSHKh2a30DoXe8/edit?usp=sharing"",""ยะลา!J33"")"),0.0)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IFERROR(__xludf.DUMMYFUNCTION("IMPORTRANGE(""https://docs.google.com/spreadsheets/d/1Yj_ptqi66GCucihVvJfMjLAmec39IyEx_6qawtMGysU/edit?usp=sharing"",""สบก!AR90"")"),0.0)</f>
        <v>0</v>
      </c>
      <c r="N98" s="202">
        <f>IFERROR(__xludf.DUMMYFUNCTION("IMPORTRANGE(""https://docs.google.com/spreadsheets/d/1Yj_ptqi66GCucihVvJfMjLAmec39IyEx_6qawtMGysU/edit?usp=sharing"",""สบก!AS90"")"),0.0)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IFERROR(__xludf.DUMMYFUNCTION("IMPORTRANGE(""https://docs.google.com/spreadsheets/d/1Yj_ptqi66GCucihVvJfMjLAmec39IyEx_6qawtMGysU/edit?usp=sharing"",""สบก!AN90"")"),0.0)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IFERROR(__xludf.DUMMYFUNCTION("IMPORTRANGE(""https://docs.google.com/spreadsheets/d/1Yj_ptqi66GCucihVvJfMjLAmec39IyEx_6qawtMGysU/edit?usp=sharing"",""สบก!AO90"")"),0.0)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IFERROR(__xludf.DUMMYFUNCTION("IMPORTRANGE(""https://docs.google.com/spreadsheets/d/1Yj_ptqi66GCucihVvJfMjLAmec39IyEx_6qawtMGysU/edit?usp=sharing"",""สบก!AP90"")"),0.0)</f>
        <v>0</v>
      </c>
      <c r="M102" s="125"/>
      <c r="N102" s="115">
        <f>IFERROR(__xludf.DUMMYFUNCTION("IMPORTRANGE(""https://docs.google.com/spreadsheets/d/1Yj_ptqi66GCucihVvJfMjLAmec39IyEx_6qawtMGysU/edit?usp=sharing"",""สบก!AT90"")"),0.0)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IFERROR(__xludf.DUMMYFUNCTION("IMPORTRANGE(""https://docs.google.com/spreadsheets/d/1IYY_tgx_IHuhSq3AJ5eI5OnqOPBNLWSHKh2a30DoXe8/edit?usp=sharing"",""ยะลา!J39"")"),0.0)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IFERROR(__xludf.DUMMYFUNCTION("IMPORTRANGE(""https://docs.google.com/spreadsheets/d/1IYY_tgx_IHuhSq3AJ5eI5OnqOPBNLWSHKh2a30DoXe8/edit?usp=sharing"",""ยะลา!J40"")"),0.0)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IFERROR(__xludf.DUMMYFUNCTION("IMPORTRANGE(""https://docs.google.com/spreadsheets/d/1IYY_tgx_IHuhSq3AJ5eI5OnqOPBNLWSHKh2a30DoXe8/edit?usp=sharing"",""ยะลา!J41"")"),0.0)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IFERROR(__xludf.DUMMYFUNCTION("IMPORTRANGE(""https://docs.google.com/spreadsheets/d/1IYY_tgx_IHuhSq3AJ5eI5OnqOPBNLWSHKh2a30DoXe8/edit?usp=sharing"",""ยะลา!J42"")"),0.0)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IFERROR(__xludf.DUMMYFUNCTION("IMPORTRANGE(""https://docs.google.com/spreadsheets/d/1IYY_tgx_IHuhSq3AJ5eI5OnqOPBNLWSHKh2a30DoXe8/edit?usp=sharing"",""ยะลา!I43"")"),0.0)</f>
        <v>0</v>
      </c>
      <c r="J108" s="238">
        <f>IFERROR(__xludf.DUMMYFUNCTION("IMPORTRANGE(""https://docs.google.com/spreadsheets/d/1IYY_tgx_IHuhSq3AJ5eI5OnqOPBNLWSHKh2a30DoXe8/edit?usp=sharing"",""ยะลา!J43"")"),0.0)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IFERROR(__xludf.DUMMYFUNCTION("IMPORTRANGE(""https://docs.google.com/spreadsheets/d/1IYY_tgx_IHuhSq3AJ5eI5OnqOPBNLWSHKh2a30DoXe8/edit?usp=sharing"",""ยะลา!I44"")"),0.0)</f>
        <v>0</v>
      </c>
      <c r="J109" s="238">
        <f>IFERROR(__xludf.DUMMYFUNCTION("IMPORTRANGE(""https://docs.google.com/spreadsheets/d/1IYY_tgx_IHuhSq3AJ5eI5OnqOPBNLWSHKh2a30DoXe8/edit?usp=sharing"",""ยะลา!J44"")"),0.0)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IFERROR(__xludf.DUMMYFUNCTION("IMPORTRANGE(""https://docs.google.com/spreadsheets/d/1IYY_tgx_IHuhSq3AJ5eI5OnqOPBNLWSHKh2a30DoXe8/edit?usp=sharing"",""ยะลา!I45"")"),0.0)</f>
        <v>0</v>
      </c>
      <c r="J110" s="238">
        <f>IFERROR(__xludf.DUMMYFUNCTION("IMPORTRANGE(""https://docs.google.com/spreadsheets/d/1IYY_tgx_IHuhSq3AJ5eI5OnqOPBNLWSHKh2a30DoXe8/edit?usp=sharing"",""ยะลา!J45"")"),0.0)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IFERROR(__xludf.DUMMYFUNCTION("IMPORTRANGE(""https://docs.google.com/spreadsheets/d/1IYY_tgx_IHuhSq3AJ5eI5OnqOPBNLWSHKh2a30DoXe8/edit?usp=sharing"",""ยะลา!I46"")"),0.0)</f>
        <v>0</v>
      </c>
      <c r="J111" s="238">
        <f>IFERROR(__xludf.DUMMYFUNCTION("IMPORTRANGE(""https://docs.google.com/spreadsheets/d/1IYY_tgx_IHuhSq3AJ5eI5OnqOPBNLWSHKh2a30DoXe8/edit?usp=sharing"",""ยะลา!J46"")"),0.0)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IFERROR(__xludf.DUMMYFUNCTION("IMPORTRANGE(""https://docs.google.com/spreadsheets/d/1IYY_tgx_IHuhSq3AJ5eI5OnqOPBNLWSHKh2a30DoXe8/edit?usp=sharing"",""ยะลา!I47"")"),0.0)</f>
        <v>0</v>
      </c>
      <c r="J112" s="238">
        <f>IFERROR(__xludf.DUMMYFUNCTION("IMPORTRANGE(""https://docs.google.com/spreadsheets/d/1IYY_tgx_IHuhSq3AJ5eI5OnqOPBNLWSHKh2a30DoXe8/edit?usp=sharing"",""ยะลา!J47"")"),0.0)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IFERROR(__xludf.DUMMYFUNCTION("IMPORTRANGE(""https://docs.google.com/spreadsheets/d/1IYY_tgx_IHuhSq3AJ5eI5OnqOPBNLWSHKh2a30DoXe8/edit?usp=sharing"",""ยะลา!I48"")"),0.0)</f>
        <v>0</v>
      </c>
      <c r="J113" s="238">
        <f>IFERROR(__xludf.DUMMYFUNCTION("IMPORTRANGE(""https://docs.google.com/spreadsheets/d/1IYY_tgx_IHuhSq3AJ5eI5OnqOPBNLWSHKh2a30DoXe8/edit?usp=sharing"",""ยะลา!J48"")"),0.0)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IFERROR(__xludf.DUMMYFUNCTION("IMPORTRANGE(""https://docs.google.com/spreadsheets/d/1IYY_tgx_IHuhSq3AJ5eI5OnqOPBNLWSHKh2a30DoXe8/edit?usp=sharing"",""ยะลา!J49"")"),0.0)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IFERROR(__xludf.DUMMYFUNCTION("IMPORTRANGE(""https://docs.google.com/spreadsheets/d/1IYY_tgx_IHuhSq3AJ5eI5OnqOPBNLWSHKh2a30DoXe8/edit?usp=sharing"",""ยะลา!J50"")"),0.0)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IFERROR(__xludf.DUMMYFUNCTION("IMPORTRANGE(""https://docs.google.com/spreadsheets/d/1IYY_tgx_IHuhSq3AJ5eI5OnqOPBNLWSHKh2a30DoXe8/edit?usp=sharing"",""ยะลา!I52"")"),0.0)</f>
        <v>0</v>
      </c>
      <c r="J117" s="172">
        <f>IFERROR(__xludf.DUMMYFUNCTION("IMPORTRANGE(""https://docs.google.com/spreadsheets/d/1IYY_tgx_IHuhSq3AJ5eI5OnqOPBNLWSHKh2a30DoXe8/edit?usp=sharing"",""ยะลา!J52"")"),0.0)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IFERROR(__xludf.DUMMYFUNCTION("IMPORTRANGE(""https://docs.google.com/spreadsheets/d/1Yj_ptqi66GCucihVvJfMjLAmec39IyEx_6qawtMGysU/edit?usp=sharing"",""สบก!BA90"")"),0.0)</f>
        <v>0</v>
      </c>
      <c r="N122" s="202">
        <f>IFERROR(__xludf.DUMMYFUNCTION("IMPORTRANGE(""https://docs.google.com/spreadsheets/d/1Yj_ptqi66GCucihVvJfMjLAmec39IyEx_6qawtMGysU/edit?usp=sharing"",""สบก!BB90"")"),0.0)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IFERROR(__xludf.DUMMYFUNCTION("IMPORTRANGE(""https://docs.google.com/spreadsheets/d/1Yj_ptqi66GCucihVvJfMjLAmec39IyEx_6qawtMGysU/edit?usp=sharing"",""สบก!AW90"")"),0.0)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IFERROR(__xludf.DUMMYFUNCTION("IMPORTRANGE(""https://docs.google.com/spreadsheets/d/1Yj_ptqi66GCucihVvJfMjLAmec39IyEx_6qawtMGysU/edit?usp=sharing"",""สบก!AX90"")"),0.0)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IFERROR(__xludf.DUMMYFUNCTION("IMPORTRANGE(""https://docs.google.com/spreadsheets/d/1Yj_ptqi66GCucihVvJfMjLAmec39IyEx_6qawtMGysU/edit?usp=sharing"",""สบก!AY90"")"),0.0)</f>
        <v>0</v>
      </c>
      <c r="M126" s="125"/>
      <c r="N126" s="115">
        <f>IFERROR(__xludf.DUMMYFUNCTION("IMPORTRANGE(""https://docs.google.com/spreadsheets/d/1Yj_ptqi66GCucihVvJfMjLAmec39IyEx_6qawtMGysU/edit?usp=sharing"",""สบก!BC90"")"),0.0)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IFERROR(__xludf.DUMMYFUNCTION("IMPORTRANGE(""https://docs.google.com/spreadsheets/d/1IYY_tgx_IHuhSq3AJ5eI5OnqOPBNLWSHKh2a30DoXe8/edit?usp=sharing"",""ยะลา!J58"")"),0.0)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IFERROR(__xludf.DUMMYFUNCTION("IMPORTRANGE(""https://docs.google.com/spreadsheets/d/1IYY_tgx_IHuhSq3AJ5eI5OnqOPBNLWSHKh2a30DoXe8/edit?usp=sharing"",""ยะลา!J59"")"),0.0)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IFERROR(__xludf.DUMMYFUNCTION("IMPORTRANGE(""https://docs.google.com/spreadsheets/d/1IYY_tgx_IHuhSq3AJ5eI5OnqOPBNLWSHKh2a30DoXe8/edit?usp=sharing"",""ยะลา!J60"")"),0.0)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IFERROR(__xludf.DUMMYFUNCTION("IMPORTRANGE(""https://docs.google.com/spreadsheets/d/1IYY_tgx_IHuhSq3AJ5eI5OnqOPBNLWSHKh2a30DoXe8/edit?usp=sharing"",""ยะลา!J61"")"),0.0)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IFERROR(__xludf.DUMMYFUNCTION("IMPORTRANGE(""https://docs.google.com/spreadsheets/d/1IYY_tgx_IHuhSq3AJ5eI5OnqOPBNLWSHKh2a30DoXe8/edit?usp=sharing"",""ยะลา!I62"")"),0.0)</f>
        <v>0</v>
      </c>
      <c r="J132" s="238">
        <f>IFERROR(__xludf.DUMMYFUNCTION("IMPORTRANGE(""https://docs.google.com/spreadsheets/d/1IYY_tgx_IHuhSq3AJ5eI5OnqOPBNLWSHKh2a30DoXe8/edit?usp=sharing"",""ยะลา!J62"")"),0.0)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IFERROR(__xludf.DUMMYFUNCTION("IMPORTRANGE(""https://docs.google.com/spreadsheets/d/1IYY_tgx_IHuhSq3AJ5eI5OnqOPBNLWSHKh2a30DoXe8/edit?usp=sharing"",""ยะลา!I63"")"),0.0)</f>
        <v>0</v>
      </c>
      <c r="J133" s="238">
        <f>IFERROR(__xludf.DUMMYFUNCTION("IMPORTRANGE(""https://docs.google.com/spreadsheets/d/1IYY_tgx_IHuhSq3AJ5eI5OnqOPBNLWSHKh2a30DoXe8/edit?usp=sharing"",""ยะลา!J63"")"),0.0)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IFERROR(__xludf.DUMMYFUNCTION("IMPORTRANGE(""https://docs.google.com/spreadsheets/d/1IYY_tgx_IHuhSq3AJ5eI5OnqOPBNLWSHKh2a30DoXe8/edit?usp=sharing"",""ยะลา!J64"")"),0.0)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IFERROR(__xludf.DUMMYFUNCTION("IMPORTRANGE(""https://docs.google.com/spreadsheets/d/1IYY_tgx_IHuhSq3AJ5eI5OnqOPBNLWSHKh2a30DoXe8/edit?usp=sharing"",""ยะลา!J65"")"),0.0)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IFERROR(__xludf.DUMMYFUNCTION("IMPORTRANGE(""https://docs.google.com/spreadsheets/d/1IYY_tgx_IHuhSq3AJ5eI5OnqOPBNLWSHKh2a30DoXe8/edit?usp=sharing"",""ยะลา!I68"")"),0.0)</f>
        <v>0</v>
      </c>
      <c r="J138" s="301">
        <f>IFERROR(__xludf.DUMMYFUNCTION("IMPORTRANGE(""https://docs.google.com/spreadsheets/d/1IYY_tgx_IHuhSq3AJ5eI5OnqOPBNLWSHKh2a30DoXe8/edit?usp=sharing"",""ยะลา!J68"")"),0.0)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29300</v>
      </c>
      <c r="M140" s="183">
        <f t="shared" si="65"/>
        <v>17750</v>
      </c>
      <c r="N140" s="183">
        <f t="shared" si="65"/>
        <v>2090</v>
      </c>
      <c r="O140" s="182">
        <f t="shared" ref="O140:O142" si="67">IF(L140&gt;0,N140*100/L140,0)</f>
        <v>7.133105802</v>
      </c>
      <c r="P140" s="182">
        <f t="shared" ref="P140:P142" si="68">IF(M140&gt;0,N140*100/M140,0)</f>
        <v>11.77464789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29300</v>
      </c>
      <c r="M142" s="188">
        <f t="shared" si="69"/>
        <v>17750</v>
      </c>
      <c r="N142" s="188">
        <f t="shared" si="69"/>
        <v>2090</v>
      </c>
      <c r="O142" s="187">
        <f t="shared" si="67"/>
        <v>7.133105802</v>
      </c>
      <c r="P142" s="187">
        <f t="shared" si="68"/>
        <v>11.77464789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29300</v>
      </c>
      <c r="M144" s="201">
        <f>IFERROR(__xludf.DUMMYFUNCTION("IMPORTRANGE(""https://docs.google.com/spreadsheets/d/1Yj_ptqi66GCucihVvJfMjLAmec39IyEx_6qawtMGysU/edit?usp=sharing"",""สบก!BJ90"")"),17750.0)</f>
        <v>17750</v>
      </c>
      <c r="N144" s="202">
        <f>IFERROR(__xludf.DUMMYFUNCTION("IMPORTRANGE(""https://docs.google.com/spreadsheets/d/1Yj_ptqi66GCucihVvJfMjLAmec39IyEx_6qawtMGysU/edit?usp=sharing"",""สบก!BK90"")"),2090.0)</f>
        <v>2090</v>
      </c>
      <c r="O144" s="203">
        <f>IF(L144&gt;0,N144*100/L144,0)</f>
        <v>7.133105802</v>
      </c>
      <c r="P144" s="203">
        <f>IF(M144&gt;0,N144*100/M144,0)</f>
        <v>11.77464789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IFERROR(__xludf.DUMMYFUNCTION("IMPORTRANGE(""https://docs.google.com/spreadsheets/d/1Yj_ptqi66GCucihVvJfMjLAmec39IyEx_6qawtMGysU/edit?usp=sharing"",""สบก!BF90"")"),0.0)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IFERROR(__xludf.DUMMYFUNCTION("IMPORTRANGE(""https://docs.google.com/spreadsheets/d/1Yj_ptqi66GCucihVvJfMjLAmec39IyEx_6qawtMGysU/edit?usp=sharing"",""สบก!BG90"")"),29300.0)</f>
        <v>29300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IFERROR(__xludf.DUMMYFUNCTION("IMPORTRANGE(""https://docs.google.com/spreadsheets/d/1Yj_ptqi66GCucihVvJfMjLAmec39IyEx_6qawtMGysU/edit?usp=sharing"",""สบก!BH90"")"),0.0)</f>
        <v>0</v>
      </c>
      <c r="M148" s="125"/>
      <c r="N148" s="115">
        <f>IFERROR(__xludf.DUMMYFUNCTION("IMPORTRANGE(""https://docs.google.com/spreadsheets/d/1Yj_ptqi66GCucihVvJfMjLAmec39IyEx_6qawtMGysU/edit?usp=sharing"",""สบก!BL90"")"),0.0)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IFERROR(__xludf.DUMMYFUNCTION("IMPORTRANGE(""https://docs.google.com/spreadsheets/d/1IYY_tgx_IHuhSq3AJ5eI5OnqOPBNLWSHKh2a30DoXe8/edit?usp=sharing"",""ยะลา!I74"")"),4.0)</f>
        <v>4</v>
      </c>
      <c r="J149" s="309">
        <f>IFERROR(__xludf.DUMMYFUNCTION("IMPORTRANGE(""https://docs.google.com/spreadsheets/d/1IYY_tgx_IHuhSq3AJ5eI5OnqOPBNLWSHKh2a30DoXe8/edit?usp=sharing"",""ยะลา!J74"")"),0.0)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IFERROR(__xludf.DUMMYFUNCTION("IMPORTRANGE(""https://docs.google.com/spreadsheets/d/1IYY_tgx_IHuhSq3AJ5eI5OnqOPBNLWSHKh2a30DoXe8/edit?usp=sharing"",""ยะลา!J79"")"),0.0)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IFERROR(__xludf.DUMMYFUNCTION("IMPORTRANGE(""https://docs.google.com/spreadsheets/d/1IYY_tgx_IHuhSq3AJ5eI5OnqOPBNLWSHKh2a30DoXe8/edit?usp=sharing"",""ยะลา!J80"")"),1.0)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IFERROR(__xludf.DUMMYFUNCTION("IMPORTRANGE(""https://docs.google.com/spreadsheets/d/1IYY_tgx_IHuhSq3AJ5eI5OnqOPBNLWSHKh2a30DoXe8/edit?usp=sharing"",""ยะลา!J81"")"),1.0)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IFERROR(__xludf.DUMMYFUNCTION("IMPORTRANGE(""https://docs.google.com/spreadsheets/d/1IYY_tgx_IHuhSq3AJ5eI5OnqOPBNLWSHKh2a30DoXe8/edit?usp=sharing"",""ยะลา!J82"")"),1.0)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IFERROR(__xludf.DUMMYFUNCTION("IMPORTRANGE(""https://docs.google.com/spreadsheets/d/1IYY_tgx_IHuhSq3AJ5eI5OnqOPBNLWSHKh2a30DoXe8/edit?usp=sharing"",""ยะลา!I83"")"),4.0)</f>
        <v>4</v>
      </c>
      <c r="J158" s="223">
        <f>IFERROR(__xludf.DUMMYFUNCTION("IMPORTRANGE(""https://docs.google.com/spreadsheets/d/1IYY_tgx_IHuhSq3AJ5eI5OnqOPBNLWSHKh2a30DoXe8/edit?usp=sharing"",""ยะลา!J83"")"),0.0)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IFERROR(__xludf.DUMMYFUNCTION("IMPORTRANGE(""https://docs.google.com/spreadsheets/d/1IYY_tgx_IHuhSq3AJ5eI5OnqOPBNLWSHKh2a30DoXe8/edit?usp=sharing"",""ยะลา!J84"")"),86.0)</f>
        <v>86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IFERROR(__xludf.DUMMYFUNCTION("IMPORTRANGE(""https://docs.google.com/spreadsheets/d/1IYY_tgx_IHuhSq3AJ5eI5OnqOPBNLWSHKh2a30DoXe8/edit?usp=sharing"",""ยะลา!J85"")"),86.0)</f>
        <v>86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IFERROR(__xludf.DUMMYFUNCTION("IMPORTRANGE(""https://docs.google.com/spreadsheets/d/1IYY_tgx_IHuhSq3AJ5eI5OnqOPBNLWSHKh2a30DoXe8/edit?usp=sharing"",""ยะลา!J86"")"),0.0)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IFERROR(__xludf.DUMMYFUNCTION("IMPORTRANGE(""https://docs.google.com/spreadsheets/d/1IYY_tgx_IHuhSq3AJ5eI5OnqOPBNLWSHKh2a30DoXe8/edit?usp=sharing"",""ยะลา!J87"")"),0.0)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IFERROR(__xludf.DUMMYFUNCTION("IMPORTRANGE(""https://docs.google.com/spreadsheets/d/1IYY_tgx_IHuhSq3AJ5eI5OnqOPBNLWSHKh2a30DoXe8/edit?usp=sharing"",""ยะลา!J88"")"),0.0)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IFERROR(__xludf.DUMMYFUNCTION("IMPORTRANGE(""https://docs.google.com/spreadsheets/d/1IYY_tgx_IHuhSq3AJ5eI5OnqOPBNLWSHKh2a30DoXe8/edit?usp=sharing"",""ยะลา!I89"")"),1.0)</f>
        <v>1</v>
      </c>
      <c r="J164" s="317">
        <f>IFERROR(__xludf.DUMMYFUNCTION("IMPORTRANGE(""https://docs.google.com/spreadsheets/d/1IYY_tgx_IHuhSq3AJ5eI5OnqOPBNLWSHKh2a30DoXe8/edit?usp=sharing"",""ยะลา!J89"")"),0.0)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IFERROR(__xludf.DUMMYFUNCTION("IMPORTRANGE(""https://docs.google.com/spreadsheets/d/1IYY_tgx_IHuhSq3AJ5eI5OnqOPBNLWSHKh2a30DoXe8/edit?usp=sharing"",""ยะลา!J94"")"),0.0)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IFERROR(__xludf.DUMMYFUNCTION("IMPORTRANGE(""https://docs.google.com/spreadsheets/d/1IYY_tgx_IHuhSq3AJ5eI5OnqOPBNLWSHKh2a30DoXe8/edit?usp=sharing"",""ยะลา!J95"")"),1.0)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IFERROR(__xludf.DUMMYFUNCTION("IMPORTRANGE(""https://docs.google.com/spreadsheets/d/1IYY_tgx_IHuhSq3AJ5eI5OnqOPBNLWSHKh2a30DoXe8/edit?usp=sharing"",""ยะลา!J96"")"),1.0)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IFERROR(__xludf.DUMMYFUNCTION("IMPORTRANGE(""https://docs.google.com/spreadsheets/d/1IYY_tgx_IHuhSq3AJ5eI5OnqOPBNLWSHKh2a30DoXe8/edit?usp=sharing"",""ยะลา!J97"")"),1.0)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IFERROR(__xludf.DUMMYFUNCTION("IMPORTRANGE(""https://docs.google.com/spreadsheets/d/1IYY_tgx_IHuhSq3AJ5eI5OnqOPBNLWSHKh2a30DoXe8/edit?usp=sharing"",""ยะลา!I98"")"),1.0)</f>
        <v>1</v>
      </c>
      <c r="J173" s="223">
        <f>IFERROR(__xludf.DUMMYFUNCTION("IMPORTRANGE(""https://docs.google.com/spreadsheets/d/1IYY_tgx_IHuhSq3AJ5eI5OnqOPBNLWSHKh2a30DoXe8/edit?usp=sharing"",""ยะลา!J98"")"),0.0)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IFERROR(__xludf.DUMMYFUNCTION("IMPORTRANGE(""https://docs.google.com/spreadsheets/d/1IYY_tgx_IHuhSq3AJ5eI5OnqOPBNLWSHKh2a30DoXe8/edit?usp=sharing"",""ยะลา!J99"")"),0.0)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IFERROR(__xludf.DUMMYFUNCTION("IMPORTRANGE(""https://docs.google.com/spreadsheets/d/1IYY_tgx_IHuhSq3AJ5eI5OnqOPBNLWSHKh2a30DoXe8/edit?usp=sharing"",""ยะลา!J100"")"),0.0)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IFERROR(__xludf.DUMMYFUNCTION("IMPORTRANGE(""https://docs.google.com/spreadsheets/d/1IYY_tgx_IHuhSq3AJ5eI5OnqOPBNLWSHKh2a30DoXe8/edit?usp=sharing"",""ยะลา!I101"")"),0.0)</f>
        <v>0</v>
      </c>
      <c r="J176" s="317">
        <f>IFERROR(__xludf.DUMMYFUNCTION("IMPORTRANGE(""https://docs.google.com/spreadsheets/d/1IYY_tgx_IHuhSq3AJ5eI5OnqOPBNLWSHKh2a30DoXe8/edit?usp=sharing"",""ยะลา!J101"")"),0.0)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IFERROR(__xludf.DUMMYFUNCTION("IMPORTRANGE(""https://docs.google.com/spreadsheets/d/1IYY_tgx_IHuhSq3AJ5eI5OnqOPBNLWSHKh2a30DoXe8/edit?usp=sharing"",""ยะลา!J106"")"),0.0)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IFERROR(__xludf.DUMMYFUNCTION("IMPORTRANGE(""https://docs.google.com/spreadsheets/d/1IYY_tgx_IHuhSq3AJ5eI5OnqOPBNLWSHKh2a30DoXe8/edit?usp=sharing"",""ยะลา!J107"")"),0.0)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IFERROR(__xludf.DUMMYFUNCTION("IMPORTRANGE(""https://docs.google.com/spreadsheets/d/1IYY_tgx_IHuhSq3AJ5eI5OnqOPBNLWSHKh2a30DoXe8/edit?usp=sharing"",""ยะลา!J108"")"),0.0)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IFERROR(__xludf.DUMMYFUNCTION("IMPORTRANGE(""https://docs.google.com/spreadsheets/d/1IYY_tgx_IHuhSq3AJ5eI5OnqOPBNLWSHKh2a30DoXe8/edit?usp=sharing"",""ยะลา!J109"")"),0.0)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IFERROR(__xludf.DUMMYFUNCTION("IMPORTRANGE(""https://docs.google.com/spreadsheets/d/1IYY_tgx_IHuhSq3AJ5eI5OnqOPBNLWSHKh2a30DoXe8/edit?usp=sharing"",""ยะลา!I110"")"),0.0)</f>
        <v>0</v>
      </c>
      <c r="J185" s="238">
        <f>IFERROR(__xludf.DUMMYFUNCTION("IMPORTRANGE(""https://docs.google.com/spreadsheets/d/1IYY_tgx_IHuhSq3AJ5eI5OnqOPBNLWSHKh2a30DoXe8/edit?usp=sharing"",""ยะลา!J110"")"),0.0)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IFERROR(__xludf.DUMMYFUNCTION("IMPORTRANGE(""https://docs.google.com/spreadsheets/d/1IYY_tgx_IHuhSq3AJ5eI5OnqOPBNLWSHKh2a30DoXe8/edit?usp=sharing"",""ยะลา!I111"")"),0.0)</f>
        <v>0</v>
      </c>
      <c r="J186" s="238">
        <f>IFERROR(__xludf.DUMMYFUNCTION("IMPORTRANGE(""https://docs.google.com/spreadsheets/d/1IYY_tgx_IHuhSq3AJ5eI5OnqOPBNLWSHKh2a30DoXe8/edit?usp=sharing"",""ยะลา!J111"")"),0.0)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IFERROR(__xludf.DUMMYFUNCTION("IMPORTRANGE(""https://docs.google.com/spreadsheets/d/1IYY_tgx_IHuhSq3AJ5eI5OnqOPBNLWSHKh2a30DoXe8/edit?usp=sharing"",""ยะลา!J112"")"),0.0)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IFERROR(__xludf.DUMMYFUNCTION("IMPORTRANGE(""https://docs.google.com/spreadsheets/d/1IYY_tgx_IHuhSq3AJ5eI5OnqOPBNLWSHKh2a30DoXe8/edit?usp=sharing"",""ยะลา!J113"")"),0.0)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IFERROR(__xludf.DUMMYFUNCTION("IMPORTRANGE(""https://docs.google.com/spreadsheets/d/1IYY_tgx_IHuhSq3AJ5eI5OnqOPBNLWSHKh2a30DoXe8/edit?usp=sharing"",""ยะลา!I114"")"),12000.0)</f>
        <v>12000</v>
      </c>
      <c r="J189" s="317">
        <f>IFERROR(__xludf.DUMMYFUNCTION("IMPORTRANGE(""https://docs.google.com/spreadsheets/d/1IYY_tgx_IHuhSq3AJ5eI5OnqOPBNLWSHKh2a30DoXe8/edit?usp=sharing"",""ยะลา!J114"")"),0.0)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IFERROR(__xludf.DUMMYFUNCTION("IMPORTRANGE(""https://docs.google.com/spreadsheets/d/1IYY_tgx_IHuhSq3AJ5eI5OnqOPBNLWSHKh2a30DoXe8/edit?usp=sharing"",""ยะลา!J119"")"),1.0)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IFERROR(__xludf.DUMMYFUNCTION("IMPORTRANGE(""https://docs.google.com/spreadsheets/d/1IYY_tgx_IHuhSq3AJ5eI5OnqOPBNLWSHKh2a30DoXe8/edit?usp=sharing"",""ยะลา!J120"")"),0.0)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IFERROR(__xludf.DUMMYFUNCTION("IMPORTRANGE(""https://docs.google.com/spreadsheets/d/1IYY_tgx_IHuhSq3AJ5eI5OnqOPBNLWSHKh2a30DoXe8/edit?usp=sharing"",""ยะลา!J121"")"),0.0)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IFERROR(__xludf.DUMMYFUNCTION("IMPORTRANGE(""https://docs.google.com/spreadsheets/d/1IYY_tgx_IHuhSq3AJ5eI5OnqOPBNLWSHKh2a30DoXe8/edit?usp=sharing"",""ยะลา!J122"")"),0.0)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IFERROR(__xludf.DUMMYFUNCTION("IMPORTRANGE(""https://docs.google.com/spreadsheets/d/1IYY_tgx_IHuhSq3AJ5eI5OnqOPBNLWSHKh2a30DoXe8/edit?usp=sharing"",""ยะลา!I124"")"),12000.0)</f>
        <v>12000</v>
      </c>
      <c r="J199" s="223">
        <f>IFERROR(__xludf.DUMMYFUNCTION("IMPORTRANGE(""https://docs.google.com/spreadsheets/d/1IYY_tgx_IHuhSq3AJ5eI5OnqOPBNLWSHKh2a30DoXe8/edit?usp=sharing"",""ยะลา!J124"")"),0.0)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IFERROR(__xludf.DUMMYFUNCTION("IMPORTRANGE(""https://docs.google.com/spreadsheets/d/1IYY_tgx_IHuhSq3AJ5eI5OnqOPBNLWSHKh2a30DoXe8/edit?usp=sharing"",""ยะลา!I125"")"),12000.0)</f>
        <v>12000</v>
      </c>
      <c r="J200" s="223">
        <f>IFERROR(__xludf.DUMMYFUNCTION("IMPORTRANGE(""https://docs.google.com/spreadsheets/d/1IYY_tgx_IHuhSq3AJ5eI5OnqOPBNLWSHKh2a30DoXe8/edit?usp=sharing"",""ยะลา!J125"")"),0.0)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IFERROR(__xludf.DUMMYFUNCTION("IMPORTRANGE(""https://docs.google.com/spreadsheets/d/1IYY_tgx_IHuhSq3AJ5eI5OnqOPBNLWSHKh2a30DoXe8/edit?usp=sharing"",""ยะลา!I126"")"),0.0)</f>
        <v>0</v>
      </c>
      <c r="J201" s="223">
        <f>IFERROR(__xludf.DUMMYFUNCTION("IMPORTRANGE(""https://docs.google.com/spreadsheets/d/1IYY_tgx_IHuhSq3AJ5eI5OnqOPBNLWSHKh2a30DoXe8/edit?usp=sharing"",""ยะลา!J126"")"),0.0)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IFERROR(__xludf.DUMMYFUNCTION("IMPORTRANGE(""https://docs.google.com/spreadsheets/d/1IYY_tgx_IHuhSq3AJ5eI5OnqOPBNLWSHKh2a30DoXe8/edit?usp=sharing"",""ยะลา!J127"")"),0.0)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IFERROR(__xludf.DUMMYFUNCTION("IMPORTRANGE(""https://docs.google.com/spreadsheets/d/1IYY_tgx_IHuhSq3AJ5eI5OnqOPBNLWSHKh2a30DoXe8/edit?usp=sharing"",""ยะลา!J128"")"),0.0)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IFERROR(__xludf.DUMMYFUNCTION("IMPORTRANGE(""https://docs.google.com/spreadsheets/d/1IYY_tgx_IHuhSq3AJ5eI5OnqOPBNLWSHKh2a30DoXe8/edit?usp=sharing"",""ยะลา!I129"")"),0.0)</f>
        <v>0</v>
      </c>
      <c r="J204" s="317">
        <f>IFERROR(__xludf.DUMMYFUNCTION("IMPORTRANGE(""https://docs.google.com/spreadsheets/d/1IYY_tgx_IHuhSq3AJ5eI5OnqOPBNLWSHKh2a30DoXe8/edit?usp=sharing"",""ยะลา!J129"")"),0.0)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IFERROR(__xludf.DUMMYFUNCTION("IMPORTRANGE(""https://docs.google.com/spreadsheets/d/1IYY_tgx_IHuhSq3AJ5eI5OnqOPBNLWSHKh2a30DoXe8/edit?usp=sharing"",""ยะลา!J134"")"),0.0)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IFERROR(__xludf.DUMMYFUNCTION("IMPORTRANGE(""https://docs.google.com/spreadsheets/d/1IYY_tgx_IHuhSq3AJ5eI5OnqOPBNLWSHKh2a30DoXe8/edit?usp=sharing"",""ยะลา!J135"")"),0.0)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IFERROR(__xludf.DUMMYFUNCTION("IMPORTRANGE(""https://docs.google.com/spreadsheets/d/1IYY_tgx_IHuhSq3AJ5eI5OnqOPBNLWSHKh2a30DoXe8/edit?usp=sharing"",""ยะลา!J136"")"),0.0)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IFERROR(__xludf.DUMMYFUNCTION("IMPORTRANGE(""https://docs.google.com/spreadsheets/d/1IYY_tgx_IHuhSq3AJ5eI5OnqOPBNLWSHKh2a30DoXe8/edit?usp=sharing"",""ยะลา!J137"")"),0.0)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IFERROR(__xludf.DUMMYFUNCTION("IMPORTRANGE(""https://docs.google.com/spreadsheets/d/1IYY_tgx_IHuhSq3AJ5eI5OnqOPBNLWSHKh2a30DoXe8/edit?usp=sharing"",""ยะลา!I138"")"),0.0)</f>
        <v>0</v>
      </c>
      <c r="J213" s="238">
        <f>IFERROR(__xludf.DUMMYFUNCTION("IMPORTRANGE(""https://docs.google.com/spreadsheets/d/1IYY_tgx_IHuhSq3AJ5eI5OnqOPBNLWSHKh2a30DoXe8/edit?usp=sharing"",""ยะลา!J138"")"),0.0)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IFERROR(__xludf.DUMMYFUNCTION("IMPORTRANGE(""https://docs.google.com/spreadsheets/d/1IYY_tgx_IHuhSq3AJ5eI5OnqOPBNLWSHKh2a30DoXe8/edit?usp=sharing"",""ยะลา!I140"")"),0.0)</f>
        <v>0</v>
      </c>
      <c r="J215" s="238">
        <f>IFERROR(__xludf.DUMMYFUNCTION("IMPORTRANGE(""https://docs.google.com/spreadsheets/d/1IYY_tgx_IHuhSq3AJ5eI5OnqOPBNLWSHKh2a30DoXe8/edit?usp=sharing"",""ยะลา!J140"")"),0.0)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IFERROR(__xludf.DUMMYFUNCTION("IMPORTRANGE(""https://docs.google.com/spreadsheets/d/1IYY_tgx_IHuhSq3AJ5eI5OnqOPBNLWSHKh2a30DoXe8/edit?usp=sharing"",""ยะลา!I141"")"),0.0)</f>
        <v>0</v>
      </c>
      <c r="J216" s="238">
        <f>IFERROR(__xludf.DUMMYFUNCTION("IMPORTRANGE(""https://docs.google.com/spreadsheets/d/1IYY_tgx_IHuhSq3AJ5eI5OnqOPBNLWSHKh2a30DoXe8/edit?usp=sharing"",""ยะลา!J141"")"),0.0)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IFERROR(__xludf.DUMMYFUNCTION("IMPORTRANGE(""https://docs.google.com/spreadsheets/d/1IYY_tgx_IHuhSq3AJ5eI5OnqOPBNLWSHKh2a30DoXe8/edit?usp=sharing"",""ยะลา!J142"")"),0.0)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IFERROR(__xludf.DUMMYFUNCTION("IMPORTRANGE(""https://docs.google.com/spreadsheets/d/1IYY_tgx_IHuhSq3AJ5eI5OnqOPBNLWSHKh2a30DoXe8/edit?usp=sharing"",""ยะลา!J143"")"),0.0)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IFERROR(__xludf.DUMMYFUNCTION("IMPORTRANGE(""https://docs.google.com/spreadsheets/d/1IYY_tgx_IHuhSq3AJ5eI5OnqOPBNLWSHKh2a30DoXe8/edit?usp=sharing"",""ยะลา!I144"")"),15.0)</f>
        <v>15</v>
      </c>
      <c r="J219" s="301">
        <f>IFERROR(__xludf.DUMMYFUNCTION("IMPORTRANGE(""https://docs.google.com/spreadsheets/d/1IYY_tgx_IHuhSq3AJ5eI5OnqOPBNLWSHKh2a30DoXe8/edit?usp=sharing"",""ยะลา!J144"")"),0.0)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IFERROR(__xludf.DUMMYFUNCTION("IMPORTRANGE(""https://docs.google.com/spreadsheets/d/1Yj_ptqi66GCucihVvJfMjLAmec39IyEx_6qawtMGysU/edit?usp=sharing"",""สบก!BS90"")"),21125.0)</f>
        <v>21125</v>
      </c>
      <c r="N224" s="202">
        <f>IFERROR(__xludf.DUMMYFUNCTION("IMPORTRANGE(""https://docs.google.com/spreadsheets/d/1Yj_ptqi66GCucihVvJfMjLAmec39IyEx_6qawtMGysU/edit?usp=sharing"",""สบก!BT90"")"),0.0)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IFERROR(__xludf.DUMMYFUNCTION("IMPORTRANGE(""https://docs.google.com/spreadsheets/d/1Yj_ptqi66GCucihVvJfMjLAmec39IyEx_6qawtMGysU/edit?usp=sharing"",""สบก!BO90"")"),0.0)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IFERROR(__xludf.DUMMYFUNCTION("IMPORTRANGE(""https://docs.google.com/spreadsheets/d/1Yj_ptqi66GCucihVvJfMjLAmec39IyEx_6qawtMGysU/edit?usp=sharing"",""สบก!BP90"")"),21125.0)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IFERROR(__xludf.DUMMYFUNCTION("IMPORTRANGE(""https://docs.google.com/spreadsheets/d/1Yj_ptqi66GCucihVvJfMjLAmec39IyEx_6qawtMGysU/edit?usp=sharing"",""สบก!BQ90"")"),0.0)</f>
        <v>0</v>
      </c>
      <c r="M228" s="125"/>
      <c r="N228" s="115">
        <f>IFERROR(__xludf.DUMMYFUNCTION("IMPORTRANGE(""https://docs.google.com/spreadsheets/d/1Yj_ptqi66GCucihVvJfMjLAmec39IyEx_6qawtMGysU/edit?usp=sharing"",""สบก!BU90"")"),0.0)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IFERROR(__xludf.DUMMYFUNCTION("IMPORTRANGE(""https://docs.google.com/spreadsheets/d/1IYY_tgx_IHuhSq3AJ5eI5OnqOPBNLWSHKh2a30DoXe8/edit?usp=sharing"",""ยะลา!I149"")"),15.0)</f>
        <v>15</v>
      </c>
      <c r="J229" s="301">
        <f>IFERROR(__xludf.DUMMYFUNCTION("IMPORTRANGE(""https://docs.google.com/spreadsheets/d/1IYY_tgx_IHuhSq3AJ5eI5OnqOPBNLWSHKh2a30DoXe8/edit?usp=sharing"",""ยะลา!J149"")"),0.0)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IFERROR(__xludf.DUMMYFUNCTION("IMPORTRANGE(""https://docs.google.com/spreadsheets/d/1IYY_tgx_IHuhSq3AJ5eI5OnqOPBNLWSHKh2a30DoXe8/edit?usp=sharing"",""ยะลา!J151"")"),0.0)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IFERROR(__xludf.DUMMYFUNCTION("IMPORTRANGE(""https://docs.google.com/spreadsheets/d/1IYY_tgx_IHuhSq3AJ5eI5OnqOPBNLWSHKh2a30DoXe8/edit?usp=sharing"",""ยะลา!J152"")"),1.0)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IFERROR(__xludf.DUMMYFUNCTION("IMPORTRANGE(""https://docs.google.com/spreadsheets/d/1IYY_tgx_IHuhSq3AJ5eI5OnqOPBNLWSHKh2a30DoXe8/edit?usp=sharing"",""ยะลา!J153"")"),1.0)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IFERROR(__xludf.DUMMYFUNCTION("IMPORTRANGE(""https://docs.google.com/spreadsheets/d/1IYY_tgx_IHuhSq3AJ5eI5OnqOPBNLWSHKh2a30DoXe8/edit?usp=sharing"",""ยะลา!J154"")"),1.0)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IFERROR(__xludf.DUMMYFUNCTION("IMPORTRANGE(""https://docs.google.com/spreadsheets/d/1IYY_tgx_IHuhSq3AJ5eI5OnqOPBNLWSHKh2a30DoXe8/edit?usp=sharing"",""ยะลา!I155"")"),15.0)</f>
        <v>15</v>
      </c>
      <c r="J235" s="223">
        <f>IFERROR(__xludf.DUMMYFUNCTION("IMPORTRANGE(""https://docs.google.com/spreadsheets/d/1IYY_tgx_IHuhSq3AJ5eI5OnqOPBNLWSHKh2a30DoXe8/edit?usp=sharing"",""ยะลา!J155"")"),0.0)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IFERROR(__xludf.DUMMYFUNCTION("IMPORTRANGE(""https://docs.google.com/spreadsheets/d/1IYY_tgx_IHuhSq3AJ5eI5OnqOPBNLWSHKh2a30DoXe8/edit?usp=sharing"",""ยะลา!J156"")"),0.0)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IFERROR(__xludf.DUMMYFUNCTION("IMPORTRANGE(""https://docs.google.com/spreadsheets/d/1IYY_tgx_IHuhSq3AJ5eI5OnqOPBNLWSHKh2a30DoXe8/edit?usp=sharing"",""ยะลา!J157"")"),0.0)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IFERROR(__xludf.DUMMYFUNCTION("IMPORTRANGE(""https://docs.google.com/spreadsheets/d/1IYY_tgx_IHuhSq3AJ5eI5OnqOPBNLWSHKh2a30DoXe8/edit?usp=sharing"",""ยะลา!I158"")"),0.0)</f>
        <v>0</v>
      </c>
      <c r="J238" s="301">
        <f>IFERROR(__xludf.DUMMYFUNCTION("IMPORTRANGE(""https://docs.google.com/spreadsheets/d/1IYY_tgx_IHuhSq3AJ5eI5OnqOPBNLWSHKh2a30DoXe8/edit?usp=sharing"",""ยะลา!J158"")"),0.0)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IFERROR(__xludf.DUMMYFUNCTION("IMPORTRANGE(""https://docs.google.com/spreadsheets/d/1IYY_tgx_IHuhSq3AJ5eI5OnqOPBNLWSHKh2a30DoXe8/edit?usp=sharing"",""ยะลา!J159"")"),"")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IFERROR(__xludf.DUMMYFUNCTION("IMPORTRANGE(""https://docs.google.com/spreadsheets/d/1IYY_tgx_IHuhSq3AJ5eI5OnqOPBNLWSHKh2a30DoXe8/edit?usp=sharing"",""ยะลา!J161"")"),0.0)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IFERROR(__xludf.DUMMYFUNCTION("IMPORTRANGE(""https://docs.google.com/spreadsheets/d/1IYY_tgx_IHuhSq3AJ5eI5OnqOPBNLWSHKh2a30DoXe8/edit?usp=sharing"",""ยะลา!J162"")"),0.0)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IFERROR(__xludf.DUMMYFUNCTION("IMPORTRANGE(""https://docs.google.com/spreadsheets/d/1IYY_tgx_IHuhSq3AJ5eI5OnqOPBNLWSHKh2a30DoXe8/edit?usp=sharing"",""ยะลา!J163"")"),0.0)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IFERROR(__xludf.DUMMYFUNCTION("IMPORTRANGE(""https://docs.google.com/spreadsheets/d/1IYY_tgx_IHuhSq3AJ5eI5OnqOPBNLWSHKh2a30DoXe8/edit?usp=sharing"",""ยะลา!I164"")"),0.0)</f>
        <v>0</v>
      </c>
      <c r="J244" s="222">
        <f>IFERROR(__xludf.DUMMYFUNCTION("IMPORTRANGE(""https://docs.google.com/spreadsheets/d/1IYY_tgx_IHuhSq3AJ5eI5OnqOPBNLWSHKh2a30DoXe8/edit?usp=sharing"",""ยะลา!J164"")"),0.0)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IFERROR(__xludf.DUMMYFUNCTION("IMPORTRANGE(""https://docs.google.com/spreadsheets/d/1IYY_tgx_IHuhSq3AJ5eI5OnqOPBNLWSHKh2a30DoXe8/edit?usp=sharing"",""ยะลา!J165"")"),0.0)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IFERROR(__xludf.DUMMYFUNCTION("IMPORTRANGE(""https://docs.google.com/spreadsheets/d/1IYY_tgx_IHuhSq3AJ5eI5OnqOPBNLWSHKh2a30DoXe8/edit?usp=sharing"",""ยะลา!J166"")"),0.0)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IFERROR(__xludf.DUMMYFUNCTION("IMPORTRANGE(""https://docs.google.com/spreadsheets/d/1IYY_tgx_IHuhSq3AJ5eI5OnqOPBNLWSHKh2a30DoXe8/edit?usp=sharing"",""ยะลา!I169"")"),0.0)</f>
        <v>0</v>
      </c>
      <c r="J249" s="349">
        <f>IFERROR(__xludf.DUMMYFUNCTION("IMPORTRANGE(""https://docs.google.com/spreadsheets/d/1IYY_tgx_IHuhSq3AJ5eI5OnqOPBNLWSHKh2a30DoXe8/edit?usp=sharing"",""ยะลา!J169"")"),0.0)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IFERROR(__xludf.DUMMYFUNCTION("IMPORTRANGE(""https://docs.google.com/spreadsheets/d/1Yj_ptqi66GCucihVvJfMjLAmec39IyEx_6qawtMGysU/edit?usp=sharing"",""สบก!CB90"")"),0.0)</f>
        <v>0</v>
      </c>
      <c r="N254" s="202">
        <f>IFERROR(__xludf.DUMMYFUNCTION("IMPORTRANGE(""https://docs.google.com/spreadsheets/d/1Yj_ptqi66GCucihVvJfMjLAmec39IyEx_6qawtMGysU/edit?usp=sharing"",""สบก!CC90"")"),0.0)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IFERROR(__xludf.DUMMYFUNCTION("IMPORTRANGE(""https://docs.google.com/spreadsheets/d/1Yj_ptqi66GCucihVvJfMjLAmec39IyEx_6qawtMGysU/edit?usp=sharing"",""สบก!BX90"")"),0.0)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IFERROR(__xludf.DUMMYFUNCTION("IMPORTRANGE(""https://docs.google.com/spreadsheets/d/1Yj_ptqi66GCucihVvJfMjLAmec39IyEx_6qawtMGysU/edit?usp=sharing"",""สบก!BY90"")"),0.0)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IFERROR(__xludf.DUMMYFUNCTION("IMPORTRANGE(""https://docs.google.com/spreadsheets/d/1Yj_ptqi66GCucihVvJfMjLAmec39IyEx_6qawtMGysU/edit?usp=sharing"",""สบก!BZ90"")"),0.0)</f>
        <v>0</v>
      </c>
      <c r="M258" s="125"/>
      <c r="N258" s="115">
        <f>IFERROR(__xludf.DUMMYFUNCTION("IMPORTRANGE(""https://docs.google.com/spreadsheets/d/1Yj_ptqi66GCucihVvJfMjLAmec39IyEx_6qawtMGysU/edit?usp=sharing"",""สบก!CD90"")"),0.0)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IFERROR(__xludf.DUMMYFUNCTION("IMPORTRANGE(""https://docs.google.com/spreadsheets/d/1IYY_tgx_IHuhSq3AJ5eI5OnqOPBNLWSHKh2a30DoXe8/edit?usp=sharing"",""ยะลา!J175"")"),0.0)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IFERROR(__xludf.DUMMYFUNCTION("IMPORTRANGE(""https://docs.google.com/spreadsheets/d/1IYY_tgx_IHuhSq3AJ5eI5OnqOPBNLWSHKh2a30DoXe8/edit?usp=sharing"",""ยะลา!J176"")"),0.0)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IFERROR(__xludf.DUMMYFUNCTION("IMPORTRANGE(""https://docs.google.com/spreadsheets/d/1IYY_tgx_IHuhSq3AJ5eI5OnqOPBNLWSHKh2a30DoXe8/edit?usp=sharing"",""ยะลา!J177"")"),0.0)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IFERROR(__xludf.DUMMYFUNCTION("IMPORTRANGE(""https://docs.google.com/spreadsheets/d/1IYY_tgx_IHuhSq3AJ5eI5OnqOPBNLWSHKh2a30DoXe8/edit?usp=sharing"",""ยะลา!J178"")"),0.0)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IFERROR(__xludf.DUMMYFUNCTION("IMPORTRANGE(""https://docs.google.com/spreadsheets/d/1IYY_tgx_IHuhSq3AJ5eI5OnqOPBNLWSHKh2a30DoXe8/edit?usp=sharing"",""ยะลา!I179"")"),0.0)</f>
        <v>0</v>
      </c>
      <c r="J264" s="223">
        <f>IFERROR(__xludf.DUMMYFUNCTION("IMPORTRANGE(""https://docs.google.com/spreadsheets/d/1IYY_tgx_IHuhSq3AJ5eI5OnqOPBNLWSHKh2a30DoXe8/edit?usp=sharing"",""ยะลา!J179"")"),0.0)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IFERROR(__xludf.DUMMYFUNCTION("IMPORTRANGE(""https://docs.google.com/spreadsheets/d/1IYY_tgx_IHuhSq3AJ5eI5OnqOPBNLWSHKh2a30DoXe8/edit?usp=sharing"",""ยะลา!I180"")"),0.0)</f>
        <v>0</v>
      </c>
      <c r="J265" s="223">
        <f>IFERROR(__xludf.DUMMYFUNCTION("IMPORTRANGE(""https://docs.google.com/spreadsheets/d/1IYY_tgx_IHuhSq3AJ5eI5OnqOPBNLWSHKh2a30DoXe8/edit?usp=sharing"",""ยะลา!J180"")"),0.0)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IFERROR(__xludf.DUMMYFUNCTION("IMPORTRANGE(""https://docs.google.com/spreadsheets/d/1IYY_tgx_IHuhSq3AJ5eI5OnqOPBNLWSHKh2a30DoXe8/edit?usp=sharing"",""ยะลา!I181"")"),0.0)</f>
        <v>0</v>
      </c>
      <c r="J266" s="223">
        <f>IFERROR(__xludf.DUMMYFUNCTION("IMPORTRANGE(""https://docs.google.com/spreadsheets/d/1IYY_tgx_IHuhSq3AJ5eI5OnqOPBNLWSHKh2a30DoXe8/edit?usp=sharing"",""ยะลา!J181"")"),0.0)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IFERROR(__xludf.DUMMYFUNCTION("IMPORTRANGE(""https://docs.google.com/spreadsheets/d/1IYY_tgx_IHuhSq3AJ5eI5OnqOPBNLWSHKh2a30DoXe8/edit?usp=sharing"",""ยะลา!I182"")"),0.0)</f>
        <v>0</v>
      </c>
      <c r="J267" s="223">
        <f>IFERROR(__xludf.DUMMYFUNCTION("IMPORTRANGE(""https://docs.google.com/spreadsheets/d/1IYY_tgx_IHuhSq3AJ5eI5OnqOPBNLWSHKh2a30DoXe8/edit?usp=sharing"",""ยะลา!J182"")"),0.0)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IFERROR(__xludf.DUMMYFUNCTION("IMPORTRANGE(""https://docs.google.com/spreadsheets/d/1IYY_tgx_IHuhSq3AJ5eI5OnqOPBNLWSHKh2a30DoXe8/edit?usp=sharing"",""ยะลา!J183"")"),0.0)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IFERROR(__xludf.DUMMYFUNCTION("IMPORTRANGE(""https://docs.google.com/spreadsheets/d/1IYY_tgx_IHuhSq3AJ5eI5OnqOPBNLWSHKh2a30DoXe8/edit?usp=sharing"",""ยะลา!J184"")"),0.0)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IFERROR(__xludf.DUMMYFUNCTION("IMPORTRANGE(""https://docs.google.com/spreadsheets/d/1IYY_tgx_IHuhSq3AJ5eI5OnqOPBNLWSHKh2a30DoXe8/edit?usp=sharing"",""ยะลา!I185"")"),0.0)</f>
        <v>0</v>
      </c>
      <c r="J270" s="349">
        <f>IFERROR(__xludf.DUMMYFUNCTION("IMPORTRANGE(""https://docs.google.com/spreadsheets/d/1IYY_tgx_IHuhSq3AJ5eI5OnqOPBNLWSHKh2a30DoXe8/edit?usp=sharing"",""ยะลา!J185"")"),0.0)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IFERROR(__xludf.DUMMYFUNCTION("IMPORTRANGE(""https://docs.google.com/spreadsheets/d/1Yj_ptqi66GCucihVvJfMjLAmec39IyEx_6qawtMGysU/edit?usp=sharing"",""สบก!CK90"")"),0.0)</f>
        <v>0</v>
      </c>
      <c r="N275" s="202">
        <f>IFERROR(__xludf.DUMMYFUNCTION("IMPORTRANGE(""https://docs.google.com/spreadsheets/d/1Yj_ptqi66GCucihVvJfMjLAmec39IyEx_6qawtMGysU/edit?usp=sharing"",""สบก!CL90"")"),0.0)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IFERROR(__xludf.DUMMYFUNCTION("IMPORTRANGE(""https://docs.google.com/spreadsheets/d/1Yj_ptqi66GCucihVvJfMjLAmec39IyEx_6qawtMGysU/edit?usp=sharing"",""สบก!CG90"")"),0.0)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IFERROR(__xludf.DUMMYFUNCTION("IMPORTRANGE(""https://docs.google.com/spreadsheets/d/1Yj_ptqi66GCucihVvJfMjLAmec39IyEx_6qawtMGysU/edit?usp=sharing"",""สบก!CH90"")"),0.0)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IFERROR(__xludf.DUMMYFUNCTION("IMPORTRANGE(""https://docs.google.com/spreadsheets/d/1Yj_ptqi66GCucihVvJfMjLAmec39IyEx_6qawtMGysU/edit?usp=sharing"",""สบก!CI90"")"),0.0)</f>
        <v>0</v>
      </c>
      <c r="M279" s="125"/>
      <c r="N279" s="115">
        <f>IFERROR(__xludf.DUMMYFUNCTION("IMPORTRANGE(""https://docs.google.com/spreadsheets/d/1Yj_ptqi66GCucihVvJfMjLAmec39IyEx_6qawtMGysU/edit?usp=sharing"",""สบก!CM90"")"),0.0)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IFERROR(__xludf.DUMMYFUNCTION("IMPORTRANGE(""https://docs.google.com/spreadsheets/d/1IYY_tgx_IHuhSq3AJ5eI5OnqOPBNLWSHKh2a30DoXe8/edit?usp=sharing"",""ยะลา!J191"")"),0.0)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IFERROR(__xludf.DUMMYFUNCTION("IMPORTRANGE(""https://docs.google.com/spreadsheets/d/1IYY_tgx_IHuhSq3AJ5eI5OnqOPBNLWSHKh2a30DoXe8/edit?usp=sharing"",""ยะลา!J192"")"),0.0)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IFERROR(__xludf.DUMMYFUNCTION("IMPORTRANGE(""https://docs.google.com/spreadsheets/d/1IYY_tgx_IHuhSq3AJ5eI5OnqOPBNLWSHKh2a30DoXe8/edit?usp=sharing"",""ยะลา!J193"")"),0.0)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IFERROR(__xludf.DUMMYFUNCTION("IMPORTRANGE(""https://docs.google.com/spreadsheets/d/1IYY_tgx_IHuhSq3AJ5eI5OnqOPBNLWSHKh2a30DoXe8/edit?usp=sharing"",""ยะลา!J194"")"),0.0)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IFERROR(__xludf.DUMMYFUNCTION("IMPORTRANGE(""https://docs.google.com/spreadsheets/d/1IYY_tgx_IHuhSq3AJ5eI5OnqOPBNLWSHKh2a30DoXe8/edit?usp=sharing"",""ยะลา!I195"")"),0.0)</f>
        <v>0</v>
      </c>
      <c r="J285" s="223">
        <f>IFERROR(__xludf.DUMMYFUNCTION("IMPORTRANGE(""https://docs.google.com/spreadsheets/d/1IYY_tgx_IHuhSq3AJ5eI5OnqOPBNLWSHKh2a30DoXe8/edit?usp=sharing"",""ยะลา!J195"")"),0.0)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IFERROR(__xludf.DUMMYFUNCTION("IMPORTRANGE(""https://docs.google.com/spreadsheets/d/1IYY_tgx_IHuhSq3AJ5eI5OnqOPBNLWSHKh2a30DoXe8/edit?usp=sharing"",""ยะลา!J196"")"),0.0)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IFERROR(__xludf.DUMMYFUNCTION("IMPORTRANGE(""https://docs.google.com/spreadsheets/d/1IYY_tgx_IHuhSq3AJ5eI5OnqOPBNLWSHKh2a30DoXe8/edit?usp=sharing"",""ยะลา!J197"")"),0.0)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IFERROR(__xludf.DUMMYFUNCTION("IMPORTRANGE(""https://docs.google.com/spreadsheets/d/1IYY_tgx_IHuhSq3AJ5eI5OnqOPBNLWSHKh2a30DoXe8/edit?usp=sharing"",""ยะลา!I199"")"),0.0)</f>
        <v>0</v>
      </c>
      <c r="J289" s="349">
        <f>IFERROR(__xludf.DUMMYFUNCTION("IMPORTRANGE(""https://docs.google.com/spreadsheets/d/1IYY_tgx_IHuhSq3AJ5eI5OnqOPBNLWSHKh2a30DoXe8/edit?usp=sharing"",""ยะลา!J199"")"),0.0)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IFERROR(__xludf.DUMMYFUNCTION("IMPORTRANGE(""https://docs.google.com/spreadsheets/d/1Yj_ptqi66GCucihVvJfMjLAmec39IyEx_6qawtMGysU/edit?usp=sharing"",""สบก!CT90"")"),0.0)</f>
        <v>0</v>
      </c>
      <c r="N294" s="202">
        <f>IFERROR(__xludf.DUMMYFUNCTION("IMPORTRANGE(""https://docs.google.com/spreadsheets/d/1Yj_ptqi66GCucihVvJfMjLAmec39IyEx_6qawtMGysU/edit?usp=sharing"",""สบก!CU90"")"),0.0)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IFERROR(__xludf.DUMMYFUNCTION("IMPORTRANGE(""https://docs.google.com/spreadsheets/d/1Yj_ptqi66GCucihVvJfMjLAmec39IyEx_6qawtMGysU/edit?usp=sharing"",""สบก!CP90"")"),0.0)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IFERROR(__xludf.DUMMYFUNCTION("IMPORTRANGE(""https://docs.google.com/spreadsheets/d/1Yj_ptqi66GCucihVvJfMjLAmec39IyEx_6qawtMGysU/edit?usp=sharing"",""สบก!CQ90"")"),0.0)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IFERROR(__xludf.DUMMYFUNCTION("IMPORTRANGE(""https://docs.google.com/spreadsheets/d/1Yj_ptqi66GCucihVvJfMjLAmec39IyEx_6qawtMGysU/edit?usp=sharing"",""สบก!CR90"")"),0.0)</f>
        <v>0</v>
      </c>
      <c r="M298" s="125"/>
      <c r="N298" s="115">
        <f>IFERROR(__xludf.DUMMYFUNCTION("IMPORTRANGE(""https://docs.google.com/spreadsheets/d/1Yj_ptqi66GCucihVvJfMjLAmec39IyEx_6qawtMGysU/edit?usp=sharing"",""สบก!CV90"")"),0.0)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IFERROR(__xludf.DUMMYFUNCTION("IMPORTRANGE(""https://docs.google.com/spreadsheets/d/1IYY_tgx_IHuhSq3AJ5eI5OnqOPBNLWSHKh2a30DoXe8/edit?usp=sharing"",""ยะลา!J205"")"),0.0)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IFERROR(__xludf.DUMMYFUNCTION("IMPORTRANGE(""https://docs.google.com/spreadsheets/d/1IYY_tgx_IHuhSq3AJ5eI5OnqOPBNLWSHKh2a30DoXe8/edit?usp=sharing"",""ยะลา!J206"")"),0.0)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IFERROR(__xludf.DUMMYFUNCTION("IMPORTRANGE(""https://docs.google.com/spreadsheets/d/1IYY_tgx_IHuhSq3AJ5eI5OnqOPBNLWSHKh2a30DoXe8/edit?usp=sharing"",""ยะลา!J207"")"),0.0)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IFERROR(__xludf.DUMMYFUNCTION("IMPORTRANGE(""https://docs.google.com/spreadsheets/d/1IYY_tgx_IHuhSq3AJ5eI5OnqOPBNLWSHKh2a30DoXe8/edit?usp=sharing"",""ยะลา!J208"")"),0.0)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IFERROR(__xludf.DUMMYFUNCTION("IMPORTRANGE(""https://docs.google.com/spreadsheets/d/1IYY_tgx_IHuhSq3AJ5eI5OnqOPBNLWSHKh2a30DoXe8/edit?usp=sharing"",""ยะลา!I209"")"),0.0)</f>
        <v>0</v>
      </c>
      <c r="J304" s="238">
        <f>IFERROR(__xludf.DUMMYFUNCTION("IMPORTRANGE(""https://docs.google.com/spreadsheets/d/1IYY_tgx_IHuhSq3AJ5eI5OnqOPBNLWSHKh2a30DoXe8/edit?usp=sharing"",""ยะลา!J209"")"),0.0)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IFERROR(__xludf.DUMMYFUNCTION("IMPORTRANGE(""https://docs.google.com/spreadsheets/d/1IYY_tgx_IHuhSq3AJ5eI5OnqOPBNLWSHKh2a30DoXe8/edit?usp=sharing"",""ยะลา!I211"")"),0.0)</f>
        <v>0</v>
      </c>
      <c r="J306" s="238">
        <f>IFERROR(__xludf.DUMMYFUNCTION("IMPORTRANGE(""https://docs.google.com/spreadsheets/d/1IYY_tgx_IHuhSq3AJ5eI5OnqOPBNLWSHKh2a30DoXe8/edit?usp=sharing"",""ยะลา!J211"")"),0.0)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IFERROR(__xludf.DUMMYFUNCTION("IMPORTRANGE(""https://docs.google.com/spreadsheets/d/1IYY_tgx_IHuhSq3AJ5eI5OnqOPBNLWSHKh2a30DoXe8/edit?usp=sharing"",""ยะลา!J212"")"),0.0)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IFERROR(__xludf.DUMMYFUNCTION("IMPORTRANGE(""https://docs.google.com/spreadsheets/d/1IYY_tgx_IHuhSq3AJ5eI5OnqOPBNLWSHKh2a30DoXe8/edit?usp=sharing"",""ยะลา!J213"")"),0.0)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IFERROR(__xludf.DUMMYFUNCTION("IMPORTRANGE(""https://docs.google.com/spreadsheets/d/1IYY_tgx_IHuhSq3AJ5eI5OnqOPBNLWSHKh2a30DoXe8/edit?usp=sharing"",""ยะลา!I214"")"),0.0)</f>
        <v>0</v>
      </c>
      <c r="J309" s="366">
        <f>IFERROR(__xludf.DUMMYFUNCTION("IMPORTRANGE(""https://docs.google.com/spreadsheets/d/1IYY_tgx_IHuhSq3AJ5eI5OnqOPBNLWSHKh2a30DoXe8/edit?usp=sharing"",""ยะลา!J214"")"),0.0)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IFERROR(__xludf.DUMMYFUNCTION("IMPORTRANGE(""https://docs.google.com/spreadsheets/d/1Yj_ptqi66GCucihVvJfMjLAmec39IyEx_6qawtMGysU/edit?usp=sharing"",""สบก!DC90"")"),0.0)</f>
        <v>0</v>
      </c>
      <c r="N314" s="202">
        <f>IFERROR(__xludf.DUMMYFUNCTION("IMPORTRANGE(""https://docs.google.com/spreadsheets/d/1Yj_ptqi66GCucihVvJfMjLAmec39IyEx_6qawtMGysU/edit?usp=sharing"",""สบก!DD90"")"),0.0)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IFERROR(__xludf.DUMMYFUNCTION("IMPORTRANGE(""https://docs.google.com/spreadsheets/d/1Yj_ptqi66GCucihVvJfMjLAmec39IyEx_6qawtMGysU/edit?usp=sharing"",""สบก!CY90"")"),0.0)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IFERROR(__xludf.DUMMYFUNCTION("IMPORTRANGE(""https://docs.google.com/spreadsheets/d/1Yj_ptqi66GCucihVvJfMjLAmec39IyEx_6qawtMGysU/edit?usp=sharing"",""สบก!CZ90"")"),0.0)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IFERROR(__xludf.DUMMYFUNCTION("IMPORTRANGE(""https://docs.google.com/spreadsheets/d/1Yj_ptqi66GCucihVvJfMjLAmec39IyEx_6qawtMGysU/edit?usp=sharing"",""สบก!DA90"")"),0.0)</f>
        <v>0</v>
      </c>
      <c r="M318" s="125"/>
      <c r="N318" s="115">
        <f>IFERROR(__xludf.DUMMYFUNCTION("IMPORTRANGE(""https://docs.google.com/spreadsheets/d/1Yj_ptqi66GCucihVvJfMjLAmec39IyEx_6qawtMGysU/edit?usp=sharing"",""สบก!DE90"")"),0.0)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IFERROR(__xludf.DUMMYFUNCTION("IMPORTRANGE(""https://docs.google.com/spreadsheets/d/1IYY_tgx_IHuhSq3AJ5eI5OnqOPBNLWSHKh2a30DoXe8/edit?usp=sharing"",""ยะลา!J220"")"),0.0)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IFERROR(__xludf.DUMMYFUNCTION("IMPORTRANGE(""https://docs.google.com/spreadsheets/d/1IYY_tgx_IHuhSq3AJ5eI5OnqOPBNLWSHKh2a30DoXe8/edit?usp=sharing"",""ยะลา!J221"")"),0.0)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IFERROR(__xludf.DUMMYFUNCTION("IMPORTRANGE(""https://docs.google.com/spreadsheets/d/1IYY_tgx_IHuhSq3AJ5eI5OnqOPBNLWSHKh2a30DoXe8/edit?usp=sharing"",""ยะลา!J222"")"),0.0)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IFERROR(__xludf.DUMMYFUNCTION("IMPORTRANGE(""https://docs.google.com/spreadsheets/d/1IYY_tgx_IHuhSq3AJ5eI5OnqOPBNLWSHKh2a30DoXe8/edit?usp=sharing"",""ยะลา!J223"")"),0.0)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IFERROR(__xludf.DUMMYFUNCTION("IMPORTRANGE(""https://docs.google.com/spreadsheets/d/1IYY_tgx_IHuhSq3AJ5eI5OnqOPBNLWSHKh2a30DoXe8/edit?usp=sharing"",""ยะลา!I224"")"),0.0)</f>
        <v>0</v>
      </c>
      <c r="J324" s="238">
        <f>IFERROR(__xludf.DUMMYFUNCTION("IMPORTRANGE(""https://docs.google.com/spreadsheets/d/1IYY_tgx_IHuhSq3AJ5eI5OnqOPBNLWSHKh2a30DoXe8/edit?usp=sharing"",""ยะลา!J224"")"),0.0)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IFERROR(__xludf.DUMMYFUNCTION("IMPORTRANGE(""https://docs.google.com/spreadsheets/d/1IYY_tgx_IHuhSq3AJ5eI5OnqOPBNLWSHKh2a30DoXe8/edit?usp=sharing"",""ยะลา!J225"")"),0.0)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IFERROR(__xludf.DUMMYFUNCTION("IMPORTRANGE(""https://docs.google.com/spreadsheets/d/1IYY_tgx_IHuhSq3AJ5eI5OnqOPBNLWSHKh2a30DoXe8/edit?usp=sharing"",""ยะลา!J226"")"),0.0)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IFERROR(__xludf.DUMMYFUNCTION("IMPORTRANGE(""https://docs.google.com/spreadsheets/d/1IYY_tgx_IHuhSq3AJ5eI5OnqOPBNLWSHKh2a30DoXe8/edit?usp=sharing"",""ยะลา!I228"")"),100.0)</f>
        <v>100</v>
      </c>
      <c r="J328" s="372">
        <f>IFERROR(__xludf.DUMMYFUNCTION("IMPORTRANGE(""https://docs.google.com/spreadsheets/d/1IYY_tgx_IHuhSq3AJ5eI5OnqOPBNLWSHKh2a30DoXe8/edit?usp=sharing"",""ยะลา!J228"")"),20.0)</f>
        <v>20</v>
      </c>
      <c r="K328" s="350">
        <f>IF(I328&gt;0,J328*100/I328,0)</f>
        <v>20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1038050</v>
      </c>
      <c r="M329" s="183">
        <f t="shared" si="99"/>
        <v>462090</v>
      </c>
      <c r="N329" s="183">
        <f t="shared" si="99"/>
        <v>442442</v>
      </c>
      <c r="O329" s="182">
        <f t="shared" ref="O329:O331" si="101">IF(L329&gt;0,N329*100/L329,0)</f>
        <v>42.62241703</v>
      </c>
      <c r="P329" s="182">
        <f t="shared" ref="P329:P331" si="102">IF(M329&gt;0,N329*100/M329,0)</f>
        <v>95.74801446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1038050</v>
      </c>
      <c r="M331" s="188">
        <f t="shared" si="103"/>
        <v>462090</v>
      </c>
      <c r="N331" s="188">
        <f t="shared" si="103"/>
        <v>442442</v>
      </c>
      <c r="O331" s="187">
        <f t="shared" si="101"/>
        <v>42.62241703</v>
      </c>
      <c r="P331" s="187">
        <f t="shared" si="102"/>
        <v>95.74801446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891050</v>
      </c>
      <c r="M333" s="201">
        <f>IFERROR(__xludf.DUMMYFUNCTION("IMPORTRANGE(""https://docs.google.com/spreadsheets/d/1Yj_ptqi66GCucihVvJfMjLAmec39IyEx_6qawtMGysU/edit?usp=sharing"",""สบก!DL90"")"),462090.0)</f>
        <v>462090</v>
      </c>
      <c r="N333" s="202">
        <f>IFERROR(__xludf.DUMMYFUNCTION("IMPORTRANGE(""https://docs.google.com/spreadsheets/d/1Yj_ptqi66GCucihVvJfMjLAmec39IyEx_6qawtMGysU/edit?usp=sharing"",""สบก!DM90"")"),295442.0)</f>
        <v>295442</v>
      </c>
      <c r="O333" s="203">
        <f>IF(L333&gt;0,N333*100/L333,0)</f>
        <v>33.15661298</v>
      </c>
      <c r="P333" s="203">
        <f>IF(M333&gt;0,N333*100/M333,0)</f>
        <v>63.93602978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IFERROR(__xludf.DUMMYFUNCTION("IMPORTRANGE(""https://docs.google.com/spreadsheets/d/1Yj_ptqi66GCucihVvJfMjLAmec39IyEx_6qawtMGysU/edit?usp=sharing"",""สบก!DH90"")"),624000.0)</f>
        <v>624000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IFERROR(__xludf.DUMMYFUNCTION("IMPORTRANGE(""https://docs.google.com/spreadsheets/d/1Yj_ptqi66GCucihVvJfMjLAmec39IyEx_6qawtMGysU/edit?usp=sharing"",""สบก!DI90"")"),267050.0)</f>
        <v>267050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IFERROR(__xludf.DUMMYFUNCTION("IMPORTRANGE(""https://docs.google.com/spreadsheets/d/1Yj_ptqi66GCucihVvJfMjLAmec39IyEx_6qawtMGysU/edit?usp=sharing"",""สบก!DJ90"")"),147000.0)</f>
        <v>147000</v>
      </c>
      <c r="M337" s="125"/>
      <c r="N337" s="115">
        <f>IFERROR(__xludf.DUMMYFUNCTION("IMPORTRANGE(""https://docs.google.com/spreadsheets/d/1Yj_ptqi66GCucihVvJfMjLAmec39IyEx_6qawtMGysU/edit?usp=sharing"",""สบก!DN90"")"),147000.0)</f>
        <v>147000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IFERROR(__xludf.DUMMYFUNCTION("IMPORTRANGE(""https://docs.google.com/spreadsheets/d/1IYY_tgx_IHuhSq3AJ5eI5OnqOPBNLWSHKh2a30DoXe8/edit?usp=sharing"",""ยะลา!I234"")"),0.0)</f>
        <v>0</v>
      </c>
      <c r="J339" s="222">
        <f>IFERROR(__xludf.DUMMYFUNCTION("IMPORTRANGE(""https://docs.google.com/spreadsheets/d/1IYY_tgx_IHuhSq3AJ5eI5OnqOPBNLWSHKh2a30DoXe8/edit?usp=sharing"",""ยะลา!J234"")"),45.0)</f>
        <v>45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IFERROR(__xludf.DUMMYFUNCTION("IMPORTRANGE(""https://docs.google.com/spreadsheets/d/1IYY_tgx_IHuhSq3AJ5eI5OnqOPBNLWSHKh2a30DoXe8/edit?usp=sharing"",""ยะลา!I235"")"),1040.0)</f>
        <v>1040</v>
      </c>
      <c r="J340" s="222">
        <f>IFERROR(__xludf.DUMMYFUNCTION("IMPORTRANGE(""https://docs.google.com/spreadsheets/d/1IYY_tgx_IHuhSq3AJ5eI5OnqOPBNLWSHKh2a30DoXe8/edit?usp=sharing"",""ยะลา!J235"")"),316.69)</f>
        <v>316.69</v>
      </c>
      <c r="K340" s="375">
        <f t="shared" si="104"/>
        <v>30.45096154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IFERROR(__xludf.DUMMYFUNCTION("IMPORTRANGE(""https://docs.google.com/spreadsheets/d/1IYY_tgx_IHuhSq3AJ5eI5OnqOPBNLWSHKh2a30DoXe8/edit?usp=sharing"",""ยะลา!I236"")"),100.0)</f>
        <v>100</v>
      </c>
      <c r="J341" s="222">
        <f>IFERROR(__xludf.DUMMYFUNCTION("IMPORTRANGE(""https://docs.google.com/spreadsheets/d/1IYY_tgx_IHuhSq3AJ5eI5OnqOPBNLWSHKh2a30DoXe8/edit?usp=sharing"",""ยะลา!J236"")"),51.0)</f>
        <v>51</v>
      </c>
      <c r="K341" s="375">
        <f t="shared" si="104"/>
        <v>51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IFERROR(__xludf.DUMMYFUNCTION("IMPORTRANGE(""https://docs.google.com/spreadsheets/d/1IYY_tgx_IHuhSq3AJ5eI5OnqOPBNLWSHKh2a30DoXe8/edit?usp=sharing"",""ยะลา!I237"")"),0.0)</f>
        <v>0</v>
      </c>
      <c r="J342" s="222">
        <f>IFERROR(__xludf.DUMMYFUNCTION("IMPORTRANGE(""https://docs.google.com/spreadsheets/d/1IYY_tgx_IHuhSq3AJ5eI5OnqOPBNLWSHKh2a30DoXe8/edit?usp=sharing"",""ยะลา!J237"")"),363.69)</f>
        <v>363.69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IFERROR(__xludf.DUMMYFUNCTION("IMPORTRANGE(""https://docs.google.com/spreadsheets/d/1IYY_tgx_IHuhSq3AJ5eI5OnqOPBNLWSHKh2a30DoXe8/edit?usp=sharing"",""ยะลา!I238"")"),100.0)</f>
        <v>100</v>
      </c>
      <c r="J343" s="222">
        <f>IFERROR(__xludf.DUMMYFUNCTION("IMPORTRANGE(""https://docs.google.com/spreadsheets/d/1IYY_tgx_IHuhSq3AJ5eI5OnqOPBNLWSHKh2a30DoXe8/edit?usp=sharing"",""ยะลา!J238"")"),0.0)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IFERROR(__xludf.DUMMYFUNCTION("IMPORTRANGE(""https://docs.google.com/spreadsheets/d/1IYY_tgx_IHuhSq3AJ5eI5OnqOPBNLWSHKh2a30DoXe8/edit?usp=sharing"",""ยะลา!I239"")"),0.0)</f>
        <v>0</v>
      </c>
      <c r="J344" s="222">
        <f>IFERROR(__xludf.DUMMYFUNCTION("IMPORTRANGE(""https://docs.google.com/spreadsheets/d/1IYY_tgx_IHuhSq3AJ5eI5OnqOPBNLWSHKh2a30DoXe8/edit?usp=sharing"",""ยะลา!J239"")"),0.0)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IFERROR(__xludf.DUMMYFUNCTION("IMPORTRANGE(""https://docs.google.com/spreadsheets/d/1IYY_tgx_IHuhSq3AJ5eI5OnqOPBNLWSHKh2a30DoXe8/edit?usp=sharing"",""ยะลา!I240"")"),100.0)</f>
        <v>100</v>
      </c>
      <c r="J345" s="222">
        <f>IFERROR(__xludf.DUMMYFUNCTION("IMPORTRANGE(""https://docs.google.com/spreadsheets/d/1IYY_tgx_IHuhSq3AJ5eI5OnqOPBNLWSHKh2a30DoXe8/edit?usp=sharing"",""ยะลา!J240"")"),20.0)</f>
        <v>20</v>
      </c>
      <c r="K345" s="375">
        <f t="shared" si="104"/>
        <v>20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IFERROR(__xludf.DUMMYFUNCTION("IMPORTRANGE(""https://docs.google.com/spreadsheets/d/1IYY_tgx_IHuhSq3AJ5eI5OnqOPBNLWSHKh2a30DoXe8/edit?usp=sharing"",""ยะลา!I241"")"),0.0)</f>
        <v>0</v>
      </c>
      <c r="J346" s="222">
        <f>IFERROR(__xludf.DUMMYFUNCTION("IMPORTRANGE(""https://docs.google.com/spreadsheets/d/1IYY_tgx_IHuhSq3AJ5eI5OnqOPBNLWSHKh2a30DoXe8/edit?usp=sharing"",""ยะลา!J241"")"),191.33)</f>
        <v>191.33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IFERROR(__xludf.DUMMYFUNCTION("IMPORTRANGE(""https://docs.google.com/spreadsheets/d/1IYY_tgx_IHuhSq3AJ5eI5OnqOPBNLWSHKh2a30DoXe8/edit?usp=sharing"",""ยะลา!L242"")"),605667.0)</f>
        <v>605667</v>
      </c>
      <c r="M347" s="391"/>
      <c r="N347" s="391">
        <f>IFERROR(__xludf.DUMMYFUNCTION("IMPORTRANGE(""https://docs.google.com/spreadsheets/d/1IYY_tgx_IHuhSq3AJ5eI5OnqOPBNLWSHKh2a30DoXe8/edit?usp=sharing"",""ยะลา!M242"")"),202950.46)</f>
        <v>202950.46</v>
      </c>
      <c r="O347" s="391">
        <f>+IF(L347&gt;0,N347*100/L347,0)</f>
        <v>33.50858805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IFERROR(__xludf.DUMMYFUNCTION("IMPORTRANGE(""https://docs.google.com/spreadsheets/d/1IYY_tgx_IHuhSq3AJ5eI5OnqOPBNLWSHKh2a30DoXe8/edit?usp=sharing"",""ยะลา!I244"")"),0.0)</f>
        <v>0</v>
      </c>
      <c r="J349" s="404">
        <f>IFERROR(__xludf.DUMMYFUNCTION("IMPORTRANGE(""https://docs.google.com/spreadsheets/d/1IYY_tgx_IHuhSq3AJ5eI5OnqOPBNLWSHKh2a30DoXe8/edit?usp=sharing"",""ยะลา!J244"")"),0.0)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IFERROR(__xludf.DUMMYFUNCTION("IMPORTRANGE(""https://docs.google.com/spreadsheets/d/1IYY_tgx_IHuhSq3AJ5eI5OnqOPBNLWSHKh2a30DoXe8/edit?usp=sharing"",""ยะลา!L244"")"),0.0)</f>
        <v>0</v>
      </c>
      <c r="M349" s="406"/>
      <c r="N349" s="406">
        <f>IFERROR(__xludf.DUMMYFUNCTION("IMPORTRANGE(""https://docs.google.com/spreadsheets/d/1IYY_tgx_IHuhSq3AJ5eI5OnqOPBNLWSHKh2a30DoXe8/edit?usp=sharing"",""ยะลา!M244"")"),0.0)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IFERROR(__xludf.DUMMYFUNCTION("IMPORTRANGE(""https://docs.google.com/spreadsheets/d/1IYY_tgx_IHuhSq3AJ5eI5OnqOPBNLWSHKh2a30DoXe8/edit?usp=sharing"",""ยะลา!I245"")"),0.0)</f>
        <v>0</v>
      </c>
      <c r="J350" s="404">
        <f>IFERROR(__xludf.DUMMYFUNCTION("IMPORTRANGE(""https://docs.google.com/spreadsheets/d/1IYY_tgx_IHuhSq3AJ5eI5OnqOPBNLWSHKh2a30DoXe8/edit?usp=sharing"",""ยะลา!J245"")"),0.0)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IFERROR(__xludf.DUMMYFUNCTION("IMPORTRANGE(""https://docs.google.com/spreadsheets/d/1IYY_tgx_IHuhSq3AJ5eI5OnqOPBNLWSHKh2a30DoXe8/edit?usp=sharing"",""ยะลา!L246"")"),0.0)</f>
        <v>0</v>
      </c>
      <c r="M351" s="197"/>
      <c r="N351" s="197">
        <f>IFERROR(__xludf.DUMMYFUNCTION("IMPORTRANGE(""https://docs.google.com/spreadsheets/d/1IYY_tgx_IHuhSq3AJ5eI5OnqOPBNLWSHKh2a30DoXe8/edit?usp=sharing"",""ยะลา!M246"")"),0.0)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IFERROR(__xludf.DUMMYFUNCTION("IMPORTRANGE(""https://docs.google.com/spreadsheets/d/1IYY_tgx_IHuhSq3AJ5eI5OnqOPBNLWSHKh2a30DoXe8/edit?usp=sharing"",""ยะลา!L247"")"),0.0)</f>
        <v>0</v>
      </c>
      <c r="M352" s="198"/>
      <c r="N352" s="197">
        <f>IFERROR(__xludf.DUMMYFUNCTION("IMPORTRANGE(""https://docs.google.com/spreadsheets/d/1IYY_tgx_IHuhSq3AJ5eI5OnqOPBNLWSHKh2a30DoXe8/edit?usp=sharing"",""ยะลา!M247"")"),0.0)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IFERROR(__xludf.DUMMYFUNCTION("IMPORTRANGE(""https://docs.google.com/spreadsheets/d/1IYY_tgx_IHuhSq3AJ5eI5OnqOPBNLWSHKh2a30DoXe8/edit?usp=sharing"",""ยะลา!L248"")"),0.0)</f>
        <v>0</v>
      </c>
      <c r="M353" s="203"/>
      <c r="N353" s="203">
        <f>IFERROR(__xludf.DUMMYFUNCTION("IMPORTRANGE(""https://docs.google.com/spreadsheets/d/1IYY_tgx_IHuhSq3AJ5eI5OnqOPBNLWSHKh2a30DoXe8/edit?usp=sharing"",""ยะลา!M248"")"),0.0)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IFERROR(__xludf.DUMMYFUNCTION("IMPORTRANGE(""https://docs.google.com/spreadsheets/d/1IYY_tgx_IHuhSq3AJ5eI5OnqOPBNLWSHKh2a30DoXe8/edit?usp=sharing"",""ยะลา!L249"")"),0.0)</f>
        <v>0</v>
      </c>
      <c r="M354" s="203"/>
      <c r="N354" s="200">
        <f>IFERROR(__xludf.DUMMYFUNCTION("IMPORTRANGE(""https://docs.google.com/spreadsheets/d/1IYY_tgx_IHuhSq3AJ5eI5OnqOPBNLWSHKh2a30DoXe8/edit?usp=sharing"",""ยะลา!M249"")"),0.0)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IFERROR(__xludf.DUMMYFUNCTION("IMPORTRANGE(""https://docs.google.com/spreadsheets/d/1IYY_tgx_IHuhSq3AJ5eI5OnqOPBNLWSHKh2a30DoXe8/edit?usp=sharing"",""ยะลา!M250"")"),0.0)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IFERROR(__xludf.DUMMYFUNCTION("IMPORTRANGE(""https://docs.google.com/spreadsheets/d/1IYY_tgx_IHuhSq3AJ5eI5OnqOPBNLWSHKh2a30DoXe8/edit?usp=sharing"",""ยะลา!M251"")"),0.0)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IFERROR(__xludf.DUMMYFUNCTION("IMPORTRANGE(""https://docs.google.com/spreadsheets/d/1IYY_tgx_IHuhSq3AJ5eI5OnqOPBNLWSHKh2a30DoXe8/edit?usp=sharing"",""ยะลา!M252"")"),0.0)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IFERROR(__xludf.DUMMYFUNCTION("IMPORTRANGE(""https://docs.google.com/spreadsheets/d/1IYY_tgx_IHuhSq3AJ5eI5OnqOPBNLWSHKh2a30DoXe8/edit?usp=sharing"",""ยะลา!M253"")"),0.0)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IFERROR(__xludf.DUMMYFUNCTION("IMPORTRANGE(""https://docs.google.com/spreadsheets/d/1IYY_tgx_IHuhSq3AJ5eI5OnqOPBNLWSHKh2a30DoXe8/edit?usp=sharing"",""ยะลา!J255"")"),0.0)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IFERROR(__xludf.DUMMYFUNCTION("IMPORTRANGE(""https://docs.google.com/spreadsheets/d/1IYY_tgx_IHuhSq3AJ5eI5OnqOPBNLWSHKh2a30DoXe8/edit?usp=sharing"",""ยะลา!J256"")"),0.0)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IFERROR(__xludf.DUMMYFUNCTION("IMPORTRANGE(""https://docs.google.com/spreadsheets/d/1IYY_tgx_IHuhSq3AJ5eI5OnqOPBNLWSHKh2a30DoXe8/edit?usp=sharing"",""ยะลา!J257"")"),0.0)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IFERROR(__xludf.DUMMYFUNCTION("IMPORTRANGE(""https://docs.google.com/spreadsheets/d/1IYY_tgx_IHuhSq3AJ5eI5OnqOPBNLWSHKh2a30DoXe8/edit?usp=sharing"",""ยะลา!J258"")"),0.0)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IFERROR(__xludf.DUMMYFUNCTION("IMPORTRANGE(""https://docs.google.com/spreadsheets/d/1IYY_tgx_IHuhSq3AJ5eI5OnqOPBNLWSHKh2a30DoXe8/edit?usp=sharing"",""ยะลา!J166"")"),0.0)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IFERROR(__xludf.DUMMYFUNCTION("IMPORTRANGE(""https://docs.google.com/spreadsheets/d/1IYY_tgx_IHuhSq3AJ5eI5OnqOPBNLWSHKh2a30DoXe8/edit?usp=sharing"",""ยะลา!J166"")"),0.0)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IFERROR(__xludf.DUMMYFUNCTION("IMPORTRANGE(""https://docs.google.com/spreadsheets/d/1IYY_tgx_IHuhSq3AJ5eI5OnqOPBNLWSHKh2a30DoXe8/edit?usp=sharing"",""ยะลา!J166"")"),0.0)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IFERROR(__xludf.DUMMYFUNCTION("IMPORTRANGE(""https://docs.google.com/spreadsheets/d/1IYY_tgx_IHuhSq3AJ5eI5OnqOPBNLWSHKh2a30DoXe8/edit?usp=sharing"",""ยะลา!J166"")"),0.0)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IFERROR(__xludf.DUMMYFUNCTION("IMPORTRANGE(""https://docs.google.com/spreadsheets/d/1IYY_tgx_IHuhSq3AJ5eI5OnqOPBNLWSHKh2a30DoXe8/edit?usp=sharing"",""ยะลา!I263"")"),0.0)</f>
        <v>0</v>
      </c>
      <c r="J368" s="222">
        <f>IFERROR(__xludf.DUMMYFUNCTION("IMPORTRANGE(""https://docs.google.com/spreadsheets/d/1IYY_tgx_IHuhSq3AJ5eI5OnqOPBNLWSHKh2a30DoXe8/edit?usp=sharing"",""ยะลา!J263"")"),0.0)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IFERROR(__xludf.DUMMYFUNCTION("IMPORTRANGE(""https://docs.google.com/spreadsheets/d/1IYY_tgx_IHuhSq3AJ5eI5OnqOPBNLWSHKh2a30DoXe8/edit?usp=sharing"",""ยะลา!I164"")"),0.0)</f>
        <v>0</v>
      </c>
      <c r="J369" s="238">
        <f>IFERROR(__xludf.DUMMYFUNCTION("IMPORTRANGE(""https://docs.google.com/spreadsheets/d/1IYY_tgx_IHuhSq3AJ5eI5OnqOPBNLWSHKh2a30DoXe8/edit?usp=sharing"",""ยะลา!J164"")"),0.0)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IFERROR(__xludf.DUMMYFUNCTION("IMPORTRANGE(""https://docs.google.com/spreadsheets/d/1IYY_tgx_IHuhSq3AJ5eI5OnqOPBNLWSHKh2a30DoXe8/edit?usp=sharing"",""ยะลา!I265"")"),0.0)</f>
        <v>0</v>
      </c>
      <c r="J370" s="238">
        <f>IFERROR(__xludf.DUMMYFUNCTION("IMPORTRANGE(""https://docs.google.com/spreadsheets/d/1IYY_tgx_IHuhSq3AJ5eI5OnqOPBNLWSHKh2a30DoXe8/edit?usp=sharing"",""ยะลา!J265"")"),0.0)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IFERROR(__xludf.DUMMYFUNCTION("IMPORTRANGE(""https://docs.google.com/spreadsheets/d/1IYY_tgx_IHuhSq3AJ5eI5OnqOPBNLWSHKh2a30DoXe8/edit?usp=sharing"",""ยะลา!I164"")"),0.0)</f>
        <v>0</v>
      </c>
      <c r="J371" s="223">
        <f>IFERROR(__xludf.DUMMYFUNCTION("IMPORTRANGE(""https://docs.google.com/spreadsheets/d/1IYY_tgx_IHuhSq3AJ5eI5OnqOPBNLWSHKh2a30DoXe8/edit?usp=sharing"",""ยะลา!J164"")"),0.0)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IFERROR(__xludf.DUMMYFUNCTION("IMPORTRANGE(""https://docs.google.com/spreadsheets/d/1IYY_tgx_IHuhSq3AJ5eI5OnqOPBNLWSHKh2a30DoXe8/edit?usp=sharing"",""ยะลา!I267"")"),0.0)</f>
        <v>0</v>
      </c>
      <c r="J372" s="223">
        <f>IFERROR(__xludf.DUMMYFUNCTION("IMPORTRANGE(""https://docs.google.com/spreadsheets/d/1IYY_tgx_IHuhSq3AJ5eI5OnqOPBNLWSHKh2a30DoXe8/edit?usp=sharing"",""ยะลา!J267"")"),0.0)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IFERROR(__xludf.DUMMYFUNCTION("IMPORTRANGE(""https://docs.google.com/spreadsheets/d/1IYY_tgx_IHuhSq3AJ5eI5OnqOPBNLWSHKh2a30DoXe8/edit?usp=sharing"",""ยะลา!I164"")"),0.0)</f>
        <v>0</v>
      </c>
      <c r="J373" s="238">
        <f>IFERROR(__xludf.DUMMYFUNCTION("IMPORTRANGE(""https://docs.google.com/spreadsheets/d/1IYY_tgx_IHuhSq3AJ5eI5OnqOPBNLWSHKh2a30DoXe8/edit?usp=sharing"",""ยะลา!J164"")"),0.0)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IFERROR(__xludf.DUMMYFUNCTION("IMPORTRANGE(""https://docs.google.com/spreadsheets/d/1IYY_tgx_IHuhSq3AJ5eI5OnqOPBNLWSHKh2a30DoXe8/edit?usp=sharing"",""ยะลา!I164"")"),0.0)</f>
        <v>0</v>
      </c>
      <c r="J374" s="222">
        <f>IFERROR(__xludf.DUMMYFUNCTION("IMPORTRANGE(""https://docs.google.com/spreadsheets/d/1IYY_tgx_IHuhSq3AJ5eI5OnqOPBNLWSHKh2a30DoXe8/edit?usp=sharing"",""ยะลา!J164"")"),0.0)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IFERROR(__xludf.DUMMYFUNCTION("IMPORTRANGE(""https://docs.google.com/spreadsheets/d/1IYY_tgx_IHuhSq3AJ5eI5OnqOPBNLWSHKh2a30DoXe8/edit?usp=sharing"",""ยะลา!I270"")"),0.0)</f>
        <v>0</v>
      </c>
      <c r="J375" s="222">
        <f>IFERROR(__xludf.DUMMYFUNCTION("IMPORTRANGE(""https://docs.google.com/spreadsheets/d/1IYY_tgx_IHuhSq3AJ5eI5OnqOPBNLWSHKh2a30DoXe8/edit?usp=sharing"",""ยะลา!J270"")"),0.0)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IFERROR(__xludf.DUMMYFUNCTION("IMPORTRANGE(""https://docs.google.com/spreadsheets/d/1IYY_tgx_IHuhSq3AJ5eI5OnqOPBNLWSHKh2a30DoXe8/edit?usp=sharing"",""ยะลา!I271"")"),0.0)</f>
        <v>0</v>
      </c>
      <c r="J376" s="223">
        <f>IFERROR(__xludf.DUMMYFUNCTION("IMPORTRANGE(""https://docs.google.com/spreadsheets/d/1IYY_tgx_IHuhSq3AJ5eI5OnqOPBNLWSHKh2a30DoXe8/edit?usp=sharing"",""ยะลา!J271"")"),0.0)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IFERROR(__xludf.DUMMYFUNCTION("IMPORTRANGE(""https://docs.google.com/spreadsheets/d/1IYY_tgx_IHuhSq3AJ5eI5OnqOPBNLWSHKh2a30DoXe8/edit?usp=sharing"",""ยะลา!I272"")"),0.0)</f>
        <v>0</v>
      </c>
      <c r="J377" s="238">
        <f>IFERROR(__xludf.DUMMYFUNCTION("IMPORTRANGE(""https://docs.google.com/spreadsheets/d/1IYY_tgx_IHuhSq3AJ5eI5OnqOPBNLWSHKh2a30DoXe8/edit?usp=sharing"",""ยะลา!J272"")"),0.0)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IFERROR(__xludf.DUMMYFUNCTION("IMPORTRANGE(""https://docs.google.com/spreadsheets/d/1IYY_tgx_IHuhSq3AJ5eI5OnqOPBNLWSHKh2a30DoXe8/edit?usp=sharing"",""ยะลา!J273"")"),0.0)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IFERROR(__xludf.DUMMYFUNCTION("IMPORTRANGE(""https://docs.google.com/spreadsheets/d/1IYY_tgx_IHuhSq3AJ5eI5OnqOPBNLWSHKh2a30DoXe8/edit?usp=sharing"",""ยะลา!J274"")"),0.0)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IFERROR(__xludf.DUMMYFUNCTION("IMPORTRANGE(""https://docs.google.com/spreadsheets/d/1IYY_tgx_IHuhSq3AJ5eI5OnqOPBNLWSHKh2a30DoXe8/edit?usp=sharing"",""ยะลา!I275"")"),150.0)</f>
        <v>150</v>
      </c>
      <c r="J380" s="404">
        <f>IFERROR(__xludf.DUMMYFUNCTION("IMPORTRANGE(""https://docs.google.com/spreadsheets/d/1IYY_tgx_IHuhSq3AJ5eI5OnqOPBNLWSHKh2a30DoXe8/edit?usp=sharing"",""ยะลา!J275"")"),150.0)</f>
        <v>150</v>
      </c>
      <c r="K380" s="405">
        <f t="shared" ref="K380:K381" si="109">IF(I380&gt;0,J380*100/I380,0)</f>
        <v>100</v>
      </c>
      <c r="L380" s="406">
        <f>IFERROR(__xludf.DUMMYFUNCTION("IMPORTRANGE(""https://docs.google.com/spreadsheets/d/1IYY_tgx_IHuhSq3AJ5eI5OnqOPBNLWSHKh2a30DoXe8/edit?usp=sharing"",""ยะลา!L275"")"),167610.0)</f>
        <v>167610</v>
      </c>
      <c r="M380" s="406"/>
      <c r="N380" s="406">
        <f>IFERROR(__xludf.DUMMYFUNCTION("IMPORTRANGE(""https://docs.google.com/spreadsheets/d/1IYY_tgx_IHuhSq3AJ5eI5OnqOPBNLWSHKh2a30DoXe8/edit?usp=sharing"",""ยะลา!M275"")"),138240.0)</f>
        <v>138240</v>
      </c>
      <c r="O380" s="406">
        <f>+IF(L380&gt;0,N380*100/L380,0)</f>
        <v>82.47717917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IFERROR(__xludf.DUMMYFUNCTION("IMPORTRANGE(""https://docs.google.com/spreadsheets/d/1IYY_tgx_IHuhSq3AJ5eI5OnqOPBNLWSHKh2a30DoXe8/edit?usp=sharing"",""ยะลา!I276"")"),15.0)</f>
        <v>15</v>
      </c>
      <c r="J381" s="404">
        <f>IFERROR(__xludf.DUMMYFUNCTION("IMPORTRANGE(""https://docs.google.com/spreadsheets/d/1IYY_tgx_IHuhSq3AJ5eI5OnqOPBNLWSHKh2a30DoXe8/edit?usp=sharing"",""ยะลา!J276"")"),15.0)</f>
        <v>15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IFERROR(__xludf.DUMMYFUNCTION("IMPORTRANGE(""https://docs.google.com/spreadsheets/d/1IYY_tgx_IHuhSq3AJ5eI5OnqOPBNLWSHKh2a30DoXe8/edit?usp=sharing"",""ยะลา!L277"")"),0.0)</f>
        <v>0</v>
      </c>
      <c r="M382" s="197"/>
      <c r="N382" s="197">
        <f>IFERROR(__xludf.DUMMYFUNCTION("IMPORTRANGE(""https://docs.google.com/spreadsheets/d/1IYY_tgx_IHuhSq3AJ5eI5OnqOPBNLWSHKh2a30DoXe8/edit?usp=sharing"",""ยะลา!M277"")"),0.0)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IFERROR(__xludf.DUMMYFUNCTION("IMPORTRANGE(""https://docs.google.com/spreadsheets/d/1IYY_tgx_IHuhSq3AJ5eI5OnqOPBNLWSHKh2a30DoXe8/edit?usp=sharing"",""ยะลา!L278"")"),167610.0)</f>
        <v>167610</v>
      </c>
      <c r="M383" s="198"/>
      <c r="N383" s="198">
        <f>IFERROR(__xludf.DUMMYFUNCTION("IMPORTRANGE(""https://docs.google.com/spreadsheets/d/1IYY_tgx_IHuhSq3AJ5eI5OnqOPBNLWSHKh2a30DoXe8/edit?usp=sharing"",""ยะลา!M278"")"),138240.0)</f>
        <v>138240</v>
      </c>
      <c r="O383" s="198">
        <f t="shared" si="110"/>
        <v>82.47717917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IFERROR(__xludf.DUMMYFUNCTION("IMPORTRANGE(""https://docs.google.com/spreadsheets/d/1IYY_tgx_IHuhSq3AJ5eI5OnqOPBNLWSHKh2a30DoXe8/edit?usp=sharing"",""ยะลา!L279"")"),0.0)</f>
        <v>0</v>
      </c>
      <c r="M384" s="203"/>
      <c r="N384" s="203">
        <f>IFERROR(__xludf.DUMMYFUNCTION("IMPORTRANGE(""https://docs.google.com/spreadsheets/d/1IYY_tgx_IHuhSq3AJ5eI5OnqOPBNLWSHKh2a30DoXe8/edit?usp=sharing"",""ยะลา!M279"")"),0.0)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IFERROR(__xludf.DUMMYFUNCTION("IMPORTRANGE(""https://docs.google.com/spreadsheets/d/1IYY_tgx_IHuhSq3AJ5eI5OnqOPBNLWSHKh2a30DoXe8/edit?usp=sharing"",""ยะลา!L280"")"),167610.0)</f>
        <v>167610</v>
      </c>
      <c r="M385" s="203"/>
      <c r="N385" s="200">
        <f>IFERROR(__xludf.DUMMYFUNCTION("IMPORTRANGE(""https://docs.google.com/spreadsheets/d/1IYY_tgx_IHuhSq3AJ5eI5OnqOPBNLWSHKh2a30DoXe8/edit?usp=sharing"",""ยะลา!M280"")"),138240.0)</f>
        <v>138240</v>
      </c>
      <c r="O385" s="203">
        <f t="shared" si="110"/>
        <v>82.47717917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IFERROR(__xludf.DUMMYFUNCTION("IMPORTRANGE(""https://docs.google.com/spreadsheets/d/1IYY_tgx_IHuhSq3AJ5eI5OnqOPBNLWSHKh2a30DoXe8/edit?usp=sharing"",""ยะลา!M281"")"),36400.0)</f>
        <v>36400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IFERROR(__xludf.DUMMYFUNCTION("IMPORTRANGE(""https://docs.google.com/spreadsheets/d/1IYY_tgx_IHuhSq3AJ5eI5OnqOPBNLWSHKh2a30DoXe8/edit?usp=sharing"",""ยะลา!M282"")"),88600.0)</f>
        <v>88600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IFERROR(__xludf.DUMMYFUNCTION("IMPORTRANGE(""https://docs.google.com/spreadsheets/d/1IYY_tgx_IHuhSq3AJ5eI5OnqOPBNLWSHKh2a30DoXe8/edit?usp=sharing"",""ยะลา!M283"")"),0.0)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IFERROR(__xludf.DUMMYFUNCTION("IMPORTRANGE(""https://docs.google.com/spreadsheets/d/1IYY_tgx_IHuhSq3AJ5eI5OnqOPBNLWSHKh2a30DoXe8/edit?usp=sharing"",""ยะลา!M284"")"),13240.0)</f>
        <v>13240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IFERROR(__xludf.DUMMYFUNCTION("IMPORTRANGE(""https://docs.google.com/spreadsheets/d/1IYY_tgx_IHuhSq3AJ5eI5OnqOPBNLWSHKh2a30DoXe8/edit?usp=sharing"",""ยะลา!J286"")"),0.0)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IFERROR(__xludf.DUMMYFUNCTION("IMPORTRANGE(""https://docs.google.com/spreadsheets/d/1IYY_tgx_IHuhSq3AJ5eI5OnqOPBNLWSHKh2a30DoXe8/edit?usp=sharing"",""ยะลา!J287"")"),1.0)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IFERROR(__xludf.DUMMYFUNCTION("IMPORTRANGE(""https://docs.google.com/spreadsheets/d/1IYY_tgx_IHuhSq3AJ5eI5OnqOPBNLWSHKh2a30DoXe8/edit?usp=sharing"",""ยะลา!J288"")"),1.0)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IFERROR(__xludf.DUMMYFUNCTION("IMPORTRANGE(""https://docs.google.com/spreadsheets/d/1IYY_tgx_IHuhSq3AJ5eI5OnqOPBNLWSHKh2a30DoXe8/edit?usp=sharing"",""ยะลา!J289"")"),1.0)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IFERROR(__xludf.DUMMYFUNCTION("IMPORTRANGE(""https://docs.google.com/spreadsheets/d/1IYY_tgx_IHuhSq3AJ5eI5OnqOPBNLWSHKh2a30DoXe8/edit?usp=sharing"",""ยะลา!I291"")"),15.0)</f>
        <v>15</v>
      </c>
      <c r="J396" s="232">
        <f>IFERROR(__xludf.DUMMYFUNCTION("IMPORTRANGE(""https://docs.google.com/spreadsheets/d/1IYY_tgx_IHuhSq3AJ5eI5OnqOPBNLWSHKh2a30DoXe8/edit?usp=sharing"",""ยะลา!J291"")"),15.0)</f>
        <v>15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IFERROR(__xludf.DUMMYFUNCTION("IMPORTRANGE(""https://docs.google.com/spreadsheets/d/1IYY_tgx_IHuhSq3AJ5eI5OnqOPBNLWSHKh2a30DoXe8/edit?usp=sharing"",""ยะลา!I292"")"),150.0)</f>
        <v>150</v>
      </c>
      <c r="J397" s="232">
        <f>IFERROR(__xludf.DUMMYFUNCTION("IMPORTRANGE(""https://docs.google.com/spreadsheets/d/1IYY_tgx_IHuhSq3AJ5eI5OnqOPBNLWSHKh2a30DoXe8/edit?usp=sharing"",""ยะลา!J292"")"),150.0)</f>
        <v>150</v>
      </c>
      <c r="K397" s="196">
        <f t="shared" si="111"/>
        <v>100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IFERROR(__xludf.DUMMYFUNCTION("IMPORTRANGE(""https://docs.google.com/spreadsheets/d/1IYY_tgx_IHuhSq3AJ5eI5OnqOPBNLWSHKh2a30DoXe8/edit?usp=sharing"",""ยะลา!I293"")"),15.0)</f>
        <v>15</v>
      </c>
      <c r="J398" s="232">
        <f>IFERROR(__xludf.DUMMYFUNCTION("IMPORTRANGE(""https://docs.google.com/spreadsheets/d/1IYY_tgx_IHuhSq3AJ5eI5OnqOPBNLWSHKh2a30DoXe8/edit?usp=sharing"",""ยะลา!J293"")"),15.0)</f>
        <v>15</v>
      </c>
      <c r="K398" s="196">
        <f t="shared" si="111"/>
        <v>100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IFERROR(__xludf.DUMMYFUNCTION("IMPORTRANGE(""https://docs.google.com/spreadsheets/d/1IYY_tgx_IHuhSq3AJ5eI5OnqOPBNLWSHKh2a30DoXe8/edit?usp=sharing"",""ยะลา!J294"")"),0.0)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IFERROR(__xludf.DUMMYFUNCTION("IMPORTRANGE(""https://docs.google.com/spreadsheets/d/1IYY_tgx_IHuhSq3AJ5eI5OnqOPBNLWSHKh2a30DoXe8/edit?usp=sharing"",""ยะลา!J295"")"),0.0)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IFERROR(__xludf.DUMMYFUNCTION("IMPORTRANGE(""https://docs.google.com/spreadsheets/d/1IYY_tgx_IHuhSq3AJ5eI5OnqOPBNLWSHKh2a30DoXe8/edit?usp=sharing"",""ยะลา!I296"")"),105.0)</f>
        <v>105</v>
      </c>
      <c r="J401" s="404">
        <f>IFERROR(__xludf.DUMMYFUNCTION("IMPORTRANGE(""https://docs.google.com/spreadsheets/d/1IYY_tgx_IHuhSq3AJ5eI5OnqOPBNLWSHKh2a30DoXe8/edit?usp=sharing"",""ยะลา!J296"")"),0.0)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IFERROR(__xludf.DUMMYFUNCTION("IMPORTRANGE(""https://docs.google.com/spreadsheets/d/1IYY_tgx_IHuhSq3AJ5eI5OnqOPBNLWSHKh2a30DoXe8/edit?usp=sharing"",""ยะลา!L296"")"),131710.0)</f>
        <v>131710</v>
      </c>
      <c r="M401" s="406"/>
      <c r="N401" s="406">
        <f>IFERROR(__xludf.DUMMYFUNCTION("IMPORTRANGE(""https://docs.google.com/spreadsheets/d/1IYY_tgx_IHuhSq3AJ5eI5OnqOPBNLWSHKh2a30DoXe8/edit?usp=sharing"",""ยะลา!M296"")"),14500.0)</f>
        <v>14500</v>
      </c>
      <c r="O401" s="406">
        <f>+IF(L401&gt;0,N401*100/L401,0)</f>
        <v>11.009035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IFERROR(__xludf.DUMMYFUNCTION("IMPORTRANGE(""https://docs.google.com/spreadsheets/d/1IYY_tgx_IHuhSq3AJ5eI5OnqOPBNLWSHKh2a30DoXe8/edit?usp=sharing"",""ยะลา!I297"")"),35.0)</f>
        <v>35</v>
      </c>
      <c r="J402" s="404">
        <f>IFERROR(__xludf.DUMMYFUNCTION("IMPORTRANGE(""https://docs.google.com/spreadsheets/d/1IYY_tgx_IHuhSq3AJ5eI5OnqOPBNLWSHKh2a30DoXe8/edit?usp=sharing"",""ยะลา!J297"")"),10.0)</f>
        <v>10</v>
      </c>
      <c r="K402" s="405">
        <f t="shared" si="112"/>
        <v>28.57142857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IFERROR(__xludf.DUMMYFUNCTION("IMPORTRANGE(""https://docs.google.com/spreadsheets/d/1IYY_tgx_IHuhSq3AJ5eI5OnqOPBNLWSHKh2a30DoXe8/edit?usp=sharing"",""ยะลา!L298"")"),0.0)</f>
        <v>0</v>
      </c>
      <c r="M403" s="197"/>
      <c r="N403" s="203">
        <f>IFERROR(__xludf.DUMMYFUNCTION("IMPORTRANGE(""https://docs.google.com/spreadsheets/d/1IYY_tgx_IHuhSq3AJ5eI5OnqOPBNLWSHKh2a30DoXe8/edit?usp=sharing"",""ยะลา!M298"")"),0.0)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IFERROR(__xludf.DUMMYFUNCTION("IMPORTRANGE(""https://docs.google.com/spreadsheets/d/1IYY_tgx_IHuhSq3AJ5eI5OnqOPBNLWSHKh2a30DoXe8/edit?usp=sharing"",""ยะลา!L299"")"),131710.0)</f>
        <v>131710</v>
      </c>
      <c r="M404" s="198"/>
      <c r="N404" s="203">
        <f>IFERROR(__xludf.DUMMYFUNCTION("IMPORTRANGE(""https://docs.google.com/spreadsheets/d/1IYY_tgx_IHuhSq3AJ5eI5OnqOPBNLWSHKh2a30DoXe8/edit?usp=sharing"",""ยะลา!M299"")"),14500.0)</f>
        <v>14500</v>
      </c>
      <c r="O404" s="203">
        <f t="shared" si="113"/>
        <v>11.009035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IFERROR(__xludf.DUMMYFUNCTION("IMPORTRANGE(""https://docs.google.com/spreadsheets/d/1IYY_tgx_IHuhSq3AJ5eI5OnqOPBNLWSHKh2a30DoXe8/edit?usp=sharing"",""ยะลา!L300"")"),0.0)</f>
        <v>0</v>
      </c>
      <c r="M405" s="203"/>
      <c r="N405" s="203">
        <f>IFERROR(__xludf.DUMMYFUNCTION("IMPORTRANGE(""https://docs.google.com/spreadsheets/d/1IYY_tgx_IHuhSq3AJ5eI5OnqOPBNLWSHKh2a30DoXe8/edit?usp=sharing"",""ยะลา!M300"")"),0.0)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IFERROR(__xludf.DUMMYFUNCTION("IMPORTRANGE(""https://docs.google.com/spreadsheets/d/1IYY_tgx_IHuhSq3AJ5eI5OnqOPBNLWSHKh2a30DoXe8/edit?usp=sharing"",""ยะลา!L301"")"),131710.0)</f>
        <v>131710</v>
      </c>
      <c r="M406" s="203"/>
      <c r="N406" s="203">
        <f>IFERROR(__xludf.DUMMYFUNCTION("IMPORTRANGE(""https://docs.google.com/spreadsheets/d/1IYY_tgx_IHuhSq3AJ5eI5OnqOPBNLWSHKh2a30DoXe8/edit?usp=sharing"",""ยะลา!M301"")"),14500.0)</f>
        <v>14500</v>
      </c>
      <c r="O406" s="203">
        <f t="shared" si="113"/>
        <v>11.009035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IFERROR(__xludf.DUMMYFUNCTION("IMPORTRANGE(""https://docs.google.com/spreadsheets/d/1IYY_tgx_IHuhSq3AJ5eI5OnqOPBNLWSHKh2a30DoXe8/edit?usp=sharing"",""ยะลา!M302"")"),12780.0)</f>
        <v>12780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IFERROR(__xludf.DUMMYFUNCTION("IMPORTRANGE(""https://docs.google.com/spreadsheets/d/1IYY_tgx_IHuhSq3AJ5eI5OnqOPBNLWSHKh2a30DoXe8/edit?usp=sharing"",""ยะลา!M303"")"),0.0)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IFERROR(__xludf.DUMMYFUNCTION("IMPORTRANGE(""https://docs.google.com/spreadsheets/d/1IYY_tgx_IHuhSq3AJ5eI5OnqOPBNLWSHKh2a30DoXe8/edit?usp=sharing"",""ยะลา!M304"")"),0.0)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IFERROR(__xludf.DUMMYFUNCTION("IMPORTRANGE(""https://docs.google.com/spreadsheets/d/1IYY_tgx_IHuhSq3AJ5eI5OnqOPBNLWSHKh2a30DoXe8/edit?usp=sharing"",""ยะลา!M305"")"),1720.0)</f>
        <v>1720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IFERROR(__xludf.DUMMYFUNCTION("IMPORTRANGE(""https://docs.google.com/spreadsheets/d/1IYY_tgx_IHuhSq3AJ5eI5OnqOPBNLWSHKh2a30DoXe8/edit?usp=sharing"",""ยะลา!J307"")"),0.0)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IFERROR(__xludf.DUMMYFUNCTION("IMPORTRANGE(""https://docs.google.com/spreadsheets/d/1IYY_tgx_IHuhSq3AJ5eI5OnqOPBNLWSHKh2a30DoXe8/edit?usp=sharing"",""ยะลา!J308"")"),1.0)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IFERROR(__xludf.DUMMYFUNCTION("IMPORTRANGE(""https://docs.google.com/spreadsheets/d/1IYY_tgx_IHuhSq3AJ5eI5OnqOPBNLWSHKh2a30DoXe8/edit?usp=sharing"",""ยะลา!J309"")"),1.0)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IFERROR(__xludf.DUMMYFUNCTION("IMPORTRANGE(""https://docs.google.com/spreadsheets/d/1IYY_tgx_IHuhSq3AJ5eI5OnqOPBNLWSHKh2a30DoXe8/edit?usp=sharing"",""ยะลา!J310"")"),1.0)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IFERROR(__xludf.DUMMYFUNCTION("IMPORTRANGE(""https://docs.google.com/spreadsheets/d/1IYY_tgx_IHuhSq3AJ5eI5OnqOPBNLWSHKh2a30DoXe8/edit?usp=sharing"",""ยะลา!I311"")"),35.0)</f>
        <v>35</v>
      </c>
      <c r="J416" s="235">
        <f>IFERROR(__xludf.DUMMYFUNCTION("IMPORTRANGE(""https://docs.google.com/spreadsheets/d/1IYY_tgx_IHuhSq3AJ5eI5OnqOPBNLWSHKh2a30DoXe8/edit?usp=sharing"",""ยะลา!J311"")"),10.0)</f>
        <v>10</v>
      </c>
      <c r="K416" s="236">
        <f t="shared" ref="K416:K432" si="114">IF(I416&gt;0,J416*100/I416,0)</f>
        <v>28.57142857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IFERROR(__xludf.DUMMYFUNCTION("IMPORTRANGE(""https://docs.google.com/spreadsheets/d/1IYY_tgx_IHuhSq3AJ5eI5OnqOPBNLWSHKh2a30DoXe8/edit?usp=sharing"",""ยะลา!I312"")"),10.0)</f>
        <v>10</v>
      </c>
      <c r="J417" s="425">
        <f>IFERROR(__xludf.DUMMYFUNCTION("IMPORTRANGE(""https://docs.google.com/spreadsheets/d/1IYY_tgx_IHuhSq3AJ5eI5OnqOPBNLWSHKh2a30DoXe8/edit?usp=sharing"",""ยะลา!J312"")"),0.0)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IFERROR(__xludf.DUMMYFUNCTION("IMPORTRANGE(""https://docs.google.com/spreadsheets/d/1IYY_tgx_IHuhSq3AJ5eI5OnqOPBNLWSHKh2a30DoXe8/edit?usp=sharing"",""ยะลา!I313"")"),30.0)</f>
        <v>30</v>
      </c>
      <c r="J418" s="426">
        <f>IFERROR(__xludf.DUMMYFUNCTION("IMPORTRANGE(""https://docs.google.com/spreadsheets/d/1IYY_tgx_IHuhSq3AJ5eI5OnqOPBNLWSHKh2a30DoXe8/edit?usp=sharing"",""ยะลา!J313"")"),0.0)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IFERROR(__xludf.DUMMYFUNCTION("IMPORTRANGE(""https://docs.google.com/spreadsheets/d/1IYY_tgx_IHuhSq3AJ5eI5OnqOPBNLWSHKh2a30DoXe8/edit?usp=sharing"",""ยะลา!I314"")"),10.0)</f>
        <v>10</v>
      </c>
      <c r="J419" s="427">
        <f>IFERROR(__xludf.DUMMYFUNCTION("IMPORTRANGE(""https://docs.google.com/spreadsheets/d/1IYY_tgx_IHuhSq3AJ5eI5OnqOPBNLWSHKh2a30DoXe8/edit?usp=sharing"",""ยะลา!J314"")"),0.0)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IFERROR(__xludf.DUMMYFUNCTION("IMPORTRANGE(""https://docs.google.com/spreadsheets/d/1IYY_tgx_IHuhSq3AJ5eI5OnqOPBNLWSHKh2a30DoXe8/edit?usp=sharing"",""ยะลา!I315"")"),10.0)</f>
        <v>10</v>
      </c>
      <c r="J420" s="427">
        <f>IFERROR(__xludf.DUMMYFUNCTION("IMPORTRANGE(""https://docs.google.com/spreadsheets/d/1IYY_tgx_IHuhSq3AJ5eI5OnqOPBNLWSHKh2a30DoXe8/edit?usp=sharing"",""ยะลา!J315"")"),0.0)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IFERROR(__xludf.DUMMYFUNCTION("IMPORTRANGE(""https://docs.google.com/spreadsheets/d/1IYY_tgx_IHuhSq3AJ5eI5OnqOPBNLWSHKh2a30DoXe8/edit?usp=sharing"",""ยะลา!I316"")"),15.0)</f>
        <v>15</v>
      </c>
      <c r="J421" s="425">
        <f>IFERROR(__xludf.DUMMYFUNCTION("IMPORTRANGE(""https://docs.google.com/spreadsheets/d/1IYY_tgx_IHuhSq3AJ5eI5OnqOPBNLWSHKh2a30DoXe8/edit?usp=sharing"",""ยะลา!J316"")"),0.0)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IFERROR(__xludf.DUMMYFUNCTION("IMPORTRANGE(""https://docs.google.com/spreadsheets/d/1IYY_tgx_IHuhSq3AJ5eI5OnqOPBNLWSHKh2a30DoXe8/edit?usp=sharing"",""ยะลา!I317"")"),45.0)</f>
        <v>45</v>
      </c>
      <c r="J422" s="426">
        <f>IFERROR(__xludf.DUMMYFUNCTION("IMPORTRANGE(""https://docs.google.com/spreadsheets/d/1IYY_tgx_IHuhSq3AJ5eI5OnqOPBNLWSHKh2a30DoXe8/edit?usp=sharing"",""ยะลา!J317"")"),0.0)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IFERROR(__xludf.DUMMYFUNCTION("IMPORTRANGE(""https://docs.google.com/spreadsheets/d/1IYY_tgx_IHuhSq3AJ5eI5OnqOPBNLWSHKh2a30DoXe8/edit?usp=sharing"",""ยะลา!I318"")"),15.0)</f>
        <v>15</v>
      </c>
      <c r="J423" s="427">
        <f>IFERROR(__xludf.DUMMYFUNCTION("IMPORTRANGE(""https://docs.google.com/spreadsheets/d/1IYY_tgx_IHuhSq3AJ5eI5OnqOPBNLWSHKh2a30DoXe8/edit?usp=sharing"",""ยะลา!J318"")"),0.0)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IFERROR(__xludf.DUMMYFUNCTION("IMPORTRANGE(""https://docs.google.com/spreadsheets/d/1IYY_tgx_IHuhSq3AJ5eI5OnqOPBNLWSHKh2a30DoXe8/edit?usp=sharing"",""ยะลา!I319"")"),15.0)</f>
        <v>15</v>
      </c>
      <c r="J424" s="427">
        <f>IFERROR(__xludf.DUMMYFUNCTION("IMPORTRANGE(""https://docs.google.com/spreadsheets/d/1IYY_tgx_IHuhSq3AJ5eI5OnqOPBNLWSHKh2a30DoXe8/edit?usp=sharing"",""ยะลา!J319"")"),0.0)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IFERROR(__xludf.DUMMYFUNCTION("IMPORTRANGE(""https://docs.google.com/spreadsheets/d/1IYY_tgx_IHuhSq3AJ5eI5OnqOPBNLWSHKh2a30DoXe8/edit?usp=sharing"",""ยะลา!I320"")"),15.0)</f>
        <v>15</v>
      </c>
      <c r="J425" s="427">
        <f>IFERROR(__xludf.DUMMYFUNCTION("IMPORTRANGE(""https://docs.google.com/spreadsheets/d/1IYY_tgx_IHuhSq3AJ5eI5OnqOPBNLWSHKh2a30DoXe8/edit?usp=sharing"",""ยะลา!J320"")"),0.0)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IFERROR(__xludf.DUMMYFUNCTION("IMPORTRANGE(""https://docs.google.com/spreadsheets/d/1IYY_tgx_IHuhSq3AJ5eI5OnqOPBNLWSHKh2a30DoXe8/edit?usp=sharing"",""ยะลา!I321"")"),10.0)</f>
        <v>10</v>
      </c>
      <c r="J426" s="425">
        <f>IFERROR(__xludf.DUMMYFUNCTION("IMPORTRANGE(""https://docs.google.com/spreadsheets/d/1IYY_tgx_IHuhSq3AJ5eI5OnqOPBNLWSHKh2a30DoXe8/edit?usp=sharing"",""ยะลา!J321"")"),10.0)</f>
        <v>10</v>
      </c>
      <c r="K426" s="236">
        <f t="shared" si="114"/>
        <v>100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IFERROR(__xludf.DUMMYFUNCTION("IMPORTRANGE(""https://docs.google.com/spreadsheets/d/1IYY_tgx_IHuhSq3AJ5eI5OnqOPBNLWSHKh2a30DoXe8/edit?usp=sharing"",""ยะลา!I322"")"),30.0)</f>
        <v>30</v>
      </c>
      <c r="J427" s="426">
        <f>IFERROR(__xludf.DUMMYFUNCTION("IMPORTRANGE(""https://docs.google.com/spreadsheets/d/1IYY_tgx_IHuhSq3AJ5eI5OnqOPBNLWSHKh2a30DoXe8/edit?usp=sharing"",""ยะลา!J322"")"),0.0)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IFERROR(__xludf.DUMMYFUNCTION("IMPORTRANGE(""https://docs.google.com/spreadsheets/d/1IYY_tgx_IHuhSq3AJ5eI5OnqOPBNLWSHKh2a30DoXe8/edit?usp=sharing"",""ยะลา!I323"")"),10.0)</f>
        <v>10</v>
      </c>
      <c r="J428" s="427">
        <f>IFERROR(__xludf.DUMMYFUNCTION("IMPORTRANGE(""https://docs.google.com/spreadsheets/d/1IYY_tgx_IHuhSq3AJ5eI5OnqOPBNLWSHKh2a30DoXe8/edit?usp=sharing"",""ยะลา!J323"")"),10.0)</f>
        <v>10</v>
      </c>
      <c r="K428" s="196">
        <f t="shared" si="114"/>
        <v>100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IFERROR(__xludf.DUMMYFUNCTION("IMPORTRANGE(""https://docs.google.com/spreadsheets/d/1IYY_tgx_IHuhSq3AJ5eI5OnqOPBNLWSHKh2a30DoXe8/edit?usp=sharing"",""ยะลา!I324"")"),10.0)</f>
        <v>10</v>
      </c>
      <c r="J429" s="427">
        <f>IFERROR(__xludf.DUMMYFUNCTION("IMPORTRANGE(""https://docs.google.com/spreadsheets/d/1IYY_tgx_IHuhSq3AJ5eI5OnqOPBNLWSHKh2a30DoXe8/edit?usp=sharing"",""ยะลา!J324"")"),10.0)</f>
        <v>10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IFERROR(__xludf.DUMMYFUNCTION("IMPORTRANGE(""https://docs.google.com/spreadsheets/d/1IYY_tgx_IHuhSq3AJ5eI5OnqOPBNLWSHKh2a30DoXe8/edit?usp=sharing"",""ยะลา!I325"")"),25.0)</f>
        <v>25</v>
      </c>
      <c r="J430" s="425">
        <f>IFERROR(__xludf.DUMMYFUNCTION("IMPORTRANGE(""https://docs.google.com/spreadsheets/d/1IYY_tgx_IHuhSq3AJ5eI5OnqOPBNLWSHKh2a30DoXe8/edit?usp=sharing"",""ยะลา!J325"")"),0.0)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IFERROR(__xludf.DUMMYFUNCTION("IMPORTRANGE(""https://docs.google.com/spreadsheets/d/1IYY_tgx_IHuhSq3AJ5eI5OnqOPBNLWSHKh2a30DoXe8/edit?usp=sharing"",""ยะลา!I326"")"),10.0)</f>
        <v>10</v>
      </c>
      <c r="J431" s="427">
        <f>IFERROR(__xludf.DUMMYFUNCTION("IMPORTRANGE(""https://docs.google.com/spreadsheets/d/1IYY_tgx_IHuhSq3AJ5eI5OnqOPBNLWSHKh2a30DoXe8/edit?usp=sharing"",""ยะลา!J326"")"),0.0)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IFERROR(__xludf.DUMMYFUNCTION("IMPORTRANGE(""https://docs.google.com/spreadsheets/d/1IYY_tgx_IHuhSq3AJ5eI5OnqOPBNLWSHKh2a30DoXe8/edit?usp=sharing"",""ยะลา!I327"")"),15.0)</f>
        <v>15</v>
      </c>
      <c r="J432" s="427">
        <f>IFERROR(__xludf.DUMMYFUNCTION("IMPORTRANGE(""https://docs.google.com/spreadsheets/d/1IYY_tgx_IHuhSq3AJ5eI5OnqOPBNLWSHKh2a30DoXe8/edit?usp=sharing"",""ยะลา!J327"")"),0.0)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IFERROR(__xludf.DUMMYFUNCTION("IMPORTRANGE(""https://docs.google.com/spreadsheets/d/1IYY_tgx_IHuhSq3AJ5eI5OnqOPBNLWSHKh2a30DoXe8/edit?usp=sharing"",""ยะลา!J328"")"),0.0)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IFERROR(__xludf.DUMMYFUNCTION("IMPORTRANGE(""https://docs.google.com/spreadsheets/d/1IYY_tgx_IHuhSq3AJ5eI5OnqOPBNLWSHKh2a30DoXe8/edit?usp=sharing"",""ยะลา!J329"")"),0.0)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IFERROR(__xludf.DUMMYFUNCTION("IMPORTRANGE(""https://docs.google.com/spreadsheets/d/1IYY_tgx_IHuhSq3AJ5eI5OnqOPBNLWSHKh2a30DoXe8/edit?usp=sharing"",""ยะลา!I330"")"),10.0)</f>
        <v>10</v>
      </c>
      <c r="J435" s="443">
        <f>IFERROR(__xludf.DUMMYFUNCTION("IMPORTRANGE(""https://docs.google.com/spreadsheets/d/1IYY_tgx_IHuhSq3AJ5eI5OnqOPBNLWSHKh2a30DoXe8/edit?usp=sharing"",""ยะลา!J330"")"),10.0)</f>
        <v>10</v>
      </c>
      <c r="K435" s="444">
        <f>IF(I435&gt;0,J435*100/I435,0)</f>
        <v>100</v>
      </c>
      <c r="L435" s="445">
        <f>IFERROR(__xludf.DUMMYFUNCTION("IMPORTRANGE(""https://docs.google.com/spreadsheets/d/1IYY_tgx_IHuhSq3AJ5eI5OnqOPBNLWSHKh2a30DoXe8/edit?usp=sharing"",""ยะลา!L330"")"),71000.0)</f>
        <v>71000</v>
      </c>
      <c r="M435" s="445"/>
      <c r="N435" s="445">
        <f>IFERROR(__xludf.DUMMYFUNCTION("IMPORTRANGE(""https://docs.google.com/spreadsheets/d/1IYY_tgx_IHuhSq3AJ5eI5OnqOPBNLWSHKh2a30DoXe8/edit?usp=sharing"",""ยะลา!M330"")"),21105.0)</f>
        <v>21105</v>
      </c>
      <c r="O435" s="445">
        <f t="shared" ref="O435:O439" si="115">+IF(L435&gt;0,N435*100/L435,0)</f>
        <v>29.72535211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IFERROR(__xludf.DUMMYFUNCTION("IMPORTRANGE(""https://docs.google.com/spreadsheets/d/1IYY_tgx_IHuhSq3AJ5eI5OnqOPBNLWSHKh2a30DoXe8/edit?usp=sharing"",""ยะลา!L331"")"),0.0)</f>
        <v>0</v>
      </c>
      <c r="M436" s="197"/>
      <c r="N436" s="203">
        <f>IFERROR(__xludf.DUMMYFUNCTION("IMPORTRANGE(""https://docs.google.com/spreadsheets/d/1IYY_tgx_IHuhSq3AJ5eI5OnqOPBNLWSHKh2a30DoXe8/edit?usp=sharing"",""ยะลา!M331"")"),0.0)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IFERROR(__xludf.DUMMYFUNCTION("IMPORTRANGE(""https://docs.google.com/spreadsheets/d/1IYY_tgx_IHuhSq3AJ5eI5OnqOPBNLWSHKh2a30DoXe8/edit?usp=sharing"",""ยะลา!L332"")"),71000.0)</f>
        <v>71000</v>
      </c>
      <c r="M437" s="198"/>
      <c r="N437" s="203">
        <f>IFERROR(__xludf.DUMMYFUNCTION("IMPORTRANGE(""https://docs.google.com/spreadsheets/d/1IYY_tgx_IHuhSq3AJ5eI5OnqOPBNLWSHKh2a30DoXe8/edit?usp=sharing"",""ยะลา!M332"")"),21105.0)</f>
        <v>21105</v>
      </c>
      <c r="O437" s="203">
        <f t="shared" si="115"/>
        <v>29.72535211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IFERROR(__xludf.DUMMYFUNCTION("IMPORTRANGE(""https://docs.google.com/spreadsheets/d/1IYY_tgx_IHuhSq3AJ5eI5OnqOPBNLWSHKh2a30DoXe8/edit?usp=sharing"",""ยะลา!L333"")"),0.0)</f>
        <v>0</v>
      </c>
      <c r="M438" s="203"/>
      <c r="N438" s="203">
        <f>IFERROR(__xludf.DUMMYFUNCTION("IMPORTRANGE(""https://docs.google.com/spreadsheets/d/1IYY_tgx_IHuhSq3AJ5eI5OnqOPBNLWSHKh2a30DoXe8/edit?usp=sharing"",""ยะลา!M333"")"),0.0)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IFERROR(__xludf.DUMMYFUNCTION("IMPORTRANGE(""https://docs.google.com/spreadsheets/d/1IYY_tgx_IHuhSq3AJ5eI5OnqOPBNLWSHKh2a30DoXe8/edit?usp=sharing"",""ยะลา!L334"")"),71000.0)</f>
        <v>71000</v>
      </c>
      <c r="M439" s="203"/>
      <c r="N439" s="203">
        <f>IFERROR(__xludf.DUMMYFUNCTION("IMPORTRANGE(""https://docs.google.com/spreadsheets/d/1IYY_tgx_IHuhSq3AJ5eI5OnqOPBNLWSHKh2a30DoXe8/edit?usp=sharing"",""ยะลา!M334"")"),21105.0)</f>
        <v>21105</v>
      </c>
      <c r="O439" s="203">
        <f t="shared" si="115"/>
        <v>29.72535211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IFERROR(__xludf.DUMMYFUNCTION("IMPORTRANGE(""https://docs.google.com/spreadsheets/d/1IYY_tgx_IHuhSq3AJ5eI5OnqOPBNLWSHKh2a30DoXe8/edit?usp=sharing"",""ยะลา!M335"")"),9105.0)</f>
        <v>9105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IFERROR(__xludf.DUMMYFUNCTION("IMPORTRANGE(""https://docs.google.com/spreadsheets/d/1IYY_tgx_IHuhSq3AJ5eI5OnqOPBNLWSHKh2a30DoXe8/edit?usp=sharing"",""ยะลา!M336"")"),0.0)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IFERROR(__xludf.DUMMYFUNCTION("IMPORTRANGE(""https://docs.google.com/spreadsheets/d/1IYY_tgx_IHuhSq3AJ5eI5OnqOPBNLWSHKh2a30DoXe8/edit?usp=sharing"",""ยะลา!M337"")"),0.0)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IFERROR(__xludf.DUMMYFUNCTION("IMPORTRANGE(""https://docs.google.com/spreadsheets/d/1IYY_tgx_IHuhSq3AJ5eI5OnqOPBNLWSHKh2a30DoXe8/edit?usp=sharing"",""ยะลา!M338"")"),12000.0)</f>
        <v>12000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IFERROR(__xludf.DUMMYFUNCTION("IMPORTRANGE(""https://docs.google.com/spreadsheets/d/1IYY_tgx_IHuhSq3AJ5eI5OnqOPBNLWSHKh2a30DoXe8/edit?usp=sharing"",""ยะลา!J340"")"),0.0)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IFERROR(__xludf.DUMMYFUNCTION("IMPORTRANGE(""https://docs.google.com/spreadsheets/d/1IYY_tgx_IHuhSq3AJ5eI5OnqOPBNLWSHKh2a30DoXe8/edit?usp=sharing"",""ยะลา!J341"")"),1.0)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IFERROR(__xludf.DUMMYFUNCTION("IMPORTRANGE(""https://docs.google.com/spreadsheets/d/1IYY_tgx_IHuhSq3AJ5eI5OnqOPBNLWSHKh2a30DoXe8/edit?usp=sharing"",""ยะลา!J342"")"),1.0)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IFERROR(__xludf.DUMMYFUNCTION("IMPORTRANGE(""https://docs.google.com/spreadsheets/d/1IYY_tgx_IHuhSq3AJ5eI5OnqOPBNLWSHKh2a30DoXe8/edit?usp=sharing"",""ยะลา!J343"")"),1.0)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IFERROR(__xludf.DUMMYFUNCTION("IMPORTRANGE(""https://docs.google.com/spreadsheets/d/1IYY_tgx_IHuhSq3AJ5eI5OnqOPBNLWSHKh2a30DoXe8/edit?usp=sharing"",""ยะลา!I344"")"),10.0)</f>
        <v>10</v>
      </c>
      <c r="J449" s="235">
        <f>IFERROR(__xludf.DUMMYFUNCTION("IMPORTRANGE(""https://docs.google.com/spreadsheets/d/1IYY_tgx_IHuhSq3AJ5eI5OnqOPBNLWSHKh2a30DoXe8/edit?usp=sharing"",""ยะลา!J344"")"),10.0)</f>
        <v>10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IFERROR(__xludf.DUMMYFUNCTION("IMPORTRANGE(""https://docs.google.com/spreadsheets/d/1IYY_tgx_IHuhSq3AJ5eI5OnqOPBNLWSHKh2a30DoXe8/edit?usp=sharing"",""ยะลา!I345"")"),10.0)</f>
        <v>10</v>
      </c>
      <c r="J450" s="223">
        <f>IFERROR(__xludf.DUMMYFUNCTION("IMPORTRANGE(""https://docs.google.com/spreadsheets/d/1IYY_tgx_IHuhSq3AJ5eI5OnqOPBNLWSHKh2a30DoXe8/edit?usp=sharing"",""ยะลา!J345"")"),10.0)</f>
        <v>10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IFERROR(__xludf.DUMMYFUNCTION("IMPORTRANGE(""https://docs.google.com/spreadsheets/d/1IYY_tgx_IHuhSq3AJ5eI5OnqOPBNLWSHKh2a30DoXe8/edit?usp=sharing"",""ยะลา!I346"")"),0.0)</f>
        <v>0</v>
      </c>
      <c r="J451" s="222">
        <f>IFERROR(__xludf.DUMMYFUNCTION("IMPORTRANGE(""https://docs.google.com/spreadsheets/d/1IYY_tgx_IHuhSq3AJ5eI5OnqOPBNLWSHKh2a30DoXe8/edit?usp=sharing"",""ยะลา!J346"")"),0.0)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IFERROR(__xludf.DUMMYFUNCTION("IMPORTRANGE(""https://docs.google.com/spreadsheets/d/1IYY_tgx_IHuhSq3AJ5eI5OnqOPBNLWSHKh2a30DoXe8/edit?usp=sharing"",""ยะลา!I347"")"),0.0)</f>
        <v>0</v>
      </c>
      <c r="J452" s="222">
        <f>IFERROR(__xludf.DUMMYFUNCTION("IMPORTRANGE(""https://docs.google.com/spreadsheets/d/1IYY_tgx_IHuhSq3AJ5eI5OnqOPBNLWSHKh2a30DoXe8/edit?usp=sharing"",""ยะลา!J347"")"),0.0)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IFERROR(__xludf.DUMMYFUNCTION("IMPORTRANGE(""https://docs.google.com/spreadsheets/d/1IYY_tgx_IHuhSq3AJ5eI5OnqOPBNLWSHKh2a30DoXe8/edit?usp=sharing"",""ยะลา!J348"")"),0.0)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IFERROR(__xludf.DUMMYFUNCTION("IMPORTRANGE(""https://docs.google.com/spreadsheets/d/1IYY_tgx_IHuhSq3AJ5eI5OnqOPBNLWSHKh2a30DoXe8/edit?usp=sharing"",""ยะลา!J349"")"),0.0)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IFERROR(__xludf.DUMMYFUNCTION("IMPORTRANGE(""https://docs.google.com/spreadsheets/d/1IYY_tgx_IHuhSq3AJ5eI5OnqOPBNLWSHKh2a30DoXe8/edit?usp=sharing"",""ยะลา!I350"")"),4728.0)</f>
        <v>4728</v>
      </c>
      <c r="J455" s="404">
        <f>IFERROR(__xludf.DUMMYFUNCTION("IMPORTRANGE(""https://docs.google.com/spreadsheets/d/1IYY_tgx_IHuhSq3AJ5eI5OnqOPBNLWSHKh2a30DoXe8/edit?usp=sharing"",""ยะลา!J350"")"),0.0)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IFERROR(__xludf.DUMMYFUNCTION("IMPORTRANGE(""https://docs.google.com/spreadsheets/d/1IYY_tgx_IHuhSq3AJ5eI5OnqOPBNLWSHKh2a30DoXe8/edit?usp=sharing"",""ยะลา!L350"")"),77877.0)</f>
        <v>77877</v>
      </c>
      <c r="M455" s="406"/>
      <c r="N455" s="406">
        <f>IFERROR(__xludf.DUMMYFUNCTION("IMPORTRANGE(""https://docs.google.com/spreadsheets/d/1IYY_tgx_IHuhSq3AJ5eI5OnqOPBNLWSHKh2a30DoXe8/edit?usp=sharing"",""ยะลา!M350"")"),0.0)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IFERROR(__xludf.DUMMYFUNCTION("IMPORTRANGE(""https://docs.google.com/spreadsheets/d/1IYY_tgx_IHuhSq3AJ5eI5OnqOPBNLWSHKh2a30DoXe8/edit?usp=sharing"",""ยะลา!L351"")"),0.0)</f>
        <v>0</v>
      </c>
      <c r="M456" s="197"/>
      <c r="N456" s="203">
        <f>IFERROR(__xludf.DUMMYFUNCTION("IMPORTRANGE(""https://docs.google.com/spreadsheets/d/1IYY_tgx_IHuhSq3AJ5eI5OnqOPBNLWSHKh2a30DoXe8/edit?usp=sharing"",""ยะลา!M351"")"),0.0)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IFERROR(__xludf.DUMMYFUNCTION("IMPORTRANGE(""https://docs.google.com/spreadsheets/d/1IYY_tgx_IHuhSq3AJ5eI5OnqOPBNLWSHKh2a30DoXe8/edit?usp=sharing"",""ยะลา!L352"")"),77877.0)</f>
        <v>77877</v>
      </c>
      <c r="M457" s="198"/>
      <c r="N457" s="203">
        <f>IFERROR(__xludf.DUMMYFUNCTION("IMPORTRANGE(""https://docs.google.com/spreadsheets/d/1IYY_tgx_IHuhSq3AJ5eI5OnqOPBNLWSHKh2a30DoXe8/edit?usp=sharing"",""ยะลา!M352"")"),0.0)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IFERROR(__xludf.DUMMYFUNCTION("IMPORTRANGE(""https://docs.google.com/spreadsheets/d/1IYY_tgx_IHuhSq3AJ5eI5OnqOPBNLWSHKh2a30DoXe8/edit?usp=sharing"",""ยะลา!L353"")"),0.0)</f>
        <v>0</v>
      </c>
      <c r="M458" s="203"/>
      <c r="N458" s="203">
        <f>IFERROR(__xludf.DUMMYFUNCTION("IMPORTRANGE(""https://docs.google.com/spreadsheets/d/1IYY_tgx_IHuhSq3AJ5eI5OnqOPBNLWSHKh2a30DoXe8/edit?usp=sharing"",""ยะลา!M353"")"),0.0)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IFERROR(__xludf.DUMMYFUNCTION("IMPORTRANGE(""https://docs.google.com/spreadsheets/d/1IYY_tgx_IHuhSq3AJ5eI5OnqOPBNLWSHKh2a30DoXe8/edit?usp=sharing"",""ยะลา!L354"")"),77877.0)</f>
        <v>77877</v>
      </c>
      <c r="M459" s="203"/>
      <c r="N459" s="203">
        <f>IFERROR(__xludf.DUMMYFUNCTION("IMPORTRANGE(""https://docs.google.com/spreadsheets/d/1IYY_tgx_IHuhSq3AJ5eI5OnqOPBNLWSHKh2a30DoXe8/edit?usp=sharing"",""ยะลา!M354"")"),0.0)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IFERROR(__xludf.DUMMYFUNCTION("IMPORTRANGE(""https://docs.google.com/spreadsheets/d/1IYY_tgx_IHuhSq3AJ5eI5OnqOPBNLWSHKh2a30DoXe8/edit?usp=sharing"",""ยะลา!M355"")"),0.0)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IFERROR(__xludf.DUMMYFUNCTION("IMPORTRANGE(""https://docs.google.com/spreadsheets/d/1IYY_tgx_IHuhSq3AJ5eI5OnqOPBNLWSHKh2a30DoXe8/edit?usp=sharing"",""ยะลา!M356"")"),0.0)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IFERROR(__xludf.DUMMYFUNCTION("IMPORTRANGE(""https://docs.google.com/spreadsheets/d/1IYY_tgx_IHuhSq3AJ5eI5OnqOPBNLWSHKh2a30DoXe8/edit?usp=sharing"",""ยะลา!M357"")"),0.0)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IFERROR(__xludf.DUMMYFUNCTION("IMPORTRANGE(""https://docs.google.com/spreadsheets/d/1IYY_tgx_IHuhSq3AJ5eI5OnqOPBNLWSHKh2a30DoXe8/edit?usp=sharing"",""ยะลา!M358"")"),0.0)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IFERROR(__xludf.DUMMYFUNCTION("IMPORTRANGE(""https://docs.google.com/spreadsheets/d/1IYY_tgx_IHuhSq3AJ5eI5OnqOPBNLWSHKh2a30DoXe8/edit?usp=sharing"",""ยะลา!I359"")"),4728.0)</f>
        <v>4728</v>
      </c>
      <c r="J464" s="301">
        <f>IFERROR(__xludf.DUMMYFUNCTION("IMPORTRANGE(""https://docs.google.com/spreadsheets/d/1IYY_tgx_IHuhSq3AJ5eI5OnqOPBNLWSHKh2a30DoXe8/edit?usp=sharing"",""ยะลา!J359"")"),0.0)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IFERROR(__xludf.DUMMYFUNCTION("IMPORTRANGE(""https://docs.google.com/spreadsheets/d/1IYY_tgx_IHuhSq3AJ5eI5OnqOPBNLWSHKh2a30DoXe8/edit?usp=sharing"",""ยะลา!I360"")"),4728.0)</f>
        <v>4728</v>
      </c>
      <c r="J465" s="453">
        <f>IFERROR(__xludf.DUMMYFUNCTION("IMPORTRANGE(""https://docs.google.com/spreadsheets/d/1IYY_tgx_IHuhSq3AJ5eI5OnqOPBNLWSHKh2a30DoXe8/edit?usp=sharing"",""ยะลา!J360"")"),0.0)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IFERROR(__xludf.DUMMYFUNCTION("IMPORTRANGE(""https://docs.google.com/spreadsheets/d/1IYY_tgx_IHuhSq3AJ5eI5OnqOPBNLWSHKh2a30DoXe8/edit?usp=sharing"",""ยะลา!I361"")"),1357.0)</f>
        <v>1357</v>
      </c>
      <c r="J466" s="453">
        <f>IFERROR(__xludf.DUMMYFUNCTION("IMPORTRANGE(""https://docs.google.com/spreadsheets/d/1IYY_tgx_IHuhSq3AJ5eI5OnqOPBNLWSHKh2a30DoXe8/edit?usp=sharing"",""ยะลา!J361"")"),0.0)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IFERROR(__xludf.DUMMYFUNCTION("IMPORTRANGE(""https://docs.google.com/spreadsheets/d/1IYY_tgx_IHuhSq3AJ5eI5OnqOPBNLWSHKh2a30DoXe8/edit?usp=sharing"",""ยะลา!I362"")"),0.0)</f>
        <v>0</v>
      </c>
      <c r="J467" s="223">
        <f>IFERROR(__xludf.DUMMYFUNCTION("IMPORTRANGE(""https://docs.google.com/spreadsheets/d/1IYY_tgx_IHuhSq3AJ5eI5OnqOPBNLWSHKh2a30DoXe8/edit?usp=sharing"",""ยะลา!J362"")"),0.0)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IFERROR(__xludf.DUMMYFUNCTION("IMPORTRANGE(""https://docs.google.com/spreadsheets/d/1IYY_tgx_IHuhSq3AJ5eI5OnqOPBNLWSHKh2a30DoXe8/edit?usp=sharing"",""ยะลา!I363"")"),0.0)</f>
        <v>0</v>
      </c>
      <c r="J468" s="223">
        <f>IFERROR(__xludf.DUMMYFUNCTION("IMPORTRANGE(""https://docs.google.com/spreadsheets/d/1IYY_tgx_IHuhSq3AJ5eI5OnqOPBNLWSHKh2a30DoXe8/edit?usp=sharing"",""ยะลา!J363"")"),0.0)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IFERROR(__xludf.DUMMYFUNCTION("IMPORTRANGE(""https://docs.google.com/spreadsheets/d/1IYY_tgx_IHuhSq3AJ5eI5OnqOPBNLWSHKh2a30DoXe8/edit?usp=sharing"",""ยะลา!I364"")"),0.0)</f>
        <v>0</v>
      </c>
      <c r="J469" s="223">
        <f>IFERROR(__xludf.DUMMYFUNCTION("IMPORTRANGE(""https://docs.google.com/spreadsheets/d/1IYY_tgx_IHuhSq3AJ5eI5OnqOPBNLWSHKh2a30DoXe8/edit?usp=sharing"",""ยะลา!J364"")"),0.0)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IFERROR(__xludf.DUMMYFUNCTION("IMPORTRANGE(""https://docs.google.com/spreadsheets/d/1IYY_tgx_IHuhSq3AJ5eI5OnqOPBNLWSHKh2a30DoXe8/edit?usp=sharing"",""ยะลา!I365"")"),0.0)</f>
        <v>0</v>
      </c>
      <c r="J470" s="223">
        <f>IFERROR(__xludf.DUMMYFUNCTION("IMPORTRANGE(""https://docs.google.com/spreadsheets/d/1IYY_tgx_IHuhSq3AJ5eI5OnqOPBNLWSHKh2a30DoXe8/edit?usp=sharing"",""ยะลา!J365"")"),0.0)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IFERROR(__xludf.DUMMYFUNCTION("IMPORTRANGE(""https://docs.google.com/spreadsheets/d/1IYY_tgx_IHuhSq3AJ5eI5OnqOPBNLWSHKh2a30DoXe8/edit?usp=sharing"",""ยะลา!I366"")"),0.0)</f>
        <v>0</v>
      </c>
      <c r="J471" s="223">
        <f>IFERROR(__xludf.DUMMYFUNCTION("IMPORTRANGE(""https://docs.google.com/spreadsheets/d/1IYY_tgx_IHuhSq3AJ5eI5OnqOPBNLWSHKh2a30DoXe8/edit?usp=sharing"",""ยะลา!J366"")"),0.0)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IFERROR(__xludf.DUMMYFUNCTION("IMPORTRANGE(""https://docs.google.com/spreadsheets/d/1IYY_tgx_IHuhSq3AJ5eI5OnqOPBNLWSHKh2a30DoXe8/edit?usp=sharing"",""ยะลา!I367"")"),0.0)</f>
        <v>0</v>
      </c>
      <c r="J472" s="223">
        <f>IFERROR(__xludf.DUMMYFUNCTION("IMPORTRANGE(""https://docs.google.com/spreadsheets/d/1IYY_tgx_IHuhSq3AJ5eI5OnqOPBNLWSHKh2a30DoXe8/edit?usp=sharing"",""ยะลา!J367"")"),0.0)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IFERROR(__xludf.DUMMYFUNCTION("IMPORTRANGE(""https://docs.google.com/spreadsheets/d/1IYY_tgx_IHuhSq3AJ5eI5OnqOPBNLWSHKh2a30DoXe8/edit?usp=sharing"",""ยะลา!I368"")"),4728.0)</f>
        <v>4728</v>
      </c>
      <c r="J473" s="453">
        <f>IFERROR(__xludf.DUMMYFUNCTION("IMPORTRANGE(""https://docs.google.com/spreadsheets/d/1IYY_tgx_IHuhSq3AJ5eI5OnqOPBNLWSHKh2a30DoXe8/edit?usp=sharing"",""ยะลา!J368"")"),0.0)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IFERROR(__xludf.DUMMYFUNCTION("IMPORTRANGE(""https://docs.google.com/spreadsheets/d/1IYY_tgx_IHuhSq3AJ5eI5OnqOPBNLWSHKh2a30DoXe8/edit?usp=sharing"",""ยะลา!I369"")"),1357.0)</f>
        <v>1357</v>
      </c>
      <c r="J474" s="453">
        <f>IFERROR(__xludf.DUMMYFUNCTION("IMPORTRANGE(""https://docs.google.com/spreadsheets/d/1IYY_tgx_IHuhSq3AJ5eI5OnqOPBNLWSHKh2a30DoXe8/edit?usp=sharing"",""ยะลา!J369"")"),0.0)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IFERROR(__xludf.DUMMYFUNCTION("IMPORTRANGE(""https://docs.google.com/spreadsheets/d/1IYY_tgx_IHuhSq3AJ5eI5OnqOPBNLWSHKh2a30DoXe8/edit?usp=sharing"",""ยะลา!I370"")"),0.0)</f>
        <v>0</v>
      </c>
      <c r="J475" s="223">
        <f>IFERROR(__xludf.DUMMYFUNCTION("IMPORTRANGE(""https://docs.google.com/spreadsheets/d/1IYY_tgx_IHuhSq3AJ5eI5OnqOPBNLWSHKh2a30DoXe8/edit?usp=sharing"",""ยะลา!J370"")"),0.0)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IFERROR(__xludf.DUMMYFUNCTION("IMPORTRANGE(""https://docs.google.com/spreadsheets/d/1IYY_tgx_IHuhSq3AJ5eI5OnqOPBNLWSHKh2a30DoXe8/edit?usp=sharing"",""ยะลา!I371"")"),0.0)</f>
        <v>0</v>
      </c>
      <c r="J476" s="223">
        <f>IFERROR(__xludf.DUMMYFUNCTION("IMPORTRANGE(""https://docs.google.com/spreadsheets/d/1IYY_tgx_IHuhSq3AJ5eI5OnqOPBNLWSHKh2a30DoXe8/edit?usp=sharing"",""ยะลา!J371"")"),0.0)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IFERROR(__xludf.DUMMYFUNCTION("IMPORTRANGE(""https://docs.google.com/spreadsheets/d/1IYY_tgx_IHuhSq3AJ5eI5OnqOPBNLWSHKh2a30DoXe8/edit?usp=sharing"",""ยะลา!I372"")"),0.0)</f>
        <v>0</v>
      </c>
      <c r="J477" s="223">
        <f>IFERROR(__xludf.DUMMYFUNCTION("IMPORTRANGE(""https://docs.google.com/spreadsheets/d/1IYY_tgx_IHuhSq3AJ5eI5OnqOPBNLWSHKh2a30DoXe8/edit?usp=sharing"",""ยะลา!J372"")"),0.0)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IFERROR(__xludf.DUMMYFUNCTION("IMPORTRANGE(""https://docs.google.com/spreadsheets/d/1IYY_tgx_IHuhSq3AJ5eI5OnqOPBNLWSHKh2a30DoXe8/edit?usp=sharing"",""ยะลา!I373"")"),0.0)</f>
        <v>0</v>
      </c>
      <c r="J478" s="223">
        <f>IFERROR(__xludf.DUMMYFUNCTION("IMPORTRANGE(""https://docs.google.com/spreadsheets/d/1IYY_tgx_IHuhSq3AJ5eI5OnqOPBNLWSHKh2a30DoXe8/edit?usp=sharing"",""ยะลา!J373"")"),0.0)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IFERROR(__xludf.DUMMYFUNCTION("IMPORTRANGE(""https://docs.google.com/spreadsheets/d/1IYY_tgx_IHuhSq3AJ5eI5OnqOPBNLWSHKh2a30DoXe8/edit?usp=sharing"",""ยะลา!I374"")"),0.0)</f>
        <v>0</v>
      </c>
      <c r="J479" s="223">
        <f>IFERROR(__xludf.DUMMYFUNCTION("IMPORTRANGE(""https://docs.google.com/spreadsheets/d/1IYY_tgx_IHuhSq3AJ5eI5OnqOPBNLWSHKh2a30DoXe8/edit?usp=sharing"",""ยะลา!J374"")"),0.0)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IFERROR(__xludf.DUMMYFUNCTION("IMPORTRANGE(""https://docs.google.com/spreadsheets/d/1IYY_tgx_IHuhSq3AJ5eI5OnqOPBNLWSHKh2a30DoXe8/edit?usp=sharing"",""ยะลา!I375"")"),0.0)</f>
        <v>0</v>
      </c>
      <c r="J480" s="223">
        <f>IFERROR(__xludf.DUMMYFUNCTION("IMPORTRANGE(""https://docs.google.com/spreadsheets/d/1IYY_tgx_IHuhSq3AJ5eI5OnqOPBNLWSHKh2a30DoXe8/edit?usp=sharing"",""ยะลา!J375"")"),0.0)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IFERROR(__xludf.DUMMYFUNCTION("IMPORTRANGE(""https://docs.google.com/spreadsheets/d/1IYY_tgx_IHuhSq3AJ5eI5OnqOPBNLWSHKh2a30DoXe8/edit?usp=sharing"",""ยะลา!I376"")"),4728.0)</f>
        <v>4728</v>
      </c>
      <c r="J481" s="453">
        <f>IFERROR(__xludf.DUMMYFUNCTION("IMPORTRANGE(""https://docs.google.com/spreadsheets/d/1IYY_tgx_IHuhSq3AJ5eI5OnqOPBNLWSHKh2a30DoXe8/edit?usp=sharing"",""ยะลา!J376"")"),0.0)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IFERROR(__xludf.DUMMYFUNCTION("IMPORTRANGE(""https://docs.google.com/spreadsheets/d/1IYY_tgx_IHuhSq3AJ5eI5OnqOPBNLWSHKh2a30DoXe8/edit?usp=sharing"",""ยะลา!I377"")"),1357.0)</f>
        <v>1357</v>
      </c>
      <c r="J482" s="453">
        <f>IFERROR(__xludf.DUMMYFUNCTION("IMPORTRANGE(""https://docs.google.com/spreadsheets/d/1IYY_tgx_IHuhSq3AJ5eI5OnqOPBNLWSHKh2a30DoXe8/edit?usp=sharing"",""ยะลา!J377"")"),0.0)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IFERROR(__xludf.DUMMYFUNCTION("IMPORTRANGE(""https://docs.google.com/spreadsheets/d/1IYY_tgx_IHuhSq3AJ5eI5OnqOPBNLWSHKh2a30DoXe8/edit?usp=sharing"",""ยะลา!I378"")"),0.0)</f>
        <v>0</v>
      </c>
      <c r="J483" s="223">
        <f>IFERROR(__xludf.DUMMYFUNCTION("IMPORTRANGE(""https://docs.google.com/spreadsheets/d/1IYY_tgx_IHuhSq3AJ5eI5OnqOPBNLWSHKh2a30DoXe8/edit?usp=sharing"",""ยะลา!J378"")"),0.0)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IFERROR(__xludf.DUMMYFUNCTION("IMPORTRANGE(""https://docs.google.com/spreadsheets/d/1IYY_tgx_IHuhSq3AJ5eI5OnqOPBNLWSHKh2a30DoXe8/edit?usp=sharing"",""ยะลา!I379"")"),0.0)</f>
        <v>0</v>
      </c>
      <c r="J484" s="223">
        <f>IFERROR(__xludf.DUMMYFUNCTION("IMPORTRANGE(""https://docs.google.com/spreadsheets/d/1IYY_tgx_IHuhSq3AJ5eI5OnqOPBNLWSHKh2a30DoXe8/edit?usp=sharing"",""ยะลา!J379"")"),0.0)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IFERROR(__xludf.DUMMYFUNCTION("IMPORTRANGE(""https://docs.google.com/spreadsheets/d/1IYY_tgx_IHuhSq3AJ5eI5OnqOPBNLWSHKh2a30DoXe8/edit?usp=sharing"",""ยะลา!I380"")"),0.0)</f>
        <v>0</v>
      </c>
      <c r="J485" s="223">
        <f>IFERROR(__xludf.DUMMYFUNCTION("IMPORTRANGE(""https://docs.google.com/spreadsheets/d/1IYY_tgx_IHuhSq3AJ5eI5OnqOPBNLWSHKh2a30DoXe8/edit?usp=sharing"",""ยะลา!J380"")"),0.0)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IFERROR(__xludf.DUMMYFUNCTION("IMPORTRANGE(""https://docs.google.com/spreadsheets/d/1IYY_tgx_IHuhSq3AJ5eI5OnqOPBNLWSHKh2a30DoXe8/edit?usp=sharing"",""ยะลา!I381"")"),0.0)</f>
        <v>0</v>
      </c>
      <c r="J486" s="223">
        <f>IFERROR(__xludf.DUMMYFUNCTION("IMPORTRANGE(""https://docs.google.com/spreadsheets/d/1IYY_tgx_IHuhSq3AJ5eI5OnqOPBNLWSHKh2a30DoXe8/edit?usp=sharing"",""ยะลา!J381"")"),0.0)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IFERROR(__xludf.DUMMYFUNCTION("IMPORTRANGE(""https://docs.google.com/spreadsheets/d/1IYY_tgx_IHuhSq3AJ5eI5OnqOPBNLWSHKh2a30DoXe8/edit?usp=sharing"",""ยะลา!I382"")"),0.0)</f>
        <v>0</v>
      </c>
      <c r="J487" s="453">
        <f>IFERROR(__xludf.DUMMYFUNCTION("IMPORTRANGE(""https://docs.google.com/spreadsheets/d/1IYY_tgx_IHuhSq3AJ5eI5OnqOPBNLWSHKh2a30DoXe8/edit?usp=sharing"",""ยะลา!J382"")"),0.0)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IFERROR(__xludf.DUMMYFUNCTION("IMPORTRANGE(""https://docs.google.com/spreadsheets/d/1IYY_tgx_IHuhSq3AJ5eI5OnqOPBNLWSHKh2a30DoXe8/edit?usp=sharing"",""ยะลา!I383"")"),0.0)</f>
        <v>0</v>
      </c>
      <c r="J488" s="453">
        <f>IFERROR(__xludf.DUMMYFUNCTION("IMPORTRANGE(""https://docs.google.com/spreadsheets/d/1IYY_tgx_IHuhSq3AJ5eI5OnqOPBNLWSHKh2a30DoXe8/edit?usp=sharing"",""ยะลา!J383"")"),0.0)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IFERROR(__xludf.DUMMYFUNCTION("IMPORTRANGE(""https://docs.google.com/spreadsheets/d/1IYY_tgx_IHuhSq3AJ5eI5OnqOPBNLWSHKh2a30DoXe8/edit?usp=sharing"",""ยะลา!I384"")"),0.0)</f>
        <v>0</v>
      </c>
      <c r="J489" s="223">
        <f>IFERROR(__xludf.DUMMYFUNCTION("IMPORTRANGE(""https://docs.google.com/spreadsheets/d/1IYY_tgx_IHuhSq3AJ5eI5OnqOPBNLWSHKh2a30DoXe8/edit?usp=sharing"",""ยะลา!J384"")"),0.0)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IFERROR(__xludf.DUMMYFUNCTION("IMPORTRANGE(""https://docs.google.com/spreadsheets/d/1IYY_tgx_IHuhSq3AJ5eI5OnqOPBNLWSHKh2a30DoXe8/edit?usp=sharing"",""ยะลา!I385"")"),0.0)</f>
        <v>0</v>
      </c>
      <c r="J490" s="223">
        <f>IFERROR(__xludf.DUMMYFUNCTION("IMPORTRANGE(""https://docs.google.com/spreadsheets/d/1IYY_tgx_IHuhSq3AJ5eI5OnqOPBNLWSHKh2a30DoXe8/edit?usp=sharing"",""ยะลา!J385"")"),0.0)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IFERROR(__xludf.DUMMYFUNCTION("IMPORTRANGE(""https://docs.google.com/spreadsheets/d/1IYY_tgx_IHuhSq3AJ5eI5OnqOPBNLWSHKh2a30DoXe8/edit?usp=sharing"",""ยะลา!I386"")"),0.0)</f>
        <v>0</v>
      </c>
      <c r="J491" s="223">
        <f>IFERROR(__xludf.DUMMYFUNCTION("IMPORTRANGE(""https://docs.google.com/spreadsheets/d/1IYY_tgx_IHuhSq3AJ5eI5OnqOPBNLWSHKh2a30DoXe8/edit?usp=sharing"",""ยะลา!J386"")"),0.0)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IFERROR(__xludf.DUMMYFUNCTION("IMPORTRANGE(""https://docs.google.com/spreadsheets/d/1IYY_tgx_IHuhSq3AJ5eI5OnqOPBNLWSHKh2a30DoXe8/edit?usp=sharing"",""ยะลา!I387"")"),0.0)</f>
        <v>0</v>
      </c>
      <c r="J492" s="223">
        <f>IFERROR(__xludf.DUMMYFUNCTION("IMPORTRANGE(""https://docs.google.com/spreadsheets/d/1IYY_tgx_IHuhSq3AJ5eI5OnqOPBNLWSHKh2a30DoXe8/edit?usp=sharing"",""ยะลา!J387"")"),0.0)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IFERROR(__xludf.DUMMYFUNCTION("IMPORTRANGE(""https://docs.google.com/spreadsheets/d/1IYY_tgx_IHuhSq3AJ5eI5OnqOPBNLWSHKh2a30DoXe8/edit?usp=sharing"",""ยะลา!I388"")"),0.0)</f>
        <v>0</v>
      </c>
      <c r="J493" s="223">
        <f>IFERROR(__xludf.DUMMYFUNCTION("IMPORTRANGE(""https://docs.google.com/spreadsheets/d/1IYY_tgx_IHuhSq3AJ5eI5OnqOPBNLWSHKh2a30DoXe8/edit?usp=sharing"",""ยะลา!J388"")"),0.0)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IFERROR(__xludf.DUMMYFUNCTION("IMPORTRANGE(""https://docs.google.com/spreadsheets/d/1IYY_tgx_IHuhSq3AJ5eI5OnqOPBNLWSHKh2a30DoXe8/edit?usp=sharing"",""ยะลา!I389"")"),0.0)</f>
        <v>0</v>
      </c>
      <c r="J494" s="469">
        <f>IFERROR(__xludf.DUMMYFUNCTION("IMPORTRANGE(""https://docs.google.com/spreadsheets/d/1IYY_tgx_IHuhSq3AJ5eI5OnqOPBNLWSHKh2a30DoXe8/edit?usp=sharing"",""ยะลา!J389"")"),0.0)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IFERROR(__xludf.DUMMYFUNCTION("IMPORTRANGE(""https://docs.google.com/spreadsheets/d/1IYY_tgx_IHuhSq3AJ5eI5OnqOPBNLWSHKh2a30DoXe8/edit?usp=sharing"",""ยะลา!I390"")"),0.0)</f>
        <v>0</v>
      </c>
      <c r="J495" s="469">
        <f>IFERROR(__xludf.DUMMYFUNCTION("IMPORTRANGE(""https://docs.google.com/spreadsheets/d/1IYY_tgx_IHuhSq3AJ5eI5OnqOPBNLWSHKh2a30DoXe8/edit?usp=sharing"",""ยะลา!J390"")"),0.0)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IFERROR(__xludf.DUMMYFUNCTION("IMPORTRANGE(""https://docs.google.com/spreadsheets/d/1IYY_tgx_IHuhSq3AJ5eI5OnqOPBNLWSHKh2a30DoXe8/edit?usp=sharing"",""ยะลา!I391"")"),0.0)</f>
        <v>0</v>
      </c>
      <c r="J496" s="469">
        <f>IFERROR(__xludf.DUMMYFUNCTION("IMPORTRANGE(""https://docs.google.com/spreadsheets/d/1IYY_tgx_IHuhSq3AJ5eI5OnqOPBNLWSHKh2a30DoXe8/edit?usp=sharing"",""ยะลา!J391"")"),0.0)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IFERROR(__xludf.DUMMYFUNCTION("IMPORTRANGE(""https://docs.google.com/spreadsheets/d/1IYY_tgx_IHuhSq3AJ5eI5OnqOPBNLWSHKh2a30DoXe8/edit?usp=sharing"",""ยะลา!I392"")"),0.0)</f>
        <v>0</v>
      </c>
      <c r="J497" s="476">
        <f>IFERROR(__xludf.DUMMYFUNCTION("IMPORTRANGE(""https://docs.google.com/spreadsheets/d/1IYY_tgx_IHuhSq3AJ5eI5OnqOPBNLWSHKh2a30DoXe8/edit?usp=sharing"",""ยะลา!J392"")"),0.0)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IFERROR(__xludf.DUMMYFUNCTION("IMPORTRANGE(""https://docs.google.com/spreadsheets/d/1IYY_tgx_IHuhSq3AJ5eI5OnqOPBNLWSHKh2a30DoXe8/edit?usp=sharing"",""ยะลา!I393"")"),0.0)</f>
        <v>0</v>
      </c>
      <c r="J498" s="453">
        <f>IFERROR(__xludf.DUMMYFUNCTION("IMPORTRANGE(""https://docs.google.com/spreadsheets/d/1IYY_tgx_IHuhSq3AJ5eI5OnqOPBNLWSHKh2a30DoXe8/edit?usp=sharing"",""ยะลา!J393"")"),0.0)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IFERROR(__xludf.DUMMYFUNCTION("IMPORTRANGE(""https://docs.google.com/spreadsheets/d/1IYY_tgx_IHuhSq3AJ5eI5OnqOPBNLWSHKh2a30DoXe8/edit?usp=sharing"",""ยะลา!I394"")"),0.0)</f>
        <v>0</v>
      </c>
      <c r="J499" s="453">
        <f>IFERROR(__xludf.DUMMYFUNCTION("IMPORTRANGE(""https://docs.google.com/spreadsheets/d/1IYY_tgx_IHuhSq3AJ5eI5OnqOPBNLWSHKh2a30DoXe8/edit?usp=sharing"",""ยะลา!J394"")"),0.0)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IFERROR(__xludf.DUMMYFUNCTION("IMPORTRANGE(""https://docs.google.com/spreadsheets/d/1IYY_tgx_IHuhSq3AJ5eI5OnqOPBNLWSHKh2a30DoXe8/edit?usp=sharing"",""ยะลา!I395"")"),0.0)</f>
        <v>0</v>
      </c>
      <c r="J500" s="195">
        <f>IFERROR(__xludf.DUMMYFUNCTION("IMPORTRANGE(""https://docs.google.com/spreadsheets/d/1IYY_tgx_IHuhSq3AJ5eI5OnqOPBNLWSHKh2a30DoXe8/edit?usp=sharing"",""ยะลา!J395"")"),0.0)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IFERROR(__xludf.DUMMYFUNCTION("IMPORTRANGE(""https://docs.google.com/spreadsheets/d/1IYY_tgx_IHuhSq3AJ5eI5OnqOPBNLWSHKh2a30DoXe8/edit?usp=sharing"",""ยะลา!I396"")"),0.0)</f>
        <v>0</v>
      </c>
      <c r="J501" s="195">
        <f>IFERROR(__xludf.DUMMYFUNCTION("IMPORTRANGE(""https://docs.google.com/spreadsheets/d/1IYY_tgx_IHuhSq3AJ5eI5OnqOPBNLWSHKh2a30DoXe8/edit?usp=sharing"",""ยะลา!J396"")"),0.0)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IFERROR(__xludf.DUMMYFUNCTION("IMPORTRANGE(""https://docs.google.com/spreadsheets/d/1IYY_tgx_IHuhSq3AJ5eI5OnqOPBNLWSHKh2a30DoXe8/edit?usp=sharing"",""ยะลา!I397"")"),0.0)</f>
        <v>0</v>
      </c>
      <c r="J502" s="223">
        <f>IFERROR(__xludf.DUMMYFUNCTION("IMPORTRANGE(""https://docs.google.com/spreadsheets/d/1IYY_tgx_IHuhSq3AJ5eI5OnqOPBNLWSHKh2a30DoXe8/edit?usp=sharing"",""ยะลา!J397"")"),0.0)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IFERROR(__xludf.DUMMYFUNCTION("IMPORTRANGE(""https://docs.google.com/spreadsheets/d/1IYY_tgx_IHuhSq3AJ5eI5OnqOPBNLWSHKh2a30DoXe8/edit?usp=sharing"",""ยะลา!I398"")"),0.0)</f>
        <v>0</v>
      </c>
      <c r="J503" s="232">
        <f>IFERROR(__xludf.DUMMYFUNCTION("IMPORTRANGE(""https://docs.google.com/spreadsheets/d/1IYY_tgx_IHuhSq3AJ5eI5OnqOPBNLWSHKh2a30DoXe8/edit?usp=sharing"",""ยะลา!J398"")"),0.0)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IFERROR(__xludf.DUMMYFUNCTION("IMPORTRANGE(""https://docs.google.com/spreadsheets/d/1IYY_tgx_IHuhSq3AJ5eI5OnqOPBNLWSHKh2a30DoXe8/edit?usp=sharing"",""ยะลา!I399"")"),0.0)</f>
        <v>0</v>
      </c>
      <c r="J504" s="223">
        <f>IFERROR(__xludf.DUMMYFUNCTION("IMPORTRANGE(""https://docs.google.com/spreadsheets/d/1IYY_tgx_IHuhSq3AJ5eI5OnqOPBNLWSHKh2a30DoXe8/edit?usp=sharing"",""ยะลา!J399"")"),0.0)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IFERROR(__xludf.DUMMYFUNCTION("IMPORTRANGE(""https://docs.google.com/spreadsheets/d/1IYY_tgx_IHuhSq3AJ5eI5OnqOPBNLWSHKh2a30DoXe8/edit?usp=sharing"",""ยะลา!I400"")"),0.0)</f>
        <v>0</v>
      </c>
      <c r="J505" s="232">
        <f>IFERROR(__xludf.DUMMYFUNCTION("IMPORTRANGE(""https://docs.google.com/spreadsheets/d/1IYY_tgx_IHuhSq3AJ5eI5OnqOPBNLWSHKh2a30DoXe8/edit?usp=sharing"",""ยะลา!J400"")"),0.0)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IFERROR(__xludf.DUMMYFUNCTION("IMPORTRANGE(""https://docs.google.com/spreadsheets/d/1IYY_tgx_IHuhSq3AJ5eI5OnqOPBNLWSHKh2a30DoXe8/edit?usp=sharing"",""ยะลา!I401"")"),0.0)</f>
        <v>0</v>
      </c>
      <c r="J506" s="223">
        <f>IFERROR(__xludf.DUMMYFUNCTION("IMPORTRANGE(""https://docs.google.com/spreadsheets/d/1IYY_tgx_IHuhSq3AJ5eI5OnqOPBNLWSHKh2a30DoXe8/edit?usp=sharing"",""ยะลา!J401"")"),0.0)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IFERROR(__xludf.DUMMYFUNCTION("IMPORTRANGE(""https://docs.google.com/spreadsheets/d/1IYY_tgx_IHuhSq3AJ5eI5OnqOPBNLWSHKh2a30DoXe8/edit?usp=sharing"",""ยะลา!I402"")"),0.0)</f>
        <v>0</v>
      </c>
      <c r="J507" s="232">
        <f>IFERROR(__xludf.DUMMYFUNCTION("IMPORTRANGE(""https://docs.google.com/spreadsheets/d/1IYY_tgx_IHuhSq3AJ5eI5OnqOPBNLWSHKh2a30DoXe8/edit?usp=sharing"",""ยะลา!J402"")"),0.0)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IFERROR(__xludf.DUMMYFUNCTION("IMPORTRANGE(""https://docs.google.com/spreadsheets/d/1IYY_tgx_IHuhSq3AJ5eI5OnqOPBNLWSHKh2a30DoXe8/edit?usp=sharing"",""ยะลา!I403"")"),0.0)</f>
        <v>0</v>
      </c>
      <c r="J508" s="195">
        <f>IFERROR(__xludf.DUMMYFUNCTION("IMPORTRANGE(""https://docs.google.com/spreadsheets/d/1IYY_tgx_IHuhSq3AJ5eI5OnqOPBNLWSHKh2a30DoXe8/edit?usp=sharing"",""ยะลา!J403"")"),0.0)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IFERROR(__xludf.DUMMYFUNCTION("IMPORTRANGE(""https://docs.google.com/spreadsheets/d/1IYY_tgx_IHuhSq3AJ5eI5OnqOPBNLWSHKh2a30DoXe8/edit?usp=sharing"",""ยะลา!I404"")"),0.0)</f>
        <v>0</v>
      </c>
      <c r="J509" s="195">
        <f>IFERROR(__xludf.DUMMYFUNCTION("IMPORTRANGE(""https://docs.google.com/spreadsheets/d/1IYY_tgx_IHuhSq3AJ5eI5OnqOPBNLWSHKh2a30DoXe8/edit?usp=sharing"",""ยะลา!J404"")"),0.0)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IFERROR(__xludf.DUMMYFUNCTION("IMPORTRANGE(""https://docs.google.com/spreadsheets/d/1IYY_tgx_IHuhSq3AJ5eI5OnqOPBNLWSHKh2a30DoXe8/edit?usp=sharing"",""ยะลา!I405"")"),0.0)</f>
        <v>0</v>
      </c>
      <c r="J510" s="232">
        <f>IFERROR(__xludf.DUMMYFUNCTION("IMPORTRANGE(""https://docs.google.com/spreadsheets/d/1IYY_tgx_IHuhSq3AJ5eI5OnqOPBNLWSHKh2a30DoXe8/edit?usp=sharing"",""ยะลา!J405"")"),0.0)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IFERROR(__xludf.DUMMYFUNCTION("IMPORTRANGE(""https://docs.google.com/spreadsheets/d/1IYY_tgx_IHuhSq3AJ5eI5OnqOPBNLWSHKh2a30DoXe8/edit?usp=sharing"",""ยะลา!I406"")"),0.0)</f>
        <v>0</v>
      </c>
      <c r="J511" s="232">
        <f>IFERROR(__xludf.DUMMYFUNCTION("IMPORTRANGE(""https://docs.google.com/spreadsheets/d/1IYY_tgx_IHuhSq3AJ5eI5OnqOPBNLWSHKh2a30DoXe8/edit?usp=sharing"",""ยะลา!J406"")"),0.0)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IFERROR(__xludf.DUMMYFUNCTION("IMPORTRANGE(""https://docs.google.com/spreadsheets/d/1IYY_tgx_IHuhSq3AJ5eI5OnqOPBNLWSHKh2a30DoXe8/edit?usp=sharing"",""ยะลา!I407"")"),0.0)</f>
        <v>0</v>
      </c>
      <c r="J512" s="232">
        <f>IFERROR(__xludf.DUMMYFUNCTION("IMPORTRANGE(""https://docs.google.com/spreadsheets/d/1IYY_tgx_IHuhSq3AJ5eI5OnqOPBNLWSHKh2a30DoXe8/edit?usp=sharing"",""ยะลา!J407"")"),0.0)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IFERROR(__xludf.DUMMYFUNCTION("IMPORTRANGE(""https://docs.google.com/spreadsheets/d/1IYY_tgx_IHuhSq3AJ5eI5OnqOPBNLWSHKh2a30DoXe8/edit?usp=sharing"",""ยะลา!I408"")"),0.0)</f>
        <v>0</v>
      </c>
      <c r="J513" s="232">
        <f>IFERROR(__xludf.DUMMYFUNCTION("IMPORTRANGE(""https://docs.google.com/spreadsheets/d/1IYY_tgx_IHuhSq3AJ5eI5OnqOPBNLWSHKh2a30DoXe8/edit?usp=sharing"",""ยะลา!J408"")"),0.0)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IFERROR(__xludf.DUMMYFUNCTION("IMPORTRANGE(""https://docs.google.com/spreadsheets/d/1IYY_tgx_IHuhSq3AJ5eI5OnqOPBNLWSHKh2a30DoXe8/edit?usp=sharing"",""ยะลา!I409"")"),0.0)</f>
        <v>0</v>
      </c>
      <c r="J514" s="232">
        <f>IFERROR(__xludf.DUMMYFUNCTION("IMPORTRANGE(""https://docs.google.com/spreadsheets/d/1IYY_tgx_IHuhSq3AJ5eI5OnqOPBNLWSHKh2a30DoXe8/edit?usp=sharing"",""ยะลา!J409"")"),0.0)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IFERROR(__xludf.DUMMYFUNCTION("IMPORTRANGE(""https://docs.google.com/spreadsheets/d/1IYY_tgx_IHuhSq3AJ5eI5OnqOPBNLWSHKh2a30DoXe8/edit?usp=sharing"",""ยะลา!I410"")"),0.0)</f>
        <v>0</v>
      </c>
      <c r="J515" s="232">
        <f>IFERROR(__xludf.DUMMYFUNCTION("IMPORTRANGE(""https://docs.google.com/spreadsheets/d/1IYY_tgx_IHuhSq3AJ5eI5OnqOPBNLWSHKh2a30DoXe8/edit?usp=sharing"",""ยะลา!J410"")"),0.0)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IFERROR(__xludf.DUMMYFUNCTION("IMPORTRANGE(""https://docs.google.com/spreadsheets/d/1IYY_tgx_IHuhSq3AJ5eI5OnqOPBNLWSHKh2a30DoXe8/edit?usp=sharing"",""ยะลา!I411"")"),0.0)</f>
        <v>0</v>
      </c>
      <c r="J516" s="301">
        <f>IFERROR(__xludf.DUMMYFUNCTION("IMPORTRANGE(""https://docs.google.com/spreadsheets/d/1IYY_tgx_IHuhSq3AJ5eI5OnqOPBNLWSHKh2a30DoXe8/edit?usp=sharing"",""ยะลา!J411"")"),0.0)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IFERROR(__xludf.DUMMYFUNCTION("IMPORTRANGE(""https://docs.google.com/spreadsheets/d/1IYY_tgx_IHuhSq3AJ5eI5OnqOPBNLWSHKh2a30DoXe8/edit?usp=sharing"",""ยะลา!I412"")"),0.0)</f>
        <v>0</v>
      </c>
      <c r="J517" s="317">
        <f>IFERROR(__xludf.DUMMYFUNCTION("IMPORTRANGE(""https://docs.google.com/spreadsheets/d/1IYY_tgx_IHuhSq3AJ5eI5OnqOPBNLWSHKh2a30DoXe8/edit?usp=sharing"",""ยะลา!J412"")"),0.0)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IFERROR(__xludf.DUMMYFUNCTION("IMPORTRANGE(""https://docs.google.com/spreadsheets/d/1IYY_tgx_IHuhSq3AJ5eI5OnqOPBNLWSHKh2a30DoXe8/edit?usp=sharing"",""ยะลา!I413"")"),0.0)</f>
        <v>0</v>
      </c>
      <c r="J518" s="317">
        <f>IFERROR(__xludf.DUMMYFUNCTION("IMPORTRANGE(""https://docs.google.com/spreadsheets/d/1IYY_tgx_IHuhSq3AJ5eI5OnqOPBNLWSHKh2a30DoXe8/edit?usp=sharing"",""ยะลา!J413"")"),0.0)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IFERROR(__xludf.DUMMYFUNCTION("IMPORTRANGE(""https://docs.google.com/spreadsheets/d/1IYY_tgx_IHuhSq3AJ5eI5OnqOPBNLWSHKh2a30DoXe8/edit?usp=sharing"",""ยะลา!I414"")"),0.0)</f>
        <v>0</v>
      </c>
      <c r="J519" s="222">
        <f>IFERROR(__xludf.DUMMYFUNCTION("IMPORTRANGE(""https://docs.google.com/spreadsheets/d/1IYY_tgx_IHuhSq3AJ5eI5OnqOPBNLWSHKh2a30DoXe8/edit?usp=sharing"",""ยะลา!J414"")"),0.0)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IFERROR(__xludf.DUMMYFUNCTION("IMPORTRANGE(""https://docs.google.com/spreadsheets/d/1IYY_tgx_IHuhSq3AJ5eI5OnqOPBNLWSHKh2a30DoXe8/edit?usp=sharing"",""ยะลา!I415"")"),0.0)</f>
        <v>0</v>
      </c>
      <c r="J520" s="222">
        <f>IFERROR(__xludf.DUMMYFUNCTION("IMPORTRANGE(""https://docs.google.com/spreadsheets/d/1IYY_tgx_IHuhSq3AJ5eI5OnqOPBNLWSHKh2a30DoXe8/edit?usp=sharing"",""ยะลา!J415"")"),0.0)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IFERROR(__xludf.DUMMYFUNCTION("IMPORTRANGE(""https://docs.google.com/spreadsheets/d/1IYY_tgx_IHuhSq3AJ5eI5OnqOPBNLWSHKh2a30DoXe8/edit?usp=sharing"",""ยะลา!I416"")"),0.0)</f>
        <v>0</v>
      </c>
      <c r="J521" s="222">
        <f>IFERROR(__xludf.DUMMYFUNCTION("IMPORTRANGE(""https://docs.google.com/spreadsheets/d/1IYY_tgx_IHuhSq3AJ5eI5OnqOPBNLWSHKh2a30DoXe8/edit?usp=sharing"",""ยะลา!J416"")"),0.0)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IFERROR(__xludf.DUMMYFUNCTION("IMPORTRANGE(""https://docs.google.com/spreadsheets/d/1IYY_tgx_IHuhSq3AJ5eI5OnqOPBNLWSHKh2a30DoXe8/edit?usp=sharing"",""ยะลา!I417"")"),0.0)</f>
        <v>0</v>
      </c>
      <c r="J522" s="222">
        <f>IFERROR(__xludf.DUMMYFUNCTION("IMPORTRANGE(""https://docs.google.com/spreadsheets/d/1IYY_tgx_IHuhSq3AJ5eI5OnqOPBNLWSHKh2a30DoXe8/edit?usp=sharing"",""ยะลา!J417"")"),0.0)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IFERROR(__xludf.DUMMYFUNCTION("IMPORTRANGE(""https://docs.google.com/spreadsheets/d/1IYY_tgx_IHuhSq3AJ5eI5OnqOPBNLWSHKh2a30DoXe8/edit?usp=sharing"",""ยะลา!I418"")"),0.0)</f>
        <v>0</v>
      </c>
      <c r="J523" s="222">
        <f>IFERROR(__xludf.DUMMYFUNCTION("IMPORTRANGE(""https://docs.google.com/spreadsheets/d/1IYY_tgx_IHuhSq3AJ5eI5OnqOPBNLWSHKh2a30DoXe8/edit?usp=sharing"",""ยะลา!J418"")"),0.0)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IFERROR(__xludf.DUMMYFUNCTION("IMPORTRANGE(""https://docs.google.com/spreadsheets/d/1IYY_tgx_IHuhSq3AJ5eI5OnqOPBNLWSHKh2a30DoXe8/edit?usp=sharing"",""ยะลา!I419"")"),0.0)</f>
        <v>0</v>
      </c>
      <c r="J524" s="222">
        <f>IFERROR(__xludf.DUMMYFUNCTION("IMPORTRANGE(""https://docs.google.com/spreadsheets/d/1IYY_tgx_IHuhSq3AJ5eI5OnqOPBNLWSHKh2a30DoXe8/edit?usp=sharing"",""ยะลา!J419"")"),0.0)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IFERROR(__xludf.DUMMYFUNCTION("IMPORTRANGE(""https://docs.google.com/spreadsheets/d/1IYY_tgx_IHuhSq3AJ5eI5OnqOPBNLWSHKh2a30DoXe8/edit?usp=sharing"",""ยะลา!I420"")"),0.0)</f>
        <v>0</v>
      </c>
      <c r="J525" s="317">
        <f>IFERROR(__xludf.DUMMYFUNCTION("IMPORTRANGE(""https://docs.google.com/spreadsheets/d/1IYY_tgx_IHuhSq3AJ5eI5OnqOPBNLWSHKh2a30DoXe8/edit?usp=sharing"",""ยะลา!J420"")"),0.0)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IFERROR(__xludf.DUMMYFUNCTION("IMPORTRANGE(""https://docs.google.com/spreadsheets/d/1IYY_tgx_IHuhSq3AJ5eI5OnqOPBNLWSHKh2a30DoXe8/edit?usp=sharing"",""ยะลา!I421"")"),0.0)</f>
        <v>0</v>
      </c>
      <c r="J526" s="317">
        <f>IFERROR(__xludf.DUMMYFUNCTION("IMPORTRANGE(""https://docs.google.com/spreadsheets/d/1IYY_tgx_IHuhSq3AJ5eI5OnqOPBNLWSHKh2a30DoXe8/edit?usp=sharing"",""ยะลา!J421"")"),0.0)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IFERROR(__xludf.DUMMYFUNCTION("IMPORTRANGE(""https://docs.google.com/spreadsheets/d/1IYY_tgx_IHuhSq3AJ5eI5OnqOPBNLWSHKh2a30DoXe8/edit?usp=sharing"",""ยะลา!I422"")"),0.0)</f>
        <v>0</v>
      </c>
      <c r="J527" s="232">
        <f>IFERROR(__xludf.DUMMYFUNCTION("IMPORTRANGE(""https://docs.google.com/spreadsheets/d/1IYY_tgx_IHuhSq3AJ5eI5OnqOPBNLWSHKh2a30DoXe8/edit?usp=sharing"",""ยะลา!J422"")"),0.0)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IFERROR(__xludf.DUMMYFUNCTION("IMPORTRANGE(""https://docs.google.com/spreadsheets/d/1IYY_tgx_IHuhSq3AJ5eI5OnqOPBNLWSHKh2a30DoXe8/edit?usp=sharing"",""ยะลา!I423"")"),0.0)</f>
        <v>0</v>
      </c>
      <c r="J528" s="232">
        <f>IFERROR(__xludf.DUMMYFUNCTION("IMPORTRANGE(""https://docs.google.com/spreadsheets/d/1IYY_tgx_IHuhSq3AJ5eI5OnqOPBNLWSHKh2a30DoXe8/edit?usp=sharing"",""ยะลา!J423"")"),0.0)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IFERROR(__xludf.DUMMYFUNCTION("IMPORTRANGE(""https://docs.google.com/spreadsheets/d/1IYY_tgx_IHuhSq3AJ5eI5OnqOPBNLWSHKh2a30DoXe8/edit?usp=sharing"",""ยะลา!I424"")"),0.0)</f>
        <v>0</v>
      </c>
      <c r="J529" s="232">
        <f>IFERROR(__xludf.DUMMYFUNCTION("IMPORTRANGE(""https://docs.google.com/spreadsheets/d/1IYY_tgx_IHuhSq3AJ5eI5OnqOPBNLWSHKh2a30DoXe8/edit?usp=sharing"",""ยะลา!J424"")"),0.0)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IFERROR(__xludf.DUMMYFUNCTION("IMPORTRANGE(""https://docs.google.com/spreadsheets/d/1IYY_tgx_IHuhSq3AJ5eI5OnqOPBNLWSHKh2a30DoXe8/edit?usp=sharing"",""ยะลา!I425"")"),0.0)</f>
        <v>0</v>
      </c>
      <c r="J530" s="232">
        <f>IFERROR(__xludf.DUMMYFUNCTION("IMPORTRANGE(""https://docs.google.com/spreadsheets/d/1IYY_tgx_IHuhSq3AJ5eI5OnqOPBNLWSHKh2a30DoXe8/edit?usp=sharing"",""ยะลา!J425"")"),0.0)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IFERROR(__xludf.DUMMYFUNCTION("IMPORTRANGE(""https://docs.google.com/spreadsheets/d/1IYY_tgx_IHuhSq3AJ5eI5OnqOPBNLWSHKh2a30DoXe8/edit?usp=sharing"",""ยะลา!I426"")"),0.0)</f>
        <v>0</v>
      </c>
      <c r="J531" s="232">
        <f>IFERROR(__xludf.DUMMYFUNCTION("IMPORTRANGE(""https://docs.google.com/spreadsheets/d/1IYY_tgx_IHuhSq3AJ5eI5OnqOPBNLWSHKh2a30DoXe8/edit?usp=sharing"",""ยะลา!J426"")"),0.0)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IFERROR(__xludf.DUMMYFUNCTION("IMPORTRANGE(""https://docs.google.com/spreadsheets/d/1IYY_tgx_IHuhSq3AJ5eI5OnqOPBNLWSHKh2a30DoXe8/edit?usp=sharing"",""ยะลา!I427"")"),0.0)</f>
        <v>0</v>
      </c>
      <c r="J532" s="499">
        <f>IFERROR(__xludf.DUMMYFUNCTION("IMPORTRANGE(""https://docs.google.com/spreadsheets/d/1IYY_tgx_IHuhSq3AJ5eI5OnqOPBNLWSHKh2a30DoXe8/edit?usp=sharing"",""ยะลา!J427"")"),0.0)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IFERROR(__xludf.DUMMYFUNCTION("IMPORTRANGE(""https://docs.google.com/spreadsheets/d/1IYY_tgx_IHuhSq3AJ5eI5OnqOPBNLWSHKh2a30DoXe8/edit?usp=sharing"",""ยะลา!I428"")"),16.0)</f>
        <v>16</v>
      </c>
      <c r="J533" s="443">
        <f>IFERROR(__xludf.DUMMYFUNCTION("IMPORTRANGE(""https://docs.google.com/spreadsheets/d/1IYY_tgx_IHuhSq3AJ5eI5OnqOPBNLWSHKh2a30DoXe8/edit?usp=sharing"",""ยะลา!J428"")"),16.0)</f>
        <v>16</v>
      </c>
      <c r="K533" s="444">
        <f>IF(I533&gt;0,J533*100/I533,0)</f>
        <v>100</v>
      </c>
      <c r="L533" s="445">
        <f>IFERROR(__xludf.DUMMYFUNCTION("IMPORTRANGE(""https://docs.google.com/spreadsheets/d/1IYY_tgx_IHuhSq3AJ5eI5OnqOPBNLWSHKh2a30DoXe8/edit?usp=sharing"",""ยะลา!L428"")"),29240.0)</f>
        <v>29240</v>
      </c>
      <c r="M533" s="445"/>
      <c r="N533" s="445">
        <f>IFERROR(__xludf.DUMMYFUNCTION("IMPORTRANGE(""https://docs.google.com/spreadsheets/d/1IYY_tgx_IHuhSq3AJ5eI5OnqOPBNLWSHKh2a30DoXe8/edit?usp=sharing"",""ยะลา!M428"")"),16350.0)</f>
        <v>16350</v>
      </c>
      <c r="O533" s="445">
        <f t="shared" ref="O533:O537" si="119">+IF(L533&gt;0,N533*100/L533,0)</f>
        <v>55.91655267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IFERROR(__xludf.DUMMYFUNCTION("IMPORTRANGE(""https://docs.google.com/spreadsheets/d/1IYY_tgx_IHuhSq3AJ5eI5OnqOPBNLWSHKh2a30DoXe8/edit?usp=sharing"",""ยะลา!L429"")"),0.0)</f>
        <v>0</v>
      </c>
      <c r="M534" s="197"/>
      <c r="N534" s="203">
        <f>IFERROR(__xludf.DUMMYFUNCTION("IMPORTRANGE(""https://docs.google.com/spreadsheets/d/1IYY_tgx_IHuhSq3AJ5eI5OnqOPBNLWSHKh2a30DoXe8/edit?usp=sharing"",""ยะลา!M429"")"),0.0)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IFERROR(__xludf.DUMMYFUNCTION("IMPORTRANGE(""https://docs.google.com/spreadsheets/d/1IYY_tgx_IHuhSq3AJ5eI5OnqOPBNLWSHKh2a30DoXe8/edit?usp=sharing"",""ยะลา!L430"")"),29240.0)</f>
        <v>29240</v>
      </c>
      <c r="M535" s="198"/>
      <c r="N535" s="203">
        <f>IFERROR(__xludf.DUMMYFUNCTION("IMPORTRANGE(""https://docs.google.com/spreadsheets/d/1IYY_tgx_IHuhSq3AJ5eI5OnqOPBNLWSHKh2a30DoXe8/edit?usp=sharing"",""ยะลา!M430"")"),16350.0)</f>
        <v>16350</v>
      </c>
      <c r="O535" s="203">
        <f t="shared" si="119"/>
        <v>55.91655267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IFERROR(__xludf.DUMMYFUNCTION("IMPORTRANGE(""https://docs.google.com/spreadsheets/d/1IYY_tgx_IHuhSq3AJ5eI5OnqOPBNLWSHKh2a30DoXe8/edit?usp=sharing"",""ยะลา!L431"")"),0.0)</f>
        <v>0</v>
      </c>
      <c r="M536" s="203"/>
      <c r="N536" s="203">
        <f>IFERROR(__xludf.DUMMYFUNCTION("IMPORTRANGE(""https://docs.google.com/spreadsheets/d/1IYY_tgx_IHuhSq3AJ5eI5OnqOPBNLWSHKh2a30DoXe8/edit?usp=sharing"",""ยะลา!M431"")"),0.0)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IFERROR(__xludf.DUMMYFUNCTION("IMPORTRANGE(""https://docs.google.com/spreadsheets/d/1IYY_tgx_IHuhSq3AJ5eI5OnqOPBNLWSHKh2a30DoXe8/edit?usp=sharing"",""ยะลา!L432"")"),29240.0)</f>
        <v>29240</v>
      </c>
      <c r="M537" s="203"/>
      <c r="N537" s="203">
        <f>IFERROR(__xludf.DUMMYFUNCTION("IMPORTRANGE(""https://docs.google.com/spreadsheets/d/1IYY_tgx_IHuhSq3AJ5eI5OnqOPBNLWSHKh2a30DoXe8/edit?usp=sharing"",""ยะลา!M432"")"),16350.0)</f>
        <v>16350</v>
      </c>
      <c r="O537" s="203">
        <f t="shared" si="119"/>
        <v>55.91655267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IFERROR(__xludf.DUMMYFUNCTION("IMPORTRANGE(""https://docs.google.com/spreadsheets/d/1IYY_tgx_IHuhSq3AJ5eI5OnqOPBNLWSHKh2a30DoXe8/edit?usp=sharing"",""ยะลา!M433"")"),11010.0)</f>
        <v>11010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IFERROR(__xludf.DUMMYFUNCTION("IMPORTRANGE(""https://docs.google.com/spreadsheets/d/1IYY_tgx_IHuhSq3AJ5eI5OnqOPBNLWSHKh2a30DoXe8/edit?usp=sharing"",""ยะลา!M434"")"),0.0)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IFERROR(__xludf.DUMMYFUNCTION("IMPORTRANGE(""https://docs.google.com/spreadsheets/d/1IYY_tgx_IHuhSq3AJ5eI5OnqOPBNLWSHKh2a30DoXe8/edit?usp=sharing"",""ยะลา!M435"")"),0.0)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IFERROR(__xludf.DUMMYFUNCTION("IMPORTRANGE(""https://docs.google.com/spreadsheets/d/1IYY_tgx_IHuhSq3AJ5eI5OnqOPBNLWSHKh2a30DoXe8/edit?usp=sharing"",""ยะลา!M436"")"),5340.0)</f>
        <v>5340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IFERROR(__xludf.DUMMYFUNCTION("IMPORTRANGE(""https://docs.google.com/spreadsheets/d/1IYY_tgx_IHuhSq3AJ5eI5OnqOPBNLWSHKh2a30DoXe8/edit?usp=sharing"",""ยะลา!J438"")"),0.0)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IFERROR(__xludf.DUMMYFUNCTION("IMPORTRANGE(""https://docs.google.com/spreadsheets/d/1IYY_tgx_IHuhSq3AJ5eI5OnqOPBNLWSHKh2a30DoXe8/edit?usp=sharing"",""ยะลา!J439"")"),1.0)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IFERROR(__xludf.DUMMYFUNCTION("IMPORTRANGE(""https://docs.google.com/spreadsheets/d/1IYY_tgx_IHuhSq3AJ5eI5OnqOPBNLWSHKh2a30DoXe8/edit?usp=sharing"",""ยะลา!J440"")"),1.0)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IFERROR(__xludf.DUMMYFUNCTION("IMPORTRANGE(""https://docs.google.com/spreadsheets/d/1IYY_tgx_IHuhSq3AJ5eI5OnqOPBNLWSHKh2a30DoXe8/edit?usp=sharing"",""ยะลา!J441"")"),1.0)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IFERROR(__xludf.DUMMYFUNCTION("IMPORTRANGE(""https://docs.google.com/spreadsheets/d/1IYY_tgx_IHuhSq3AJ5eI5OnqOPBNLWSHKh2a30DoXe8/edit?usp=sharing"",""ยะลา!I442"")"),16.0)</f>
        <v>16</v>
      </c>
      <c r="J547" s="223">
        <f>IFERROR(__xludf.DUMMYFUNCTION("IMPORTRANGE(""https://docs.google.com/spreadsheets/d/1IYY_tgx_IHuhSq3AJ5eI5OnqOPBNLWSHKh2a30DoXe8/edit?usp=sharing"",""ยะลา!J442"")"),16.0)</f>
        <v>16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IFERROR(__xludf.DUMMYFUNCTION("IMPORTRANGE(""https://docs.google.com/spreadsheets/d/1IYY_tgx_IHuhSq3AJ5eI5OnqOPBNLWSHKh2a30DoXe8/edit?usp=sharing"",""ยะลา!J166"")"),0.0)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IFERROR(__xludf.DUMMYFUNCTION("IMPORTRANGE(""https://docs.google.com/spreadsheets/d/1IYY_tgx_IHuhSq3AJ5eI5OnqOPBNLWSHKh2a30DoXe8/edit?usp=sharing"",""ยะลา!J444"")"),0.0)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IFERROR(__xludf.DUMMYFUNCTION("IMPORTRANGE(""https://docs.google.com/spreadsheets/d/1IYY_tgx_IHuhSq3AJ5eI5OnqOPBNLWSHKh2a30DoXe8/edit?usp=sharing"",""ยะลา!J445"")"),0.0)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IFERROR(__xludf.DUMMYFUNCTION("IMPORTRANGE(""https://docs.google.com/spreadsheets/d/1IYY_tgx_IHuhSq3AJ5eI5OnqOPBNLWSHKh2a30DoXe8/edit?usp=sharing"",""ยะลา!I446"")"),0.0)</f>
        <v>0</v>
      </c>
      <c r="J551" s="443">
        <f>IFERROR(__xludf.DUMMYFUNCTION("IMPORTRANGE(""https://docs.google.com/spreadsheets/d/1IYY_tgx_IHuhSq3AJ5eI5OnqOPBNLWSHKh2a30DoXe8/edit?usp=sharing"",""ยะลา!J446"")"),0.0)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IFERROR(__xludf.DUMMYFUNCTION("IMPORTRANGE(""https://docs.google.com/spreadsheets/d/1IYY_tgx_IHuhSq3AJ5eI5OnqOPBNLWSHKh2a30DoXe8/edit?usp=sharing"",""ยะลา!L446"")"),0.0)</f>
        <v>0</v>
      </c>
      <c r="M551" s="445"/>
      <c r="N551" s="445">
        <f>IFERROR(__xludf.DUMMYFUNCTION("IMPORTRANGE(""https://docs.google.com/spreadsheets/d/1IYY_tgx_IHuhSq3AJ5eI5OnqOPBNLWSHKh2a30DoXe8/edit?usp=sharing"",""ยะลา!M446"")"),0.0)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IFERROR(__xludf.DUMMYFUNCTION("IMPORTRANGE(""https://docs.google.com/spreadsheets/d/1IYY_tgx_IHuhSq3AJ5eI5OnqOPBNLWSHKh2a30DoXe8/edit?usp=sharing"",""ยะลา!L447"")"),0.0)</f>
        <v>0</v>
      </c>
      <c r="M552" s="197"/>
      <c r="N552" s="203">
        <f>IFERROR(__xludf.DUMMYFUNCTION("IMPORTRANGE(""https://docs.google.com/spreadsheets/d/1IYY_tgx_IHuhSq3AJ5eI5OnqOPBNLWSHKh2a30DoXe8/edit?usp=sharing"",""ยะลา!M447"")"),0.0)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IFERROR(__xludf.DUMMYFUNCTION("IMPORTRANGE(""https://docs.google.com/spreadsheets/d/1IYY_tgx_IHuhSq3AJ5eI5OnqOPBNLWSHKh2a30DoXe8/edit?usp=sharing"",""ยะลา!L448"")"),0.0)</f>
        <v>0</v>
      </c>
      <c r="M553" s="198"/>
      <c r="N553" s="203">
        <f>IFERROR(__xludf.DUMMYFUNCTION("IMPORTRANGE(""https://docs.google.com/spreadsheets/d/1IYY_tgx_IHuhSq3AJ5eI5OnqOPBNLWSHKh2a30DoXe8/edit?usp=sharing"",""ยะลา!M448"")"),0.0)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IFERROR(__xludf.DUMMYFUNCTION("IMPORTRANGE(""https://docs.google.com/spreadsheets/d/1IYY_tgx_IHuhSq3AJ5eI5OnqOPBNLWSHKh2a30DoXe8/edit?usp=sharing"",""ยะลา!L449"")"),0.0)</f>
        <v>0</v>
      </c>
      <c r="M554" s="203"/>
      <c r="N554" s="203">
        <f>IFERROR(__xludf.DUMMYFUNCTION("IMPORTRANGE(""https://docs.google.com/spreadsheets/d/1IYY_tgx_IHuhSq3AJ5eI5OnqOPBNLWSHKh2a30DoXe8/edit?usp=sharing"",""ยะลา!M449"")"),0.0)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IFERROR(__xludf.DUMMYFUNCTION("IMPORTRANGE(""https://docs.google.com/spreadsheets/d/1IYY_tgx_IHuhSq3AJ5eI5OnqOPBNLWSHKh2a30DoXe8/edit?usp=sharing"",""ยะลา!L450"")"),0.0)</f>
        <v>0</v>
      </c>
      <c r="M555" s="203"/>
      <c r="N555" s="203">
        <f>IFERROR(__xludf.DUMMYFUNCTION("IMPORTRANGE(""https://docs.google.com/spreadsheets/d/1IYY_tgx_IHuhSq3AJ5eI5OnqOPBNLWSHKh2a30DoXe8/edit?usp=sharing"",""ยะลา!M450"")"),0.0)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IFERROR(__xludf.DUMMYFUNCTION("IMPORTRANGE(""https://docs.google.com/spreadsheets/d/1IYY_tgx_IHuhSq3AJ5eI5OnqOPBNLWSHKh2a30DoXe8/edit?usp=sharing"",""ยะลา!M451"")"),0.0)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IFERROR(__xludf.DUMMYFUNCTION("IMPORTRANGE(""https://docs.google.com/spreadsheets/d/1IYY_tgx_IHuhSq3AJ5eI5OnqOPBNLWSHKh2a30DoXe8/edit?usp=sharing"",""ยะลา!M452"")"),0.0)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IFERROR(__xludf.DUMMYFUNCTION("IMPORTRANGE(""https://docs.google.com/spreadsheets/d/1IYY_tgx_IHuhSq3AJ5eI5OnqOPBNLWSHKh2a30DoXe8/edit?usp=sharing"",""ยะลา!M453"")"),0.0)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IFERROR(__xludf.DUMMYFUNCTION("IMPORTRANGE(""https://docs.google.com/spreadsheets/d/1IYY_tgx_IHuhSq3AJ5eI5OnqOPBNLWSHKh2a30DoXe8/edit?usp=sharing"",""ยะลา!M454"")"),0.0)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IFERROR(__xludf.DUMMYFUNCTION("IMPORTRANGE(""https://docs.google.com/spreadsheets/d/1IYY_tgx_IHuhSq3AJ5eI5OnqOPBNLWSHKh2a30DoXe8/edit?usp=sharing"",""ยะลา!I455"")"),0.0)</f>
        <v>0</v>
      </c>
      <c r="J560" s="195">
        <f>IFERROR(__xludf.DUMMYFUNCTION("IMPORTRANGE(""https://docs.google.com/spreadsheets/d/1IYY_tgx_IHuhSq3AJ5eI5OnqOPBNLWSHKh2a30DoXe8/edit?usp=sharing"",""ยะลา!J455"")"),0.0)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IFERROR(__xludf.DUMMYFUNCTION("IMPORTRANGE(""https://docs.google.com/spreadsheets/d/1IYY_tgx_IHuhSq3AJ5eI5OnqOPBNLWSHKh2a30DoXe8/edit?usp=sharing"",""ยะลา!I456"")"),0.0)</f>
        <v>0</v>
      </c>
      <c r="J561" s="238">
        <f>IFERROR(__xludf.DUMMYFUNCTION("IMPORTRANGE(""https://docs.google.com/spreadsheets/d/1IYY_tgx_IHuhSq3AJ5eI5OnqOPBNLWSHKh2a30DoXe8/edit?usp=sharing"",""ยะลา!J456"")"),0.0)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IFERROR(__xludf.DUMMYFUNCTION("IMPORTRANGE(""https://docs.google.com/spreadsheets/d/1IYY_tgx_IHuhSq3AJ5eI5OnqOPBNLWSHKh2a30DoXe8/edit?usp=sharing"",""ยะลา!I457"")"),"")</f>
        <v/>
      </c>
      <c r="J562" s="238" t="str">
        <f>IFERROR(__xludf.DUMMYFUNCTION("IMPORTRANGE(""https://docs.google.com/spreadsheets/d/1IYY_tgx_IHuhSq3AJ5eI5OnqOPBNLWSHKh2a30DoXe8/edit?usp=sharing"",""ยะลา!J457"")"),"")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IFERROR(__xludf.DUMMYFUNCTION("IMPORTRANGE(""https://docs.google.com/spreadsheets/d/1IYY_tgx_IHuhSq3AJ5eI5OnqOPBNLWSHKh2a30DoXe8/edit?usp=sharing"",""ยะลา!I458"")"),"")</f>
        <v/>
      </c>
      <c r="J563" s="222" t="str">
        <f>IFERROR(__xludf.DUMMYFUNCTION("IMPORTRANGE(""https://docs.google.com/spreadsheets/d/1IYY_tgx_IHuhSq3AJ5eI5OnqOPBNLWSHKh2a30DoXe8/edit?usp=sharing"",""ยะลา!J458"")"),"")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IFERROR(__xludf.DUMMYFUNCTION("IMPORTRANGE(""https://docs.google.com/spreadsheets/d/1IYY_tgx_IHuhSq3AJ5eI5OnqOPBNLWSHKh2a30DoXe8/edit?usp=sharing"",""ยะลา!I459"")"),150.0)</f>
        <v>150</v>
      </c>
      <c r="J564" s="404">
        <f>IFERROR(__xludf.DUMMYFUNCTION("IMPORTRANGE(""https://docs.google.com/spreadsheets/d/1IYY_tgx_IHuhSq3AJ5eI5OnqOPBNLWSHKh2a30DoXe8/edit?usp=sharing"",""ยะลา!J459"")"),205.0)</f>
        <v>205</v>
      </c>
      <c r="K564" s="405">
        <f t="shared" si="122"/>
        <v>136.6666667</v>
      </c>
      <c r="L564" s="406">
        <f>IFERROR(__xludf.DUMMYFUNCTION("IMPORTRANGE(""https://docs.google.com/spreadsheets/d/1IYY_tgx_IHuhSq3AJ5eI5OnqOPBNLWSHKh2a30DoXe8/edit?usp=sharing"",""ยะลา!L459"")"),123680.0)</f>
        <v>123680</v>
      </c>
      <c r="M564" s="406"/>
      <c r="N564" s="406">
        <f>IFERROR(__xludf.DUMMYFUNCTION("IMPORTRANGE(""https://docs.google.com/spreadsheets/d/1IYY_tgx_IHuhSq3AJ5eI5OnqOPBNLWSHKh2a30DoXe8/edit?usp=sharing"",""ยะลา!M459"")"),12755.46)</f>
        <v>12755.46</v>
      </c>
      <c r="O564" s="406">
        <f t="shared" ref="O564:O568" si="123">+IF(L564&gt;0,N564*100/L564,0)</f>
        <v>10.3132762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IFERROR(__xludf.DUMMYFUNCTION("IMPORTRANGE(""https://docs.google.com/spreadsheets/d/1IYY_tgx_IHuhSq3AJ5eI5OnqOPBNLWSHKh2a30DoXe8/edit?usp=sharing"",""ยะลา!L460"")"),0.0)</f>
        <v>0</v>
      </c>
      <c r="M565" s="197"/>
      <c r="N565" s="203">
        <f>IFERROR(__xludf.DUMMYFUNCTION("IMPORTRANGE(""https://docs.google.com/spreadsheets/d/1IYY_tgx_IHuhSq3AJ5eI5OnqOPBNLWSHKh2a30DoXe8/edit?usp=sharing"",""ยะลา!M460"")"),0.0)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IFERROR(__xludf.DUMMYFUNCTION("IMPORTRANGE(""https://docs.google.com/spreadsheets/d/1IYY_tgx_IHuhSq3AJ5eI5OnqOPBNLWSHKh2a30DoXe8/edit?usp=sharing"",""ยะลา!L461"")"),123680.0)</f>
        <v>123680</v>
      </c>
      <c r="M566" s="198"/>
      <c r="N566" s="203">
        <f>IFERROR(__xludf.DUMMYFUNCTION("IMPORTRANGE(""https://docs.google.com/spreadsheets/d/1IYY_tgx_IHuhSq3AJ5eI5OnqOPBNLWSHKh2a30DoXe8/edit?usp=sharing"",""ยะลา!M461"")"),12755.46)</f>
        <v>12755.46</v>
      </c>
      <c r="O566" s="203">
        <f t="shared" si="123"/>
        <v>10.3132762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IFERROR(__xludf.DUMMYFUNCTION("IMPORTRANGE(""https://docs.google.com/spreadsheets/d/1IYY_tgx_IHuhSq3AJ5eI5OnqOPBNLWSHKh2a30DoXe8/edit?usp=sharing"",""ยะลา!L462"")"),0.0)</f>
        <v>0</v>
      </c>
      <c r="M567" s="203"/>
      <c r="N567" s="203">
        <f>IFERROR(__xludf.DUMMYFUNCTION("IMPORTRANGE(""https://docs.google.com/spreadsheets/d/1IYY_tgx_IHuhSq3AJ5eI5OnqOPBNLWSHKh2a30DoXe8/edit?usp=sharing"",""ยะลา!M462"")"),0.0)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IFERROR(__xludf.DUMMYFUNCTION("IMPORTRANGE(""https://docs.google.com/spreadsheets/d/1IYY_tgx_IHuhSq3AJ5eI5OnqOPBNLWSHKh2a30DoXe8/edit?usp=sharing"",""ยะลา!L463"")"),123680.0)</f>
        <v>123680</v>
      </c>
      <c r="M568" s="203"/>
      <c r="N568" s="203">
        <f>IFERROR(__xludf.DUMMYFUNCTION("IMPORTRANGE(""https://docs.google.com/spreadsheets/d/1IYY_tgx_IHuhSq3AJ5eI5OnqOPBNLWSHKh2a30DoXe8/edit?usp=sharing"",""ยะลา!M463"")"),12755.46)</f>
        <v>12755.46</v>
      </c>
      <c r="O568" s="203">
        <f t="shared" si="123"/>
        <v>10.3132762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IFERROR(__xludf.DUMMYFUNCTION("IMPORTRANGE(""https://docs.google.com/spreadsheets/d/1IYY_tgx_IHuhSq3AJ5eI5OnqOPBNLWSHKh2a30DoXe8/edit?usp=sharing"",""ยะลา!M464"")"),0.0)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IFERROR(__xludf.DUMMYFUNCTION("IMPORTRANGE(""https://docs.google.com/spreadsheets/d/1IYY_tgx_IHuhSq3AJ5eI5OnqOPBNLWSHKh2a30DoXe8/edit?usp=sharing"",""ยะลา!M465"")"),0.0)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IFERROR(__xludf.DUMMYFUNCTION("IMPORTRANGE(""https://docs.google.com/spreadsheets/d/1IYY_tgx_IHuhSq3AJ5eI5OnqOPBNLWSHKh2a30DoXe8/edit?usp=sharing"",""ยะลา!M466"")"),9935.46)</f>
        <v>9935.46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IFERROR(__xludf.DUMMYFUNCTION("IMPORTRANGE(""https://docs.google.com/spreadsheets/d/1IYY_tgx_IHuhSq3AJ5eI5OnqOPBNLWSHKh2a30DoXe8/edit?usp=sharing"",""ยะลา!M467"")"),2820.0)</f>
        <v>2820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IFERROR(__xludf.DUMMYFUNCTION("IMPORTRANGE(""https://docs.google.com/spreadsheets/d/1IYY_tgx_IHuhSq3AJ5eI5OnqOPBNLWSHKh2a30DoXe8/edit?usp=sharing"",""ยะลา!I468"")"),150.0)</f>
        <v>150</v>
      </c>
      <c r="J573" s="453">
        <f>IFERROR(__xludf.DUMMYFUNCTION("IMPORTRANGE(""https://docs.google.com/spreadsheets/d/1IYY_tgx_IHuhSq3AJ5eI5OnqOPBNLWSHKh2a30DoXe8/edit?usp=sharing"",""ยะลา!J468"")"),205.0)</f>
        <v>205</v>
      </c>
      <c r="K573" s="236">
        <f>IF(I573&gt;0,J573*100/I573,0)</f>
        <v>136.6666667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IFERROR(__xludf.DUMMYFUNCTION("IMPORTRANGE(""https://docs.google.com/spreadsheets/d/1IYY_tgx_IHuhSq3AJ5eI5OnqOPBNLWSHKh2a30DoXe8/edit?usp=sharing"",""ยะลา!I470"")"),0.0)</f>
        <v>0</v>
      </c>
      <c r="J575" s="232">
        <f>IFERROR(__xludf.DUMMYFUNCTION("IMPORTRANGE(""https://docs.google.com/spreadsheets/d/1IYY_tgx_IHuhSq3AJ5eI5OnqOPBNLWSHKh2a30DoXe8/edit?usp=sharing"",""ยะลา!J470"")"),2.0)</f>
        <v>2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IFERROR(__xludf.DUMMYFUNCTION("IMPORTRANGE(""https://docs.google.com/spreadsheets/d/1IYY_tgx_IHuhSq3AJ5eI5OnqOPBNLWSHKh2a30DoXe8/edit?usp=sharing"",""ยะลา!I471"")"),0.0)</f>
        <v>0</v>
      </c>
      <c r="J576" s="232">
        <f>IFERROR(__xludf.DUMMYFUNCTION("IMPORTRANGE(""https://docs.google.com/spreadsheets/d/1IYY_tgx_IHuhSq3AJ5eI5OnqOPBNLWSHKh2a30DoXe8/edit?usp=sharing"",""ยะลา!J471"")"),88.0)</f>
        <v>88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IFERROR(__xludf.DUMMYFUNCTION("IMPORTRANGE(""https://docs.google.com/spreadsheets/d/1IYY_tgx_IHuhSq3AJ5eI5OnqOPBNLWSHKh2a30DoXe8/edit?usp=sharing"",""ยะลา!I472"")"),0.0)</f>
        <v>0</v>
      </c>
      <c r="J577" s="223">
        <f>IFERROR(__xludf.DUMMYFUNCTION("IMPORTRANGE(""https://docs.google.com/spreadsheets/d/1IYY_tgx_IHuhSq3AJ5eI5OnqOPBNLWSHKh2a30DoXe8/edit?usp=sharing"",""ยะลา!J472"")"),117.0)</f>
        <v>117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IFERROR(__xludf.DUMMYFUNCTION("IMPORTRANGE(""https://docs.google.com/spreadsheets/d/1IYY_tgx_IHuhSq3AJ5eI5OnqOPBNLWSHKh2a30DoXe8/edit?usp=sharing"",""ยะลา!I473"")"),0.0)</f>
        <v>0</v>
      </c>
      <c r="J578" s="232">
        <f>IFERROR(__xludf.DUMMYFUNCTION("IMPORTRANGE(""https://docs.google.com/spreadsheets/d/1IYY_tgx_IHuhSq3AJ5eI5OnqOPBNLWSHKh2a30DoXe8/edit?usp=sharing"",""ยะลา!J473"")"),0.0)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IFERROR(__xludf.DUMMYFUNCTION("IMPORTRANGE(""https://docs.google.com/spreadsheets/d/1IYY_tgx_IHuhSq3AJ5eI5OnqOPBNLWSHKh2a30DoXe8/edit?usp=sharing"",""ยะลา!I474"")"),0.0)</f>
        <v>0</v>
      </c>
      <c r="J579" s="232">
        <f>IFERROR(__xludf.DUMMYFUNCTION("IMPORTRANGE(""https://docs.google.com/spreadsheets/d/1IYY_tgx_IHuhSq3AJ5eI5OnqOPBNLWSHKh2a30DoXe8/edit?usp=sharing"",""ยะลา!J474"")"),0.0)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IFERROR(__xludf.DUMMYFUNCTION("IMPORTRANGE(""https://docs.google.com/spreadsheets/d/1IYY_tgx_IHuhSq3AJ5eI5OnqOPBNLWSHKh2a30DoXe8/edit?usp=sharing"",""ยะลา!I475"")"),0.0)</f>
        <v>0</v>
      </c>
      <c r="J580" s="404">
        <f>IFERROR(__xludf.DUMMYFUNCTION("IMPORTRANGE(""https://docs.google.com/spreadsheets/d/1IYY_tgx_IHuhSq3AJ5eI5OnqOPBNLWSHKh2a30DoXe8/edit?usp=sharing"",""ยะลา!J475"")"),0.0)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IFERROR(__xludf.DUMMYFUNCTION("IMPORTRANGE(""https://docs.google.com/spreadsheets/d/1IYY_tgx_IHuhSq3AJ5eI5OnqOPBNLWSHKh2a30DoXe8/edit?usp=sharing"",""ยะลา!L475"")"),0.0)</f>
        <v>0</v>
      </c>
      <c r="M580" s="406"/>
      <c r="N580" s="406">
        <f>IFERROR(__xludf.DUMMYFUNCTION("IMPORTRANGE(""https://docs.google.com/spreadsheets/d/1IYY_tgx_IHuhSq3AJ5eI5OnqOPBNLWSHKh2a30DoXe8/edit?usp=sharing"",""ยะลา!M475"")"),0.0)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IFERROR(__xludf.DUMMYFUNCTION("IMPORTRANGE(""https://docs.google.com/spreadsheets/d/1IYY_tgx_IHuhSq3AJ5eI5OnqOPBNLWSHKh2a30DoXe8/edit?usp=sharing"",""ยะลา!L476"")"),0.0)</f>
        <v>0</v>
      </c>
      <c r="M581" s="197"/>
      <c r="N581" s="203">
        <f>IFERROR(__xludf.DUMMYFUNCTION("IMPORTRANGE(""https://docs.google.com/spreadsheets/d/1IYY_tgx_IHuhSq3AJ5eI5OnqOPBNLWSHKh2a30DoXe8/edit?usp=sharing"",""ยะลา!M476"")"),0.0)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IFERROR(__xludf.DUMMYFUNCTION("IMPORTRANGE(""https://docs.google.com/spreadsheets/d/1IYY_tgx_IHuhSq3AJ5eI5OnqOPBNLWSHKh2a30DoXe8/edit?usp=sharing"",""ยะลา!L477"")"),0.0)</f>
        <v>0</v>
      </c>
      <c r="M582" s="198"/>
      <c r="N582" s="203">
        <f>IFERROR(__xludf.DUMMYFUNCTION("IMPORTRANGE(""https://docs.google.com/spreadsheets/d/1IYY_tgx_IHuhSq3AJ5eI5OnqOPBNLWSHKh2a30DoXe8/edit?usp=sharing"",""ยะลา!M477"")"),0.0)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IFERROR(__xludf.DUMMYFUNCTION("IMPORTRANGE(""https://docs.google.com/spreadsheets/d/1IYY_tgx_IHuhSq3AJ5eI5OnqOPBNLWSHKh2a30DoXe8/edit?usp=sharing"",""ยะลา!L478"")"),0.0)</f>
        <v>0</v>
      </c>
      <c r="M583" s="203"/>
      <c r="N583" s="203">
        <f>IFERROR(__xludf.DUMMYFUNCTION("IMPORTRANGE(""https://docs.google.com/spreadsheets/d/1IYY_tgx_IHuhSq3AJ5eI5OnqOPBNLWSHKh2a30DoXe8/edit?usp=sharing"",""ยะลา!M478"")"),0.0)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IFERROR(__xludf.DUMMYFUNCTION("IMPORTRANGE(""https://docs.google.com/spreadsheets/d/1IYY_tgx_IHuhSq3AJ5eI5OnqOPBNLWSHKh2a30DoXe8/edit?usp=sharing"",""ยะลา!L479"")"),0.0)</f>
        <v>0</v>
      </c>
      <c r="M584" s="203"/>
      <c r="N584" s="203">
        <f>IFERROR(__xludf.DUMMYFUNCTION("IMPORTRANGE(""https://docs.google.com/spreadsheets/d/1IYY_tgx_IHuhSq3AJ5eI5OnqOPBNLWSHKh2a30DoXe8/edit?usp=sharing"",""ยะลา!M479"")"),0.0)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IFERROR(__xludf.DUMMYFUNCTION("IMPORTRANGE(""https://docs.google.com/spreadsheets/d/1IYY_tgx_IHuhSq3AJ5eI5OnqOPBNLWSHKh2a30DoXe8/edit?usp=sharing"",""ยะลา!M480"")"),0.0)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IFERROR(__xludf.DUMMYFUNCTION("IMPORTRANGE(""https://docs.google.com/spreadsheets/d/1IYY_tgx_IHuhSq3AJ5eI5OnqOPBNLWSHKh2a30DoXe8/edit?usp=sharing"",""ยะลา!M481"")"),0.0)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IFERROR(__xludf.DUMMYFUNCTION("IMPORTRANGE(""https://docs.google.com/spreadsheets/d/1IYY_tgx_IHuhSq3AJ5eI5OnqOPBNLWSHKh2a30DoXe8/edit?usp=sharing"",""ยะลา!M482"")"),0.0)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IFERROR(__xludf.DUMMYFUNCTION("IMPORTRANGE(""https://docs.google.com/spreadsheets/d/1IYY_tgx_IHuhSq3AJ5eI5OnqOPBNLWSHKh2a30DoXe8/edit?usp=sharing"",""ยะลา!M483"")"),0.0)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IFERROR(__xludf.DUMMYFUNCTION("IMPORTRANGE(""https://docs.google.com/spreadsheets/d/1IYY_tgx_IHuhSq3AJ5eI5OnqOPBNLWSHKh2a30DoXe8/edit?usp=sharing"",""ยะลา!I484"")"),0.0)</f>
        <v>0</v>
      </c>
      <c r="J589" s="222">
        <f>IFERROR(__xludf.DUMMYFUNCTION("IMPORTRANGE(""https://docs.google.com/spreadsheets/d/1IYY_tgx_IHuhSq3AJ5eI5OnqOPBNLWSHKh2a30DoXe8/edit?usp=sharing"",""ยะลา!J484"")"),0.0)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IFERROR(__xludf.DUMMYFUNCTION("IMPORTRANGE(""https://docs.google.com/spreadsheets/d/1IYY_tgx_IHuhSq3AJ5eI5OnqOPBNLWSHKh2a30DoXe8/edit?usp=sharing"",""ยะลา!I485"")"),0.0)</f>
        <v>0</v>
      </c>
      <c r="J590" s="222">
        <f>IFERROR(__xludf.DUMMYFUNCTION("IMPORTRANGE(""https://docs.google.com/spreadsheets/d/1IYY_tgx_IHuhSq3AJ5eI5OnqOPBNLWSHKh2a30DoXe8/edit?usp=sharing"",""ยะลา!J485"")"),0.0)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IFERROR(__xludf.DUMMYFUNCTION("IMPORTRANGE(""https://docs.google.com/spreadsheets/d/1IYY_tgx_IHuhSq3AJ5eI5OnqOPBNLWSHKh2a30DoXe8/edit?usp=sharing"",""ยะลา!I486"")"),0.0)</f>
        <v>0</v>
      </c>
      <c r="J591" s="222">
        <f>IFERROR(__xludf.DUMMYFUNCTION("IMPORTRANGE(""https://docs.google.com/spreadsheets/d/1IYY_tgx_IHuhSq3AJ5eI5OnqOPBNLWSHKh2a30DoXe8/edit?usp=sharing"",""ยะลา!J486"")"),0.0)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IFERROR(__xludf.DUMMYFUNCTION("IMPORTRANGE(""https://docs.google.com/spreadsheets/d/1IYY_tgx_IHuhSq3AJ5eI5OnqOPBNLWSHKh2a30DoXe8/edit?usp=sharing"",""ยะลา!I487"")"),0.0)</f>
        <v>0</v>
      </c>
      <c r="J592" s="222">
        <f>IFERROR(__xludf.DUMMYFUNCTION("IMPORTRANGE(""https://docs.google.com/spreadsheets/d/1IYY_tgx_IHuhSq3AJ5eI5OnqOPBNLWSHKh2a30DoXe8/edit?usp=sharing"",""ยะลา!J487"")"),0.0)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IFERROR(__xludf.DUMMYFUNCTION("IMPORTRANGE(""https://docs.google.com/spreadsheets/d/1IYY_tgx_IHuhSq3AJ5eI5OnqOPBNLWSHKh2a30DoXe8/edit?usp=sharing"",""ยะลา!I488"")"),0.0)</f>
        <v>0</v>
      </c>
      <c r="J593" s="222">
        <f>IFERROR(__xludf.DUMMYFUNCTION("IMPORTRANGE(""https://docs.google.com/spreadsheets/d/1IYY_tgx_IHuhSq3AJ5eI5OnqOPBNLWSHKh2a30DoXe8/edit?usp=sharing"",""ยะลา!J488"")"),0.0)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IFERROR(__xludf.DUMMYFUNCTION("IMPORTRANGE(""https://docs.google.com/spreadsheets/d/1IYY_tgx_IHuhSq3AJ5eI5OnqOPBNLWSHKh2a30DoXe8/edit?usp=sharing"",""ยะลา!I489"")"),0.0)</f>
        <v>0</v>
      </c>
      <c r="J594" s="222">
        <f>IFERROR(__xludf.DUMMYFUNCTION("IMPORTRANGE(""https://docs.google.com/spreadsheets/d/1IYY_tgx_IHuhSq3AJ5eI5OnqOPBNLWSHKh2a30DoXe8/edit?usp=sharing"",""ยะลา!J489"")"),0.0)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IFERROR(__xludf.DUMMYFUNCTION("IMPORTRANGE(""https://docs.google.com/spreadsheets/d/1IYY_tgx_IHuhSq3AJ5eI5OnqOPBNLWSHKh2a30DoXe8/edit?usp=sharing"",""ยะลา!I490"")"),0.0)</f>
        <v>0</v>
      </c>
      <c r="J595" s="222">
        <f>IFERROR(__xludf.DUMMYFUNCTION("IMPORTRANGE(""https://docs.google.com/spreadsheets/d/1IYY_tgx_IHuhSq3AJ5eI5OnqOPBNLWSHKh2a30DoXe8/edit?usp=sharing"",""ยะลา!J490"")"),0.0)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IFERROR(__xludf.DUMMYFUNCTION("IMPORTRANGE(""https://docs.google.com/spreadsheets/d/1IYY_tgx_IHuhSq3AJ5eI5OnqOPBNLWSHKh2a30DoXe8/edit?usp=sharing"",""ยะลา!I491"")"),0.0)</f>
        <v>0</v>
      </c>
      <c r="J596" s="275">
        <f>IFERROR(__xludf.DUMMYFUNCTION("IMPORTRANGE(""https://docs.google.com/spreadsheets/d/1IYY_tgx_IHuhSq3AJ5eI5OnqOPBNLWSHKh2a30DoXe8/edit?usp=sharing"",""ยะลา!J491"")"),0.0)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IFERROR(__xludf.DUMMYFUNCTION("IMPORTRANGE(""https://docs.google.com/spreadsheets/d/1IYY_tgx_IHuhSq3AJ5eI5OnqOPBNLWSHKh2a30DoXe8/edit?usp=sharing"",""ยะลา!I492"")"),50.0)</f>
        <v>50</v>
      </c>
      <c r="J597" s="520">
        <f>IFERROR(__xludf.DUMMYFUNCTION("IMPORTRANGE(""https://docs.google.com/spreadsheets/d/1IYY_tgx_IHuhSq3AJ5eI5OnqOPBNLWSHKh2a30DoXe8/edit?usp=sharing"",""ยะลา!J492"")"),0.0)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IFERROR(__xludf.DUMMYFUNCTION("IMPORTRANGE(""https://docs.google.com/spreadsheets/d/1IYY_tgx_IHuhSq3AJ5eI5OnqOPBNLWSHKh2a30DoXe8/edit?usp=sharing"",""ยะลา!L492"")"),4550.0)</f>
        <v>4550</v>
      </c>
      <c r="M597" s="445"/>
      <c r="N597" s="445">
        <f>IFERROR(__xludf.DUMMYFUNCTION("IMPORTRANGE(""https://docs.google.com/spreadsheets/d/1IYY_tgx_IHuhSq3AJ5eI5OnqOPBNLWSHKh2a30DoXe8/edit?usp=sharing"",""ยะลา!M492"")"),0.0)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IFERROR(__xludf.DUMMYFUNCTION("IMPORTRANGE(""https://docs.google.com/spreadsheets/d/1IYY_tgx_IHuhSq3AJ5eI5OnqOPBNLWSHKh2a30DoXe8/edit?usp=sharing"",""ยะลา!L493"")"),0.0)</f>
        <v>0</v>
      </c>
      <c r="M598" s="197"/>
      <c r="N598" s="203">
        <f>IFERROR(__xludf.DUMMYFUNCTION("IMPORTRANGE(""https://docs.google.com/spreadsheets/d/1IYY_tgx_IHuhSq3AJ5eI5OnqOPBNLWSHKh2a30DoXe8/edit?usp=sharing"",""ยะลา!M493"")"),0.0)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IFERROR(__xludf.DUMMYFUNCTION("IMPORTRANGE(""https://docs.google.com/spreadsheets/d/1IYY_tgx_IHuhSq3AJ5eI5OnqOPBNLWSHKh2a30DoXe8/edit?usp=sharing"",""ยะลา!L494"")"),4550.0)</f>
        <v>4550</v>
      </c>
      <c r="M599" s="198"/>
      <c r="N599" s="203">
        <f>IFERROR(__xludf.DUMMYFUNCTION("IMPORTRANGE(""https://docs.google.com/spreadsheets/d/1IYY_tgx_IHuhSq3AJ5eI5OnqOPBNLWSHKh2a30DoXe8/edit?usp=sharing"",""ยะลา!M494"")"),0.0)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IFERROR(__xludf.DUMMYFUNCTION("IMPORTRANGE(""https://docs.google.com/spreadsheets/d/1IYY_tgx_IHuhSq3AJ5eI5OnqOPBNLWSHKh2a30DoXe8/edit?usp=sharing"",""ยะลา!L495"")"),0.0)</f>
        <v>0</v>
      </c>
      <c r="M600" s="203"/>
      <c r="N600" s="203">
        <f>IFERROR(__xludf.DUMMYFUNCTION("IMPORTRANGE(""https://docs.google.com/spreadsheets/d/1IYY_tgx_IHuhSq3AJ5eI5OnqOPBNLWSHKh2a30DoXe8/edit?usp=sharing"",""ยะลา!M495"")"),0.0)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IFERROR(__xludf.DUMMYFUNCTION("IMPORTRANGE(""https://docs.google.com/spreadsheets/d/1IYY_tgx_IHuhSq3AJ5eI5OnqOPBNLWSHKh2a30DoXe8/edit?usp=sharing"",""ยะลา!L496"")"),4550.0)</f>
        <v>4550</v>
      </c>
      <c r="M601" s="203"/>
      <c r="N601" s="203">
        <f>IFERROR(__xludf.DUMMYFUNCTION("IMPORTRANGE(""https://docs.google.com/spreadsheets/d/1IYY_tgx_IHuhSq3AJ5eI5OnqOPBNLWSHKh2a30DoXe8/edit?usp=sharing"",""ยะลา!M496"")"),0.0)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IFERROR(__xludf.DUMMYFUNCTION("IMPORTRANGE(""https://docs.google.com/spreadsheets/d/1IYY_tgx_IHuhSq3AJ5eI5OnqOPBNLWSHKh2a30DoXe8/edit?usp=sharing"",""ยะลา!M497"")"),0.0)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IFERROR(__xludf.DUMMYFUNCTION("IMPORTRANGE(""https://docs.google.com/spreadsheets/d/1IYY_tgx_IHuhSq3AJ5eI5OnqOPBNLWSHKh2a30DoXe8/edit?usp=sharing"",""ยะลา!M498"")"),0.0)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IFERROR(__xludf.DUMMYFUNCTION("IMPORTRANGE(""https://docs.google.com/spreadsheets/d/1IYY_tgx_IHuhSq3AJ5eI5OnqOPBNLWSHKh2a30DoXe8/edit?usp=sharing"",""ยะลา!M499"")"),0.0)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IFERROR(__xludf.DUMMYFUNCTION("IMPORTRANGE(""https://docs.google.com/spreadsheets/d/1IYY_tgx_IHuhSq3AJ5eI5OnqOPBNLWSHKh2a30DoXe8/edit?usp=sharing"",""ยะลา!M500"")"),0.0)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IFERROR(__xludf.DUMMYFUNCTION("IMPORTRANGE(""https://docs.google.com/spreadsheets/d/1IYY_tgx_IHuhSq3AJ5eI5OnqOPBNLWSHKh2a30DoXe8/edit?usp=sharing"",""ยะลา!J502"")"),0.0)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IFERROR(__xludf.DUMMYFUNCTION("IMPORTRANGE(""https://docs.google.com/spreadsheets/d/1IYY_tgx_IHuhSq3AJ5eI5OnqOPBNLWSHKh2a30DoXe8/edit?usp=sharing"",""ยะลา!J503"")"),1.0)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IFERROR(__xludf.DUMMYFUNCTION("IMPORTRANGE(""https://docs.google.com/spreadsheets/d/1IYY_tgx_IHuhSq3AJ5eI5OnqOPBNLWSHKh2a30DoXe8/edit?usp=sharing"",""ยะลา!J166"")"),0.0)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IFERROR(__xludf.DUMMYFUNCTION("IMPORTRANGE(""https://docs.google.com/spreadsheets/d/1IYY_tgx_IHuhSq3AJ5eI5OnqOPBNLWSHKh2a30DoXe8/edit?usp=sharing"",""ยะลา!J166"")"),0.0)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IFERROR(__xludf.DUMMYFUNCTION("IMPORTRANGE(""https://docs.google.com/spreadsheets/d/1IYY_tgx_IHuhSq3AJ5eI5OnqOPBNLWSHKh2a30DoXe8/edit?usp=sharing"",""ยะลา!I506"")"),50.0)</f>
        <v>50</v>
      </c>
      <c r="J611" s="195">
        <f>IFERROR(__xludf.DUMMYFUNCTION("IMPORTRANGE(""https://docs.google.com/spreadsheets/d/1IYY_tgx_IHuhSq3AJ5eI5OnqOPBNLWSHKh2a30DoXe8/edit?usp=sharing"",""ยะลา!J506"")"),0.0)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IFERROR(__xludf.DUMMYFUNCTION("IMPORTRANGE(""https://docs.google.com/spreadsheets/d/1IYY_tgx_IHuhSq3AJ5eI5OnqOPBNLWSHKh2a30DoXe8/edit?usp=sharing"",""ยะลา!I507"")"),0.0)</f>
        <v>0</v>
      </c>
      <c r="J612" s="232">
        <f>IFERROR(__xludf.DUMMYFUNCTION("IMPORTRANGE(""https://docs.google.com/spreadsheets/d/1IYY_tgx_IHuhSq3AJ5eI5OnqOPBNLWSHKh2a30DoXe8/edit?usp=sharing"",""ยะลา!J507"")"),0.0)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IFERROR(__xludf.DUMMYFUNCTION("IMPORTRANGE(""https://docs.google.com/spreadsheets/d/1IYY_tgx_IHuhSq3AJ5eI5OnqOPBNLWSHKh2a30DoXe8/edit?usp=sharing"",""ยะลา!I508"")"),0.0)</f>
        <v>0</v>
      </c>
      <c r="J613" s="232">
        <f>IFERROR(__xludf.DUMMYFUNCTION("IMPORTRANGE(""https://docs.google.com/spreadsheets/d/1IYY_tgx_IHuhSq3AJ5eI5OnqOPBNLWSHKh2a30DoXe8/edit?usp=sharing"",""ยะลา!J508"")"),0.0)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IFERROR(__xludf.DUMMYFUNCTION("IMPORTRANGE(""https://docs.google.com/spreadsheets/d/1IYY_tgx_IHuhSq3AJ5eI5OnqOPBNLWSHKh2a30DoXe8/edit?usp=sharing"",""ยะลา!I509"")"),0.0)</f>
        <v>0</v>
      </c>
      <c r="J614" s="232">
        <f>IFERROR(__xludf.DUMMYFUNCTION("IMPORTRANGE(""https://docs.google.com/spreadsheets/d/1IYY_tgx_IHuhSq3AJ5eI5OnqOPBNLWSHKh2a30DoXe8/edit?usp=sharing"",""ยะลา!J509"")"),0.0)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IFERROR(__xludf.DUMMYFUNCTION("IMPORTRANGE(""https://docs.google.com/spreadsheets/d/1IYY_tgx_IHuhSq3AJ5eI5OnqOPBNLWSHKh2a30DoXe8/edit?usp=sharing"",""ยะลา!I510"")"),0.0)</f>
        <v>0</v>
      </c>
      <c r="J615" s="232">
        <f>IFERROR(__xludf.DUMMYFUNCTION("IMPORTRANGE(""https://docs.google.com/spreadsheets/d/1IYY_tgx_IHuhSq3AJ5eI5OnqOPBNLWSHKh2a30DoXe8/edit?usp=sharing"",""ยะลา!J510"")"),0.0)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IFERROR(__xludf.DUMMYFUNCTION("IMPORTRANGE(""https://docs.google.com/spreadsheets/d/1IYY_tgx_IHuhSq3AJ5eI5OnqOPBNLWSHKh2a30DoXe8/edit?usp=sharing"",""ยะลา!I511"")"),0.0)</f>
        <v>0</v>
      </c>
      <c r="J616" s="232">
        <f>IFERROR(__xludf.DUMMYFUNCTION("IMPORTRANGE(""https://docs.google.com/spreadsheets/d/1IYY_tgx_IHuhSq3AJ5eI5OnqOPBNLWSHKh2a30DoXe8/edit?usp=sharing"",""ยะลา!J511"")"),0.0)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IFERROR(__xludf.DUMMYFUNCTION("IMPORTRANGE(""https://docs.google.com/spreadsheets/d/1IYY_tgx_IHuhSq3AJ5eI5OnqOPBNLWSHKh2a30DoXe8/edit?usp=sharing"",""ยะลา!I512"")"),0.0)</f>
        <v>0</v>
      </c>
      <c r="J617" s="222">
        <f>IFERROR(__xludf.DUMMYFUNCTION("IMPORTRANGE(""https://docs.google.com/spreadsheets/d/1IYY_tgx_IHuhSq3AJ5eI5OnqOPBNLWSHKh2a30DoXe8/edit?usp=sharing"",""ยะลา!J512"")"),0.0)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IFERROR(__xludf.DUMMYFUNCTION("IMPORTRANGE(""https://docs.google.com/spreadsheets/d/1IYY_tgx_IHuhSq3AJ5eI5OnqOPBNLWSHKh2a30DoXe8/edit?usp=sharing"",""ยะลา!I513"")"),0.0)</f>
        <v>0</v>
      </c>
      <c r="J618" s="223">
        <f>IFERROR(__xludf.DUMMYFUNCTION("IMPORTRANGE(""https://docs.google.com/spreadsheets/d/1IYY_tgx_IHuhSq3AJ5eI5OnqOPBNLWSHKh2a30DoXe8/edit?usp=sharing"",""ยะลา!J513"")"),0.0)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IFERROR(__xludf.DUMMYFUNCTION("IMPORTRANGE(""https://docs.google.com/spreadsheets/d/1IYY_tgx_IHuhSq3AJ5eI5OnqOPBNLWSHKh2a30DoXe8/edit?usp=sharing"",""ยะลา!I514"")"),0.0)</f>
        <v>0</v>
      </c>
      <c r="J619" s="223">
        <f>IFERROR(__xludf.DUMMYFUNCTION("IMPORTRANGE(""https://docs.google.com/spreadsheets/d/1IYY_tgx_IHuhSq3AJ5eI5OnqOPBNLWSHKh2a30DoXe8/edit?usp=sharing"",""ยะลา!J514"")"),0.0)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IFERROR(__xludf.DUMMYFUNCTION("IMPORTRANGE(""https://docs.google.com/spreadsheets/d/1IYY_tgx_IHuhSq3AJ5eI5OnqOPBNLWSHKh2a30DoXe8/edit?usp=sharing"",""ยะลา!I515"")"),0.0)</f>
        <v>0</v>
      </c>
      <c r="J620" s="237">
        <f>IFERROR(__xludf.DUMMYFUNCTION("IMPORTRANGE(""https://docs.google.com/spreadsheets/d/1IYY_tgx_IHuhSq3AJ5eI5OnqOPBNLWSHKh2a30DoXe8/edit?usp=sharing"",""ยะลา!J515"")"),0.0)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IFERROR(__xludf.DUMMYFUNCTION("IMPORTRANGE(""https://docs.google.com/spreadsheets/d/1IYY_tgx_IHuhSq3AJ5eI5OnqOPBNLWSHKh2a30DoXe8/edit?usp=sharing"",""ยะลา!I516"")"),0.0)</f>
        <v>0</v>
      </c>
      <c r="J621" s="237">
        <f>IFERROR(__xludf.DUMMYFUNCTION("IMPORTRANGE(""https://docs.google.com/spreadsheets/d/1IYY_tgx_IHuhSq3AJ5eI5OnqOPBNLWSHKh2a30DoXe8/edit?usp=sharing"",""ยะลา!J516"")"),0.0)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IFERROR(__xludf.DUMMYFUNCTION("IMPORTRANGE(""https://docs.google.com/spreadsheets/d/1IYY_tgx_IHuhSq3AJ5eI5OnqOPBNLWSHKh2a30DoXe8/edit?usp=sharing"",""ยะลา!I517"")"),0.0)</f>
        <v>0</v>
      </c>
      <c r="J622" s="223">
        <f>IFERROR(__xludf.DUMMYFUNCTION("IMPORTRANGE(""https://docs.google.com/spreadsheets/d/1IYY_tgx_IHuhSq3AJ5eI5OnqOPBNLWSHKh2a30DoXe8/edit?usp=sharing"",""ยะลา!J517"")"),0.0)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IFERROR(__xludf.DUMMYFUNCTION("IMPORTRANGE(""https://docs.google.com/spreadsheets/d/1IYY_tgx_IHuhSq3AJ5eI5OnqOPBNLWSHKh2a30DoXe8/edit?usp=sharing"",""ยะลา!I518"")"),0.0)</f>
        <v>0</v>
      </c>
      <c r="J623" s="223">
        <f>IFERROR(__xludf.DUMMYFUNCTION("IMPORTRANGE(""https://docs.google.com/spreadsheets/d/1IYY_tgx_IHuhSq3AJ5eI5OnqOPBNLWSHKh2a30DoXe8/edit?usp=sharing"",""ยะลา!J518"")"),0.0)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IFERROR(__xludf.DUMMYFUNCTION("IMPORTRANGE(""https://docs.google.com/spreadsheets/d/1IYY_tgx_IHuhSq3AJ5eI5OnqOPBNLWSHKh2a30DoXe8/edit?usp=sharing"",""ยะลา!I519"")"),0.0)</f>
        <v>0</v>
      </c>
      <c r="J624" s="222">
        <f>IFERROR(__xludf.DUMMYFUNCTION("IMPORTRANGE(""https://docs.google.com/spreadsheets/d/1IYY_tgx_IHuhSq3AJ5eI5OnqOPBNLWSHKh2a30DoXe8/edit?usp=sharing"",""ยะลา!J519"")"),0.0)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IFERROR(__xludf.DUMMYFUNCTION("IMPORTRANGE(""https://docs.google.com/spreadsheets/d/1IYY_tgx_IHuhSq3AJ5eI5OnqOPBNLWSHKh2a30DoXe8/edit?usp=sharing"",""ยะลา!I520"")"),0.0)</f>
        <v>0</v>
      </c>
      <c r="J625" s="223">
        <f>IFERROR(__xludf.DUMMYFUNCTION("IMPORTRANGE(""https://docs.google.com/spreadsheets/d/1IYY_tgx_IHuhSq3AJ5eI5OnqOPBNLWSHKh2a30DoXe8/edit?usp=sharing"",""ยะลา!J520"")"),0.0)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IFERROR(__xludf.DUMMYFUNCTION("IMPORTRANGE(""https://docs.google.com/spreadsheets/d/1IYY_tgx_IHuhSq3AJ5eI5OnqOPBNLWSHKh2a30DoXe8/edit?usp=sharing"",""ยะลา!I521"")"),0.0)</f>
        <v>0</v>
      </c>
      <c r="J626" s="223">
        <f>IFERROR(__xludf.DUMMYFUNCTION("IMPORTRANGE(""https://docs.google.com/spreadsheets/d/1IYY_tgx_IHuhSq3AJ5eI5OnqOPBNLWSHKh2a30DoXe8/edit?usp=sharing"",""ยะลา!J521"")"),0.0)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IFERROR(__xludf.DUMMYFUNCTION("IMPORTRANGE(""https://docs.google.com/spreadsheets/d/1IYY_tgx_IHuhSq3AJ5eI5OnqOPBNLWSHKh2a30DoXe8/edit?usp=sharing"",""ยะลา!I523"")"),598614.42)</f>
        <v>598614.42</v>
      </c>
      <c r="J628" s="374">
        <f>IFERROR(__xludf.DUMMYFUNCTION("IMPORTRANGE(""https://docs.google.com/spreadsheets/d/1IYY_tgx_IHuhSq3AJ5eI5OnqOPBNLWSHKh2a30DoXe8/edit?usp=sharing"",""ยะลา!J523"")"),42407.77)</f>
        <v>42407.77</v>
      </c>
      <c r="K628" s="375">
        <f t="shared" ref="K628:K635" si="130">IF(I628&gt;0,J628*100/I628,0)</f>
        <v>7.08432149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IFERROR(__xludf.DUMMYFUNCTION("IMPORTRANGE(""https://docs.google.com/spreadsheets/d/1IYY_tgx_IHuhSq3AJ5eI5OnqOPBNLWSHKh2a30DoXe8/edit?usp=sharing"",""ยะลา!I524"")"),52.0)</f>
        <v>52</v>
      </c>
      <c r="J629" s="374">
        <f>IFERROR(__xludf.DUMMYFUNCTION("IMPORTRANGE(""https://docs.google.com/spreadsheets/d/1IYY_tgx_IHuhSq3AJ5eI5OnqOPBNLWSHKh2a30DoXe8/edit?usp=sharing"",""ยะลา!J524"")"),7.0)</f>
        <v>7</v>
      </c>
      <c r="K629" s="375">
        <f t="shared" si="130"/>
        <v>13.46153846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IFERROR(__xludf.DUMMYFUNCTION("IMPORTRANGE(""https://docs.google.com/spreadsheets/d/1IYY_tgx_IHuhSq3AJ5eI5OnqOPBNLWSHKh2a30DoXe8/edit?usp=sharing"",""ยะลา!I525"")"),17653.7)</f>
        <v>17653.7</v>
      </c>
      <c r="J630" s="374">
        <f>IFERROR(__xludf.DUMMYFUNCTION("IMPORTRANGE(""https://docs.google.com/spreadsheets/d/1IYY_tgx_IHuhSq3AJ5eI5OnqOPBNLWSHKh2a30DoXe8/edit?usp=sharing"",""ยะลา!J525"")"),21752.1)</f>
        <v>21752.1</v>
      </c>
      <c r="K630" s="375">
        <f t="shared" si="130"/>
        <v>123.2155299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IFERROR(__xludf.DUMMYFUNCTION("IMPORTRANGE(""https://docs.google.com/spreadsheets/d/1IYY_tgx_IHuhSq3AJ5eI5OnqOPBNLWSHKh2a30DoXe8/edit?usp=sharing"",""ยะลา!I526"")"),1.0)</f>
        <v>1</v>
      </c>
      <c r="J631" s="374">
        <f>IFERROR(__xludf.DUMMYFUNCTION("IMPORTRANGE(""https://docs.google.com/spreadsheets/d/1IYY_tgx_IHuhSq3AJ5eI5OnqOPBNLWSHKh2a30DoXe8/edit?usp=sharing"",""ยะลา!J526"")"),5.0)</f>
        <v>5</v>
      </c>
      <c r="K631" s="375">
        <f t="shared" si="130"/>
        <v>500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IFERROR(__xludf.DUMMYFUNCTION("IMPORTRANGE(""https://docs.google.com/spreadsheets/d/1IYY_tgx_IHuhSq3AJ5eI5OnqOPBNLWSHKh2a30DoXe8/edit?usp=sharing"",""ยะลา!I527"")"),52342.67)</f>
        <v>52342.67</v>
      </c>
      <c r="J632" s="374">
        <f>IFERROR(__xludf.DUMMYFUNCTION("IMPORTRANGE(""https://docs.google.com/spreadsheets/d/1IYY_tgx_IHuhSq3AJ5eI5OnqOPBNLWSHKh2a30DoXe8/edit?usp=sharing"",""ยะลา!J527"")"),6797.46)</f>
        <v>6797.46</v>
      </c>
      <c r="K632" s="375">
        <f t="shared" si="130"/>
        <v>12.98646019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IFERROR(__xludf.DUMMYFUNCTION("IMPORTRANGE(""https://docs.google.com/spreadsheets/d/1IYY_tgx_IHuhSq3AJ5eI5OnqOPBNLWSHKh2a30DoXe8/edit?usp=sharing"",""ยะลา!I528"")"),149.0)</f>
        <v>149</v>
      </c>
      <c r="J633" s="374">
        <f>IFERROR(__xludf.DUMMYFUNCTION("IMPORTRANGE(""https://docs.google.com/spreadsheets/d/1IYY_tgx_IHuhSq3AJ5eI5OnqOPBNLWSHKh2a30DoXe8/edit?usp=sharing"",""ยะลา!J528"")"),15.0)</f>
        <v>15</v>
      </c>
      <c r="K633" s="375">
        <f t="shared" si="130"/>
        <v>10.06711409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IFERROR(__xludf.DUMMYFUNCTION("IMPORTRANGE(""https://docs.google.com/spreadsheets/d/1IYY_tgx_IHuhSq3AJ5eI5OnqOPBNLWSHKh2a30DoXe8/edit?usp=sharing"",""ยะลา!I529"")"),0.0)</f>
        <v>0</v>
      </c>
      <c r="J634" s="374">
        <f>IFERROR(__xludf.DUMMYFUNCTION("IMPORTRANGE(""https://docs.google.com/spreadsheets/d/1IYY_tgx_IHuhSq3AJ5eI5OnqOPBNLWSHKh2a30DoXe8/edit?usp=sharing"",""ยะลา!J529"")"),0.0)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IFERROR(__xludf.DUMMYFUNCTION("IMPORTRANGE(""https://docs.google.com/spreadsheets/d/1IYY_tgx_IHuhSq3AJ5eI5OnqOPBNLWSHKh2a30DoXe8/edit?usp=sharing"",""ยะลา!I530"")"),0.0)</f>
        <v>0</v>
      </c>
      <c r="J635" s="544">
        <f>IFERROR(__xludf.DUMMYFUNCTION("IMPORTRANGE(""https://docs.google.com/spreadsheets/d/1IYY_tgx_IHuhSq3AJ5eI5OnqOPBNLWSHKh2a30DoXe8/edit?usp=sharing"",""ยะลา!J530"")"),0.0)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261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4249072</v>
      </c>
      <c r="M8" s="41">
        <f t="shared" si="1"/>
        <v>1055415</v>
      </c>
      <c r="N8" s="41">
        <f t="shared" si="1"/>
        <v>1796526</v>
      </c>
      <c r="O8" s="40">
        <f t="shared" ref="O8:O16" si="3">IF(L8&gt;0,N8*100/L8,0)</f>
        <v>42.28043206</v>
      </c>
      <c r="P8" s="40">
        <f t="shared" ref="P8:P16" si="4">IF(M8&gt;0,N8*100/M8,0)</f>
        <v>170.2198661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4249072</v>
      </c>
      <c r="M10" s="48">
        <f t="shared" si="5"/>
        <v>1055415</v>
      </c>
      <c r="N10" s="48">
        <f t="shared" si="5"/>
        <v>1796526</v>
      </c>
      <c r="O10" s="47">
        <f t="shared" si="3"/>
        <v>42.28043206</v>
      </c>
      <c r="P10" s="47">
        <f t="shared" si="4"/>
        <v>170.2198661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3566672</v>
      </c>
      <c r="M12" s="58">
        <f t="shared" si="7"/>
        <v>1055415</v>
      </c>
      <c r="N12" s="58">
        <f t="shared" si="7"/>
        <v>1208526</v>
      </c>
      <c r="O12" s="58">
        <f t="shared" si="3"/>
        <v>33.88385587</v>
      </c>
      <c r="P12" s="58">
        <f t="shared" si="4"/>
        <v>114.5071844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1565000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2001672</v>
      </c>
      <c r="M14" s="58">
        <f t="shared" si="9"/>
        <v>0</v>
      </c>
      <c r="N14" s="58">
        <f t="shared" si="9"/>
        <v>468052</v>
      </c>
      <c r="O14" s="61">
        <f t="shared" si="3"/>
        <v>23.38305177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682400</v>
      </c>
      <c r="M16" s="58">
        <f t="shared" si="11"/>
        <v>0</v>
      </c>
      <c r="N16" s="58">
        <f t="shared" si="11"/>
        <v>588000</v>
      </c>
      <c r="O16" s="70">
        <f t="shared" si="3"/>
        <v>86.16647128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2684745</v>
      </c>
      <c r="M18" s="41">
        <f t="shared" si="12"/>
        <v>1055415</v>
      </c>
      <c r="N18" s="41">
        <f t="shared" si="12"/>
        <v>1328474</v>
      </c>
      <c r="O18" s="40">
        <f t="shared" ref="O18:O20" si="14">IF(L18&gt;0,N18*100/L18,0)</f>
        <v>49.48231583</v>
      </c>
      <c r="P18" s="40">
        <f t="shared" ref="P18:P26" si="15">IF(M18&gt;0,N18*100/M18,0)</f>
        <v>125.8721925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2684745</v>
      </c>
      <c r="M20" s="48">
        <f t="shared" si="16"/>
        <v>1055415</v>
      </c>
      <c r="N20" s="48">
        <f t="shared" si="16"/>
        <v>1328474</v>
      </c>
      <c r="O20" s="47">
        <f t="shared" si="14"/>
        <v>49.48231583</v>
      </c>
      <c r="P20" s="47">
        <f t="shared" si="15"/>
        <v>125.8721925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2002345</v>
      </c>
      <c r="M22" s="62">
        <f t="shared" si="18"/>
        <v>1055415</v>
      </c>
      <c r="N22" s="61">
        <f t="shared" si="18"/>
        <v>740474</v>
      </c>
      <c r="O22" s="61">
        <f t="shared" si="19"/>
        <v>36.98034055</v>
      </c>
      <c r="P22" s="61">
        <f t="shared" si="15"/>
        <v>70.15951071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1565000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437345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682400</v>
      </c>
      <c r="M26" s="70">
        <f t="shared" si="23"/>
        <v>0</v>
      </c>
      <c r="N26" s="70">
        <f t="shared" si="23"/>
        <v>588000</v>
      </c>
      <c r="O26" s="70">
        <f t="shared" si="19"/>
        <v>86.16647128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1564327</v>
      </c>
      <c r="M28" s="41">
        <f t="shared" si="24"/>
        <v>0</v>
      </c>
      <c r="N28" s="41">
        <f t="shared" si="24"/>
        <v>468052</v>
      </c>
      <c r="O28" s="40">
        <f t="shared" ref="O28:O30" si="26">IF(L28&gt;0,N28*100/L28,0)</f>
        <v>29.92034274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1564327</v>
      </c>
      <c r="M30" s="48">
        <f t="shared" si="28"/>
        <v>0</v>
      </c>
      <c r="N30" s="48">
        <f t="shared" si="28"/>
        <v>468052</v>
      </c>
      <c r="O30" s="47">
        <f t="shared" si="26"/>
        <v>29.92034274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1564327</v>
      </c>
      <c r="M32" s="61">
        <f t="shared" si="30"/>
        <v>0</v>
      </c>
      <c r="N32" s="61">
        <f t="shared" si="30"/>
        <v>468052</v>
      </c>
      <c r="O32" s="61">
        <f t="shared" si="31"/>
        <v>29.92034274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1564327</v>
      </c>
      <c r="M34" s="61">
        <f t="shared" si="33"/>
        <v>0</v>
      </c>
      <c r="N34" s="61">
        <f t="shared" si="33"/>
        <v>468052</v>
      </c>
      <c r="O34" s="61">
        <f t="shared" si="31"/>
        <v>29.92034274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2684745</v>
      </c>
      <c r="M37" s="75">
        <f t="shared" si="34"/>
        <v>1055415</v>
      </c>
      <c r="N37" s="75">
        <f t="shared" si="34"/>
        <v>1328474</v>
      </c>
      <c r="O37" s="76">
        <f t="shared" si="31"/>
        <v>49.48231583</v>
      </c>
      <c r="P37" s="76">
        <f t="shared" si="27"/>
        <v>125.8721925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1228000</v>
      </c>
      <c r="M41" s="102">
        <f t="shared" si="35"/>
        <v>318900</v>
      </c>
      <c r="N41" s="102">
        <f t="shared" si="35"/>
        <v>837725</v>
      </c>
      <c r="O41" s="101">
        <f t="shared" ref="O41:O43" si="37">IF(L41&gt;0,N41*100/L41,0)</f>
        <v>68.21864821</v>
      </c>
      <c r="P41" s="101">
        <f t="shared" ref="P41:P43" si="38">IF(M41&gt;0,N41*100/M41,0)</f>
        <v>262.6920665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1228000</v>
      </c>
      <c r="M43" s="102">
        <f t="shared" si="39"/>
        <v>318900</v>
      </c>
      <c r="N43" s="102">
        <f t="shared" si="39"/>
        <v>837725</v>
      </c>
      <c r="O43" s="101">
        <f t="shared" si="37"/>
        <v>68.21864821</v>
      </c>
      <c r="P43" s="101">
        <f t="shared" si="38"/>
        <v>262.6920665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638000</v>
      </c>
      <c r="M45" s="115">
        <f>IFERROR(__xludf.DUMMYFUNCTION("IMPORTRANGE(""https://docs.google.com/spreadsheets/d/1Yj_ptqi66GCucihVvJfMjLAmec39IyEx_6qawtMGysU/edit?usp=sharing"",""สบก!Q91"")"),318900.0)</f>
        <v>318900</v>
      </c>
      <c r="N45" s="115">
        <f>IFERROR(__xludf.DUMMYFUNCTION("IMPORTRANGE(""https://docs.google.com/spreadsheets/d/1Yj_ptqi66GCucihVvJfMjLAmec39IyEx_6qawtMGysU/edit?usp=sharing"",""สบก!R91"")"),249725.0)</f>
        <v>249725</v>
      </c>
      <c r="O45" s="116">
        <f>IF(L45&gt;0,N45*100/L45,0)</f>
        <v>39.14184953</v>
      </c>
      <c r="P45" s="116">
        <f>IF(M45&gt;0,N45*100/M45,0)</f>
        <v>78.3082471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IFERROR(__xludf.DUMMYFUNCTION("IMPORTRANGE(""https://docs.google.com/spreadsheets/d/1Yj_ptqi66GCucihVvJfMjLAmec39IyEx_6qawtMGysU/edit?usp=sharing"",""สบก!M91"")"),638000.0)</f>
        <v>638000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IFERROR(__xludf.DUMMYFUNCTION("IMPORTRANGE(""https://docs.google.com/spreadsheets/d/1Yj_ptqi66GCucihVvJfMjLAmec39IyEx_6qawtMGysU/edit?usp=sharing"",""สบก!N91"")"),0.0)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IFERROR(__xludf.DUMMYFUNCTION("IMPORTRANGE(""https://docs.google.com/spreadsheets/d/1Yj_ptqi66GCucihVvJfMjLAmec39IyEx_6qawtMGysU/edit?usp=sharing"",""สบก!O91"")"),590000.0)</f>
        <v>590000</v>
      </c>
      <c r="M49" s="125"/>
      <c r="N49" s="115">
        <f>IFERROR(__xludf.DUMMYFUNCTION("IMPORTRANGE(""https://docs.google.com/spreadsheets/d/1Yj_ptqi66GCucihVvJfMjLAmec39IyEx_6qawtMGysU/edit?usp=sharing"",""สบก!S91"")"),588000.0)</f>
        <v>588000</v>
      </c>
      <c r="O49" s="125">
        <f>IF(L49&gt;0,N49*100/L49,0)</f>
        <v>99.66101695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150000</v>
      </c>
      <c r="M53" s="151">
        <f t="shared" si="40"/>
        <v>93000</v>
      </c>
      <c r="N53" s="151">
        <f t="shared" si="40"/>
        <v>78946</v>
      </c>
      <c r="O53" s="150">
        <f t="shared" ref="O53:O55" si="42">IF(L53&gt;0,N53*100/L53,0)</f>
        <v>52.63066667</v>
      </c>
      <c r="P53" s="150">
        <f t="shared" ref="P53:P55" si="43">IF(M53&gt;0,N53*100/M53,0)</f>
        <v>84.88817204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150000</v>
      </c>
      <c r="M55" s="151">
        <f t="shared" si="44"/>
        <v>93000</v>
      </c>
      <c r="N55" s="151">
        <f t="shared" si="44"/>
        <v>78946</v>
      </c>
      <c r="O55" s="150">
        <f t="shared" si="42"/>
        <v>52.63066667</v>
      </c>
      <c r="P55" s="150">
        <f t="shared" si="43"/>
        <v>84.88817204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150000</v>
      </c>
      <c r="M57" s="115">
        <f>IFERROR(__xludf.DUMMYFUNCTION("IMPORTRANGE(""https://docs.google.com/spreadsheets/d/1Yj_ptqi66GCucihVvJfMjLAmec39IyEx_6qawtMGysU/edit?usp=sharing"",""สบก!Z91"")"),93000.0)</f>
        <v>93000</v>
      </c>
      <c r="N57" s="115">
        <f>IFERROR(__xludf.DUMMYFUNCTION("IMPORTRANGE(""https://docs.google.com/spreadsheets/d/1Yj_ptqi66GCucihVvJfMjLAmec39IyEx_6qawtMGysU/edit?usp=sharing"",""สบก!AA91"")"),78946.0)</f>
        <v>78946</v>
      </c>
      <c r="O57" s="116">
        <f>IF(L57&gt;0,N57*100/L57,0)</f>
        <v>52.63066667</v>
      </c>
      <c r="P57" s="116">
        <f>IF(M57&gt;0,N57*100/M57,0)</f>
        <v>84.88817204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IFERROR(__xludf.DUMMYFUNCTION("IMPORTRANGE(""https://docs.google.com/spreadsheets/d/1Yj_ptqi66GCucihVvJfMjLAmec39IyEx_6qawtMGysU/edit?usp=sharing"",""สบก!V91"")"),150000.0)</f>
        <v>150000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IFERROR(__xludf.DUMMYFUNCTION("IMPORTRANGE(""https://docs.google.com/spreadsheets/d/1Yj_ptqi66GCucihVvJfMjLAmec39IyEx_6qawtMGysU/edit?usp=sharing"",""สบก!W91"")"),0.0)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IFERROR(__xludf.DUMMYFUNCTION("IMPORTRANGE(""https://docs.google.com/spreadsheets/d/1Yj_ptqi66GCucihVvJfMjLAmec39IyEx_6qawtMGysU/edit?usp=sharing"",""สบก!X91"")"),0.0)</f>
        <v>0</v>
      </c>
      <c r="M61" s="125"/>
      <c r="N61" s="115">
        <f>IFERROR(__xludf.DUMMYFUNCTION("IMPORTRANGE(""https://docs.google.com/spreadsheets/d/1Yj_ptqi66GCucihVvJfMjLAmec39IyEx_6qawtMGysU/edit?usp=sharing"",""สบก!AB91"")"),0.0)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IFERROR(__xludf.DUMMYFUNCTION("IMPORTRANGE(""https://docs.google.com/spreadsheets/d/1IYY_tgx_IHuhSq3AJ5eI5OnqOPBNLWSHKh2a30DoXe8/edit?usp=sharing"",""ระนอง!I9"")"),0.0)</f>
        <v>0</v>
      </c>
      <c r="J64" s="172">
        <f>IFERROR(__xludf.DUMMYFUNCTION("IMPORTRANGE(""https://docs.google.com/spreadsheets/d/1IYY_tgx_IHuhSq3AJ5eI5OnqOPBNLWSHKh2a30DoXe8/edit?usp=sharing"",""ระนอง!J9"")"),0.0)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IFERROR(__xludf.DUMMYFUNCTION("IMPORTRANGE(""https://docs.google.com/spreadsheets/d/1IYY_tgx_IHuhSq3AJ5eI5OnqOPBNLWSHKh2a30DoXe8/edit?usp=sharing"",""ระนอง!I10"")"),0.0)</f>
        <v>0</v>
      </c>
      <c r="J65" s="172">
        <f>IFERROR(__xludf.DUMMYFUNCTION("IMPORTRANGE(""https://docs.google.com/spreadsheets/d/1IYY_tgx_IHuhSq3AJ5eI5OnqOPBNLWSHKh2a30DoXe8/edit?usp=sharing"",""ระนอง!J10"")"),0.0)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IFERROR(__xludf.DUMMYFUNCTION("IMPORTRANGE(""https://docs.google.com/spreadsheets/d/1Yj_ptqi66GCucihVvJfMjLAmec39IyEx_6qawtMGysU/edit?usp=sharing"",""สบก!AI91"")"),0.0)</f>
        <v>0</v>
      </c>
      <c r="N70" s="202">
        <f>IFERROR(__xludf.DUMMYFUNCTION("IMPORTRANGE(""https://docs.google.com/spreadsheets/d/1Yj_ptqi66GCucihVvJfMjLAmec39IyEx_6qawtMGysU/edit?usp=sharing"",""สบก!AJ91"")"),0.0)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IFERROR(__xludf.DUMMYFUNCTION("IMPORTRANGE(""https://docs.google.com/spreadsheets/d/1Yj_ptqi66GCucihVvJfMjLAmec39IyEx_6qawtMGysU/edit?usp=sharing"",""สบก!AE91"")"),0.0)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IFERROR(__xludf.DUMMYFUNCTION("IMPORTRANGE(""https://docs.google.com/spreadsheets/d/1Yj_ptqi66GCucihVvJfMjLAmec39IyEx_6qawtMGysU/edit?usp=sharing"",""สบก!AF91"")"),0.0)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IFERROR(__xludf.DUMMYFUNCTION("IMPORTRANGE(""https://docs.google.com/spreadsheets/d/1Yj_ptqi66GCucihVvJfMjLAmec39IyEx_6qawtMGysU/edit?usp=sharing"",""สบก!AG91"")"),0.0)</f>
        <v>0</v>
      </c>
      <c r="M74" s="125"/>
      <c r="N74" s="115">
        <f>IFERROR(__xludf.DUMMYFUNCTION("IMPORTRANGE(""https://docs.google.com/spreadsheets/d/1Yj_ptqi66GCucihVvJfMjLAmec39IyEx_6qawtMGysU/edit?usp=sharing"",""สบก!AK91"")"),0.0)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IFERROR(__xludf.DUMMYFUNCTION("IMPORTRANGE(""https://docs.google.com/spreadsheets/d/1IYY_tgx_IHuhSq3AJ5eI5OnqOPBNLWSHKh2a30DoXe8/edit?usp=sharing"",""ระนอง!J16"")"),0.0)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IFERROR(__xludf.DUMMYFUNCTION("IMPORTRANGE(""https://docs.google.com/spreadsheets/d/1IYY_tgx_IHuhSq3AJ5eI5OnqOPBNLWSHKh2a30DoXe8/edit?usp=sharing"",""ระนอง!J17"")"),0.0)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IFERROR(__xludf.DUMMYFUNCTION("IMPORTRANGE(""https://docs.google.com/spreadsheets/d/1IYY_tgx_IHuhSq3AJ5eI5OnqOPBNLWSHKh2a30DoXe8/edit?usp=sharing"",""ระนอง!J18"")"),0.0)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IFERROR(__xludf.DUMMYFUNCTION("IMPORTRANGE(""https://docs.google.com/spreadsheets/d/1IYY_tgx_IHuhSq3AJ5eI5OnqOPBNLWSHKh2a30DoXe8/edit?usp=sharing"",""ระนอง!J19"")"),0.0)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IFERROR(__xludf.DUMMYFUNCTION("IMPORTRANGE(""https://docs.google.com/spreadsheets/d/1IYY_tgx_IHuhSq3AJ5eI5OnqOPBNLWSHKh2a30DoXe8/edit?usp=sharing"",""ระนอง!I20"")"),0.0)</f>
        <v>0</v>
      </c>
      <c r="J80" s="235">
        <f>IFERROR(__xludf.DUMMYFUNCTION("IMPORTRANGE(""https://docs.google.com/spreadsheets/d/1IYY_tgx_IHuhSq3AJ5eI5OnqOPBNLWSHKh2a30DoXe8/edit?usp=sharing"",""ระนอง!J20"")"),0.0)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IFERROR(__xludf.DUMMYFUNCTION("IMPORTRANGE(""https://docs.google.com/spreadsheets/d/1IYY_tgx_IHuhSq3AJ5eI5OnqOPBNLWSHKh2a30DoXe8/edit?usp=sharing"",""ระนอง!I21"")"),0.0)</f>
        <v>0</v>
      </c>
      <c r="J81" s="235">
        <f>IFERROR(__xludf.DUMMYFUNCTION("IMPORTRANGE(""https://docs.google.com/spreadsheets/d/1IYY_tgx_IHuhSq3AJ5eI5OnqOPBNLWSHKh2a30DoXe8/edit?usp=sharing"",""ระนอง!J21"")"),0.0)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IFERROR(__xludf.DUMMYFUNCTION("IMPORTRANGE(""https://docs.google.com/spreadsheets/d/1IYY_tgx_IHuhSq3AJ5eI5OnqOPBNLWSHKh2a30DoXe8/edit?usp=sharing"",""ระนอง!I22"")"),0.0)</f>
        <v>0</v>
      </c>
      <c r="J82" s="238">
        <f>IFERROR(__xludf.DUMMYFUNCTION("IMPORTRANGE(""https://docs.google.com/spreadsheets/d/1IYY_tgx_IHuhSq3AJ5eI5OnqOPBNLWSHKh2a30DoXe8/edit?usp=sharing"",""ระนอง!J22"")"),0.0)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IFERROR(__xludf.DUMMYFUNCTION("IMPORTRANGE(""https://docs.google.com/spreadsheets/d/1IYY_tgx_IHuhSq3AJ5eI5OnqOPBNLWSHKh2a30DoXe8/edit?usp=sharing"",""ระนอง!I23"")"),0.0)</f>
        <v>0</v>
      </c>
      <c r="J83" s="238">
        <f>IFERROR(__xludf.DUMMYFUNCTION("IMPORTRANGE(""https://docs.google.com/spreadsheets/d/1IYY_tgx_IHuhSq3AJ5eI5OnqOPBNLWSHKh2a30DoXe8/edit?usp=sharing"",""ระนอง!J23"")"),0.0)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IFERROR(__xludf.DUMMYFUNCTION("IMPORTRANGE(""https://docs.google.com/spreadsheets/d/1IYY_tgx_IHuhSq3AJ5eI5OnqOPBNLWSHKh2a30DoXe8/edit?usp=sharing"",""ระนอง!I24"")"),0.0)</f>
        <v>0</v>
      </c>
      <c r="J84" s="223">
        <f>IFERROR(__xludf.DUMMYFUNCTION("IMPORTRANGE(""https://docs.google.com/spreadsheets/d/1IYY_tgx_IHuhSq3AJ5eI5OnqOPBNLWSHKh2a30DoXe8/edit?usp=sharing"",""ระนอง!J24"")"),0.0)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IFERROR(__xludf.DUMMYFUNCTION("IMPORTRANGE(""https://docs.google.com/spreadsheets/d/1IYY_tgx_IHuhSq3AJ5eI5OnqOPBNLWSHKh2a30DoXe8/edit?usp=sharing"",""ระนอง!I25"")"),0.0)</f>
        <v>0</v>
      </c>
      <c r="J85" s="223">
        <f>IFERROR(__xludf.DUMMYFUNCTION("IMPORTRANGE(""https://docs.google.com/spreadsheets/d/1IYY_tgx_IHuhSq3AJ5eI5OnqOPBNLWSHKh2a30DoXe8/edit?usp=sharing"",""ระนอง!J25"")"),0.0)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IFERROR(__xludf.DUMMYFUNCTION("IMPORTRANGE(""https://docs.google.com/spreadsheets/d/1IYY_tgx_IHuhSq3AJ5eI5OnqOPBNLWSHKh2a30DoXe8/edit?usp=sharing"",""ระนอง!I26"")"),0.0)</f>
        <v>0</v>
      </c>
      <c r="J86" s="238">
        <f>IFERROR(__xludf.DUMMYFUNCTION("IMPORTRANGE(""https://docs.google.com/spreadsheets/d/1IYY_tgx_IHuhSq3AJ5eI5OnqOPBNLWSHKh2a30DoXe8/edit?usp=sharing"",""ระนอง!J26"")"),0.0)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IFERROR(__xludf.DUMMYFUNCTION("IMPORTRANGE(""https://docs.google.com/spreadsheets/d/1IYY_tgx_IHuhSq3AJ5eI5OnqOPBNLWSHKh2a30DoXe8/edit?usp=sharing"",""ระนอง!I27"")"),0.0)</f>
        <v>0</v>
      </c>
      <c r="J87" s="238">
        <f>IFERROR(__xludf.DUMMYFUNCTION("IMPORTRANGE(""https://docs.google.com/spreadsheets/d/1IYY_tgx_IHuhSq3AJ5eI5OnqOPBNLWSHKh2a30DoXe8/edit?usp=sharing"",""ระนอง!J27"")"),0.0)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IFERROR(__xludf.DUMMYFUNCTION("IMPORTRANGE(""https://docs.google.com/spreadsheets/d/1IYY_tgx_IHuhSq3AJ5eI5OnqOPBNLWSHKh2a30DoXe8/edit?usp=sharing"",""ระนอง!I28"")"),0.0)</f>
        <v>0</v>
      </c>
      <c r="J88" s="238">
        <f>IFERROR(__xludf.DUMMYFUNCTION("IMPORTRANGE(""https://docs.google.com/spreadsheets/d/1IYY_tgx_IHuhSq3AJ5eI5OnqOPBNLWSHKh2a30DoXe8/edit?usp=sharing"",""ระนอง!J28"")"),0.0)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IFERROR(__xludf.DUMMYFUNCTION("IMPORTRANGE(""https://docs.google.com/spreadsheets/d/1IYY_tgx_IHuhSq3AJ5eI5OnqOPBNLWSHKh2a30DoXe8/edit?usp=sharing"",""ระนอง!J29"")"),0.0)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IFERROR(__xludf.DUMMYFUNCTION("IMPORTRANGE(""https://docs.google.com/spreadsheets/d/1IYY_tgx_IHuhSq3AJ5eI5OnqOPBNLWSHKh2a30DoXe8/edit?usp=sharing"",""ระนอง!J30"")"),0.0)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IFERROR(__xludf.DUMMYFUNCTION("IMPORTRANGE(""https://docs.google.com/spreadsheets/d/1IYY_tgx_IHuhSq3AJ5eI5OnqOPBNLWSHKh2a30DoXe8/edit?usp=sharing"",""ระนอง!I32"")"),4.0)</f>
        <v>4</v>
      </c>
      <c r="J92" s="172">
        <f>IFERROR(__xludf.DUMMYFUNCTION("IMPORTRANGE(""https://docs.google.com/spreadsheets/d/1IYY_tgx_IHuhSq3AJ5eI5OnqOPBNLWSHKh2a30DoXe8/edit?usp=sharing"",""ระนอง!J32"")"),0.0)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IFERROR(__xludf.DUMMYFUNCTION("IMPORTRANGE(""https://docs.google.com/spreadsheets/d/1IYY_tgx_IHuhSq3AJ5eI5OnqOPBNLWSHKh2a30DoXe8/edit?usp=sharing"",""ระนอง!I33"")"),1.0)</f>
        <v>1</v>
      </c>
      <c r="J93" s="172">
        <f>IFERROR(__xludf.DUMMYFUNCTION("IMPORTRANGE(""https://docs.google.com/spreadsheets/d/1IYY_tgx_IHuhSq3AJ5eI5OnqOPBNLWSHKh2a30DoXe8/edit?usp=sharing"",""ระนอง!J33"")"),0.0)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21860</v>
      </c>
      <c r="O94" s="182">
        <f t="shared" ref="O94:O96" si="55">IF(L94&gt;0,N94*100/L94,0)</f>
        <v>10.19114219</v>
      </c>
      <c r="P94" s="182">
        <f t="shared" ref="P94:P96" si="56">IF(M94&gt;0,N94*100/M94,0)</f>
        <v>31.80561618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21860</v>
      </c>
      <c r="O96" s="187">
        <f t="shared" si="55"/>
        <v>10.19114219</v>
      </c>
      <c r="P96" s="187">
        <f t="shared" si="56"/>
        <v>31.80561618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IFERROR(__xludf.DUMMYFUNCTION("IMPORTRANGE(""https://docs.google.com/spreadsheets/d/1Yj_ptqi66GCucihVvJfMjLAmec39IyEx_6qawtMGysU/edit?usp=sharing"",""สบก!AR91"")"),68730.0)</f>
        <v>68730</v>
      </c>
      <c r="N98" s="202">
        <f>IFERROR(__xludf.DUMMYFUNCTION("IMPORTRANGE(""https://docs.google.com/spreadsheets/d/1Yj_ptqi66GCucihVvJfMjLAmec39IyEx_6qawtMGysU/edit?usp=sharing"",""สบก!AS91"")"),21860.0)</f>
        <v>21860</v>
      </c>
      <c r="O98" s="203">
        <f>IF(L98&gt;0,N98*100/L98,0)</f>
        <v>17.9033579</v>
      </c>
      <c r="P98" s="203">
        <f>IF(M98&gt;0,N98*100/M98,0)</f>
        <v>31.80561618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IFERROR(__xludf.DUMMYFUNCTION("IMPORTRANGE(""https://docs.google.com/spreadsheets/d/1Yj_ptqi66GCucihVvJfMjLAmec39IyEx_6qawtMGysU/edit?usp=sharing"",""สบก!AN91"")"),0.0)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IFERROR(__xludf.DUMMYFUNCTION("IMPORTRANGE(""https://docs.google.com/spreadsheets/d/1Yj_ptqi66GCucihVvJfMjLAmec39IyEx_6qawtMGysU/edit?usp=sharing"",""สบก!AO91"")"),122100.0)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IFERROR(__xludf.DUMMYFUNCTION("IMPORTRANGE(""https://docs.google.com/spreadsheets/d/1Yj_ptqi66GCucihVvJfMjLAmec39IyEx_6qawtMGysU/edit?usp=sharing"",""สบก!AP91"")"),92400.0)</f>
        <v>92400</v>
      </c>
      <c r="M102" s="125"/>
      <c r="N102" s="115">
        <f>IFERROR(__xludf.DUMMYFUNCTION("IMPORTRANGE(""https://docs.google.com/spreadsheets/d/1Yj_ptqi66GCucihVvJfMjLAmec39IyEx_6qawtMGysU/edit?usp=sharing"",""สบก!AT91"")"),0.0)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IFERROR(__xludf.DUMMYFUNCTION("IMPORTRANGE(""https://docs.google.com/spreadsheets/d/1IYY_tgx_IHuhSq3AJ5eI5OnqOPBNLWSHKh2a30DoXe8/edit?usp=sharing"",""ระนอง!J39"")"),0.0)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IFERROR(__xludf.DUMMYFUNCTION("IMPORTRANGE(""https://docs.google.com/spreadsheets/d/1IYY_tgx_IHuhSq3AJ5eI5OnqOPBNLWSHKh2a30DoXe8/edit?usp=sharing"",""ระนอง!J40"")"),1.0)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IFERROR(__xludf.DUMMYFUNCTION("IMPORTRANGE(""https://docs.google.com/spreadsheets/d/1IYY_tgx_IHuhSq3AJ5eI5OnqOPBNLWSHKh2a30DoXe8/edit?usp=sharing"",""ระนอง!J41"")"),1.0)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IFERROR(__xludf.DUMMYFUNCTION("IMPORTRANGE(""https://docs.google.com/spreadsheets/d/1IYY_tgx_IHuhSq3AJ5eI5OnqOPBNLWSHKh2a30DoXe8/edit?usp=sharing"",""ระนอง!J42"")"),1.0)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IFERROR(__xludf.DUMMYFUNCTION("IMPORTRANGE(""https://docs.google.com/spreadsheets/d/1IYY_tgx_IHuhSq3AJ5eI5OnqOPBNLWSHKh2a30DoXe8/edit?usp=sharing"",""ระนอง!I43"")"),1.0)</f>
        <v>1</v>
      </c>
      <c r="J108" s="238">
        <f>IFERROR(__xludf.DUMMYFUNCTION("IMPORTRANGE(""https://docs.google.com/spreadsheets/d/1IYY_tgx_IHuhSq3AJ5eI5OnqOPBNLWSHKh2a30DoXe8/edit?usp=sharing"",""ระนอง!J43"")"),1.0)</f>
        <v>1</v>
      </c>
      <c r="K108" s="258">
        <f t="shared" ref="K108:K113" si="58">IF(I108&gt;0,J108*100/I108,0)</f>
        <v>100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IFERROR(__xludf.DUMMYFUNCTION("IMPORTRANGE(""https://docs.google.com/spreadsheets/d/1IYY_tgx_IHuhSq3AJ5eI5OnqOPBNLWSHKh2a30DoXe8/edit?usp=sharing"",""ระนอง!I44"")"),4.0)</f>
        <v>4</v>
      </c>
      <c r="J109" s="238">
        <f>IFERROR(__xludf.DUMMYFUNCTION("IMPORTRANGE(""https://docs.google.com/spreadsheets/d/1IYY_tgx_IHuhSq3AJ5eI5OnqOPBNLWSHKh2a30DoXe8/edit?usp=sharing"",""ระนอง!J44"")"),0.0)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IFERROR(__xludf.DUMMYFUNCTION("IMPORTRANGE(""https://docs.google.com/spreadsheets/d/1IYY_tgx_IHuhSq3AJ5eI5OnqOPBNLWSHKh2a30DoXe8/edit?usp=sharing"",""ระนอง!I45"")"),4.0)</f>
        <v>4</v>
      </c>
      <c r="J110" s="238">
        <f>IFERROR(__xludf.DUMMYFUNCTION("IMPORTRANGE(""https://docs.google.com/spreadsheets/d/1IYY_tgx_IHuhSq3AJ5eI5OnqOPBNLWSHKh2a30DoXe8/edit?usp=sharing"",""ระนอง!J45"")"),4.0)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IFERROR(__xludf.DUMMYFUNCTION("IMPORTRANGE(""https://docs.google.com/spreadsheets/d/1IYY_tgx_IHuhSq3AJ5eI5OnqOPBNLWSHKh2a30DoXe8/edit?usp=sharing"",""ระนอง!I46"")"),4.0)</f>
        <v>4</v>
      </c>
      <c r="J111" s="238">
        <f>IFERROR(__xludf.DUMMYFUNCTION("IMPORTRANGE(""https://docs.google.com/spreadsheets/d/1IYY_tgx_IHuhSq3AJ5eI5OnqOPBNLWSHKh2a30DoXe8/edit?usp=sharing"",""ระนอง!J46"")"),4.0)</f>
        <v>4</v>
      </c>
      <c r="K111" s="258">
        <f t="shared" si="58"/>
        <v>100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IFERROR(__xludf.DUMMYFUNCTION("IMPORTRANGE(""https://docs.google.com/spreadsheets/d/1IYY_tgx_IHuhSq3AJ5eI5OnqOPBNLWSHKh2a30DoXe8/edit?usp=sharing"",""ระนอง!I47"")"),4.0)</f>
        <v>4</v>
      </c>
      <c r="J112" s="238">
        <f>IFERROR(__xludf.DUMMYFUNCTION("IMPORTRANGE(""https://docs.google.com/spreadsheets/d/1IYY_tgx_IHuhSq3AJ5eI5OnqOPBNLWSHKh2a30DoXe8/edit?usp=sharing"",""ระนอง!J47"")"),0.0)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IFERROR(__xludf.DUMMYFUNCTION("IMPORTRANGE(""https://docs.google.com/spreadsheets/d/1IYY_tgx_IHuhSq3AJ5eI5OnqOPBNLWSHKh2a30DoXe8/edit?usp=sharing"",""ระนอง!I48"")"),1.0)</f>
        <v>1</v>
      </c>
      <c r="J113" s="238">
        <f>IFERROR(__xludf.DUMMYFUNCTION("IMPORTRANGE(""https://docs.google.com/spreadsheets/d/1IYY_tgx_IHuhSq3AJ5eI5OnqOPBNLWSHKh2a30DoXe8/edit?usp=sharing"",""ระนอง!J48"")"),0.0)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IFERROR(__xludf.DUMMYFUNCTION("IMPORTRANGE(""https://docs.google.com/spreadsheets/d/1IYY_tgx_IHuhSq3AJ5eI5OnqOPBNLWSHKh2a30DoXe8/edit?usp=sharing"",""ระนอง!J49"")"),0.0)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IFERROR(__xludf.DUMMYFUNCTION("IMPORTRANGE(""https://docs.google.com/spreadsheets/d/1IYY_tgx_IHuhSq3AJ5eI5OnqOPBNLWSHKh2a30DoXe8/edit?usp=sharing"",""ระนอง!J50"")"),0.0)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IFERROR(__xludf.DUMMYFUNCTION("IMPORTRANGE(""https://docs.google.com/spreadsheets/d/1IYY_tgx_IHuhSq3AJ5eI5OnqOPBNLWSHKh2a30DoXe8/edit?usp=sharing"",""ระนอง!I52"")"),0.0)</f>
        <v>0</v>
      </c>
      <c r="J117" s="172">
        <f>IFERROR(__xludf.DUMMYFUNCTION("IMPORTRANGE(""https://docs.google.com/spreadsheets/d/1IYY_tgx_IHuhSq3AJ5eI5OnqOPBNLWSHKh2a30DoXe8/edit?usp=sharing"",""ระนอง!J52"")"),0.0)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IFERROR(__xludf.DUMMYFUNCTION("IMPORTRANGE(""https://docs.google.com/spreadsheets/d/1Yj_ptqi66GCucihVvJfMjLAmec39IyEx_6qawtMGysU/edit?usp=sharing"",""สบก!BA91"")"),0.0)</f>
        <v>0</v>
      </c>
      <c r="N122" s="202">
        <f>IFERROR(__xludf.DUMMYFUNCTION("IMPORTRANGE(""https://docs.google.com/spreadsheets/d/1Yj_ptqi66GCucihVvJfMjLAmec39IyEx_6qawtMGysU/edit?usp=sharing"",""สบก!BB91"")"),0.0)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IFERROR(__xludf.DUMMYFUNCTION("IMPORTRANGE(""https://docs.google.com/spreadsheets/d/1Yj_ptqi66GCucihVvJfMjLAmec39IyEx_6qawtMGysU/edit?usp=sharing"",""สบก!AW91"")"),0.0)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IFERROR(__xludf.DUMMYFUNCTION("IMPORTRANGE(""https://docs.google.com/spreadsheets/d/1Yj_ptqi66GCucihVvJfMjLAmec39IyEx_6qawtMGysU/edit?usp=sharing"",""สบก!AX91"")"),0.0)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IFERROR(__xludf.DUMMYFUNCTION("IMPORTRANGE(""https://docs.google.com/spreadsheets/d/1Yj_ptqi66GCucihVvJfMjLAmec39IyEx_6qawtMGysU/edit?usp=sharing"",""สบก!AY91"")"),0.0)</f>
        <v>0</v>
      </c>
      <c r="M126" s="125"/>
      <c r="N126" s="115">
        <f>IFERROR(__xludf.DUMMYFUNCTION("IMPORTRANGE(""https://docs.google.com/spreadsheets/d/1Yj_ptqi66GCucihVvJfMjLAmec39IyEx_6qawtMGysU/edit?usp=sharing"",""สบก!BC91"")"),0.0)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IFERROR(__xludf.DUMMYFUNCTION("IMPORTRANGE(""https://docs.google.com/spreadsheets/d/1IYY_tgx_IHuhSq3AJ5eI5OnqOPBNLWSHKh2a30DoXe8/edit?usp=sharing"",""ระนอง!J58"")"),0.0)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IFERROR(__xludf.DUMMYFUNCTION("IMPORTRANGE(""https://docs.google.com/spreadsheets/d/1IYY_tgx_IHuhSq3AJ5eI5OnqOPBNLWSHKh2a30DoXe8/edit?usp=sharing"",""ระนอง!J59"")"),0.0)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IFERROR(__xludf.DUMMYFUNCTION("IMPORTRANGE(""https://docs.google.com/spreadsheets/d/1IYY_tgx_IHuhSq3AJ5eI5OnqOPBNLWSHKh2a30DoXe8/edit?usp=sharing"",""ระนอง!J60"")"),0.0)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IFERROR(__xludf.DUMMYFUNCTION("IMPORTRANGE(""https://docs.google.com/spreadsheets/d/1IYY_tgx_IHuhSq3AJ5eI5OnqOPBNLWSHKh2a30DoXe8/edit?usp=sharing"",""ระนอง!J61"")"),0.0)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IFERROR(__xludf.DUMMYFUNCTION("IMPORTRANGE(""https://docs.google.com/spreadsheets/d/1IYY_tgx_IHuhSq3AJ5eI5OnqOPBNLWSHKh2a30DoXe8/edit?usp=sharing"",""ระนอง!I62"")"),0.0)</f>
        <v>0</v>
      </c>
      <c r="J132" s="238">
        <f>IFERROR(__xludf.DUMMYFUNCTION("IMPORTRANGE(""https://docs.google.com/spreadsheets/d/1IYY_tgx_IHuhSq3AJ5eI5OnqOPBNLWSHKh2a30DoXe8/edit?usp=sharing"",""ระนอง!J62"")"),0.0)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IFERROR(__xludf.DUMMYFUNCTION("IMPORTRANGE(""https://docs.google.com/spreadsheets/d/1IYY_tgx_IHuhSq3AJ5eI5OnqOPBNLWSHKh2a30DoXe8/edit?usp=sharing"",""ระนอง!I63"")"),0.0)</f>
        <v>0</v>
      </c>
      <c r="J133" s="238">
        <f>IFERROR(__xludf.DUMMYFUNCTION("IMPORTRANGE(""https://docs.google.com/spreadsheets/d/1IYY_tgx_IHuhSq3AJ5eI5OnqOPBNLWSHKh2a30DoXe8/edit?usp=sharing"",""ระนอง!J63"")"),0.0)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IFERROR(__xludf.DUMMYFUNCTION("IMPORTRANGE(""https://docs.google.com/spreadsheets/d/1IYY_tgx_IHuhSq3AJ5eI5OnqOPBNLWSHKh2a30DoXe8/edit?usp=sharing"",""ระนอง!J64"")"),0.0)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IFERROR(__xludf.DUMMYFUNCTION("IMPORTRANGE(""https://docs.google.com/spreadsheets/d/1IYY_tgx_IHuhSq3AJ5eI5OnqOPBNLWSHKh2a30DoXe8/edit?usp=sharing"",""ระนอง!J65"")"),0.0)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IFERROR(__xludf.DUMMYFUNCTION("IMPORTRANGE(""https://docs.google.com/spreadsheets/d/1IYY_tgx_IHuhSq3AJ5eI5OnqOPBNLWSHKh2a30DoXe8/edit?usp=sharing"",""ระนอง!I68"")"),0.0)</f>
        <v>0</v>
      </c>
      <c r="J138" s="301">
        <f>IFERROR(__xludf.DUMMYFUNCTION("IMPORTRANGE(""https://docs.google.com/spreadsheets/d/1IYY_tgx_IHuhSq3AJ5eI5OnqOPBNLWSHKh2a30DoXe8/edit?usp=sharing"",""ระนอง!J68"")"),0.0)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43600</v>
      </c>
      <c r="M140" s="183">
        <f t="shared" si="65"/>
        <v>31750</v>
      </c>
      <c r="N140" s="183">
        <f t="shared" si="65"/>
        <v>27000</v>
      </c>
      <c r="O140" s="182">
        <f t="shared" ref="O140:O142" si="67">IF(L140&gt;0,N140*100/L140,0)</f>
        <v>61.9266055</v>
      </c>
      <c r="P140" s="182">
        <f t="shared" ref="P140:P142" si="68">IF(M140&gt;0,N140*100/M140,0)</f>
        <v>85.03937008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43600</v>
      </c>
      <c r="M142" s="188">
        <f t="shared" si="69"/>
        <v>31750</v>
      </c>
      <c r="N142" s="188">
        <f t="shared" si="69"/>
        <v>27000</v>
      </c>
      <c r="O142" s="187">
        <f t="shared" si="67"/>
        <v>61.9266055</v>
      </c>
      <c r="P142" s="187">
        <f t="shared" si="68"/>
        <v>85.03937008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43600</v>
      </c>
      <c r="M144" s="201">
        <f>IFERROR(__xludf.DUMMYFUNCTION("IMPORTRANGE(""https://docs.google.com/spreadsheets/d/1Yj_ptqi66GCucihVvJfMjLAmec39IyEx_6qawtMGysU/edit?usp=sharing"",""สบก!BJ91"")"),31750.0)</f>
        <v>31750</v>
      </c>
      <c r="N144" s="202">
        <f>IFERROR(__xludf.DUMMYFUNCTION("IMPORTRANGE(""https://docs.google.com/spreadsheets/d/1Yj_ptqi66GCucihVvJfMjLAmec39IyEx_6qawtMGysU/edit?usp=sharing"",""สบก!BK91"")"),27000.0)</f>
        <v>27000</v>
      </c>
      <c r="O144" s="203">
        <f>IF(L144&gt;0,N144*100/L144,0)</f>
        <v>61.9266055</v>
      </c>
      <c r="P144" s="203">
        <f>IF(M144&gt;0,N144*100/M144,0)</f>
        <v>85.03937008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IFERROR(__xludf.DUMMYFUNCTION("IMPORTRANGE(""https://docs.google.com/spreadsheets/d/1Yj_ptqi66GCucihVvJfMjLAmec39IyEx_6qawtMGysU/edit?usp=sharing"",""สบก!BF91"")"),0.0)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IFERROR(__xludf.DUMMYFUNCTION("IMPORTRANGE(""https://docs.google.com/spreadsheets/d/1Yj_ptqi66GCucihVvJfMjLAmec39IyEx_6qawtMGysU/edit?usp=sharing"",""สบก!BG91"")"),43600.0)</f>
        <v>43600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IFERROR(__xludf.DUMMYFUNCTION("IMPORTRANGE(""https://docs.google.com/spreadsheets/d/1Yj_ptqi66GCucihVvJfMjLAmec39IyEx_6qawtMGysU/edit?usp=sharing"",""สบก!BH91"")"),0.0)</f>
        <v>0</v>
      </c>
      <c r="M148" s="125"/>
      <c r="N148" s="115">
        <f>IFERROR(__xludf.DUMMYFUNCTION("IMPORTRANGE(""https://docs.google.com/spreadsheets/d/1Yj_ptqi66GCucihVvJfMjLAmec39IyEx_6qawtMGysU/edit?usp=sharing"",""สบก!BL91"")"),0.0)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IFERROR(__xludf.DUMMYFUNCTION("IMPORTRANGE(""https://docs.google.com/spreadsheets/d/1IYY_tgx_IHuhSq3AJ5eI5OnqOPBNLWSHKh2a30DoXe8/edit?usp=sharing"",""ระนอง!I74"")"),4.0)</f>
        <v>4</v>
      </c>
      <c r="J149" s="309">
        <f>IFERROR(__xludf.DUMMYFUNCTION("IMPORTRANGE(""https://docs.google.com/spreadsheets/d/1IYY_tgx_IHuhSq3AJ5eI5OnqOPBNLWSHKh2a30DoXe8/edit?usp=sharing"",""ระนอง!J74"")"),0.0)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IFERROR(__xludf.DUMMYFUNCTION("IMPORTRANGE(""https://docs.google.com/spreadsheets/d/1IYY_tgx_IHuhSq3AJ5eI5OnqOPBNLWSHKh2a30DoXe8/edit?usp=sharing"",""ระนอง!J79"")"),0.0)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IFERROR(__xludf.DUMMYFUNCTION("IMPORTRANGE(""https://docs.google.com/spreadsheets/d/1IYY_tgx_IHuhSq3AJ5eI5OnqOPBNLWSHKh2a30DoXe8/edit?usp=sharing"",""ระนอง!J80"")"),1.0)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IFERROR(__xludf.DUMMYFUNCTION("IMPORTRANGE(""https://docs.google.com/spreadsheets/d/1IYY_tgx_IHuhSq3AJ5eI5OnqOPBNLWSHKh2a30DoXe8/edit?usp=sharing"",""ระนอง!J81"")"),1.0)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IFERROR(__xludf.DUMMYFUNCTION("IMPORTRANGE(""https://docs.google.com/spreadsheets/d/1IYY_tgx_IHuhSq3AJ5eI5OnqOPBNLWSHKh2a30DoXe8/edit?usp=sharing"",""ระนอง!J82"")"),1.0)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IFERROR(__xludf.DUMMYFUNCTION("IMPORTRANGE(""https://docs.google.com/spreadsheets/d/1IYY_tgx_IHuhSq3AJ5eI5OnqOPBNLWSHKh2a30DoXe8/edit?usp=sharing"",""ระนอง!I83"")"),4.0)</f>
        <v>4</v>
      </c>
      <c r="J158" s="223">
        <f>IFERROR(__xludf.DUMMYFUNCTION("IMPORTRANGE(""https://docs.google.com/spreadsheets/d/1IYY_tgx_IHuhSq3AJ5eI5OnqOPBNLWSHKh2a30DoXe8/edit?usp=sharing"",""ระนอง!J83"")"),0.0)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IFERROR(__xludf.DUMMYFUNCTION("IMPORTRANGE(""https://docs.google.com/spreadsheets/d/1IYY_tgx_IHuhSq3AJ5eI5OnqOPBNLWSHKh2a30DoXe8/edit?usp=sharing"",""ระนอง!J84"")"),0.0)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IFERROR(__xludf.DUMMYFUNCTION("IMPORTRANGE(""https://docs.google.com/spreadsheets/d/1IYY_tgx_IHuhSq3AJ5eI5OnqOPBNLWSHKh2a30DoXe8/edit?usp=sharing"",""ระนอง!J85"")"),0.0)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IFERROR(__xludf.DUMMYFUNCTION("IMPORTRANGE(""https://docs.google.com/spreadsheets/d/1IYY_tgx_IHuhSq3AJ5eI5OnqOPBNLWSHKh2a30DoXe8/edit?usp=sharing"",""ระนอง!J86"")"),0.0)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IFERROR(__xludf.DUMMYFUNCTION("IMPORTRANGE(""https://docs.google.com/spreadsheets/d/1IYY_tgx_IHuhSq3AJ5eI5OnqOPBNLWSHKh2a30DoXe8/edit?usp=sharing"",""ระนอง!J87"")"),0.0)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IFERROR(__xludf.DUMMYFUNCTION("IMPORTRANGE(""https://docs.google.com/spreadsheets/d/1IYY_tgx_IHuhSq3AJ5eI5OnqOPBNLWSHKh2a30DoXe8/edit?usp=sharing"",""ระนอง!J88"")"),0.0)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IFERROR(__xludf.DUMMYFUNCTION("IMPORTRANGE(""https://docs.google.com/spreadsheets/d/1IYY_tgx_IHuhSq3AJ5eI5OnqOPBNLWSHKh2a30DoXe8/edit?usp=sharing"",""ระนอง!I89"")"),2.0)</f>
        <v>2</v>
      </c>
      <c r="J164" s="317">
        <f>IFERROR(__xludf.DUMMYFUNCTION("IMPORTRANGE(""https://docs.google.com/spreadsheets/d/1IYY_tgx_IHuhSq3AJ5eI5OnqOPBNLWSHKh2a30DoXe8/edit?usp=sharing"",""ระนอง!J89"")"),2.0)</f>
        <v>2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IFERROR(__xludf.DUMMYFUNCTION("IMPORTRANGE(""https://docs.google.com/spreadsheets/d/1IYY_tgx_IHuhSq3AJ5eI5OnqOPBNLWSHKh2a30DoXe8/edit?usp=sharing"",""ระนอง!J94"")"),0.0)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IFERROR(__xludf.DUMMYFUNCTION("IMPORTRANGE(""https://docs.google.com/spreadsheets/d/1IYY_tgx_IHuhSq3AJ5eI5OnqOPBNLWSHKh2a30DoXe8/edit?usp=sharing"",""ระนอง!J95"")"),1.0)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IFERROR(__xludf.DUMMYFUNCTION("IMPORTRANGE(""https://docs.google.com/spreadsheets/d/1IYY_tgx_IHuhSq3AJ5eI5OnqOPBNLWSHKh2a30DoXe8/edit?usp=sharing"",""ระนอง!J96"")"),1.0)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IFERROR(__xludf.DUMMYFUNCTION("IMPORTRANGE(""https://docs.google.com/spreadsheets/d/1IYY_tgx_IHuhSq3AJ5eI5OnqOPBNLWSHKh2a30DoXe8/edit?usp=sharing"",""ระนอง!J97"")"),1.0)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IFERROR(__xludf.DUMMYFUNCTION("IMPORTRANGE(""https://docs.google.com/spreadsheets/d/1IYY_tgx_IHuhSq3AJ5eI5OnqOPBNLWSHKh2a30DoXe8/edit?usp=sharing"",""ระนอง!I98"")"),2.0)</f>
        <v>2</v>
      </c>
      <c r="J173" s="223">
        <f>IFERROR(__xludf.DUMMYFUNCTION("IMPORTRANGE(""https://docs.google.com/spreadsheets/d/1IYY_tgx_IHuhSq3AJ5eI5OnqOPBNLWSHKh2a30DoXe8/edit?usp=sharing"",""ระนอง!J98"")"),2.0)</f>
        <v>2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IFERROR(__xludf.DUMMYFUNCTION("IMPORTRANGE(""https://docs.google.com/spreadsheets/d/1IYY_tgx_IHuhSq3AJ5eI5OnqOPBNLWSHKh2a30DoXe8/edit?usp=sharing"",""ระนอง!J99"")"),0.0)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IFERROR(__xludf.DUMMYFUNCTION("IMPORTRANGE(""https://docs.google.com/spreadsheets/d/1IYY_tgx_IHuhSq3AJ5eI5OnqOPBNLWSHKh2a30DoXe8/edit?usp=sharing"",""ระนอง!J100"")"),0.0)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IFERROR(__xludf.DUMMYFUNCTION("IMPORTRANGE(""https://docs.google.com/spreadsheets/d/1IYY_tgx_IHuhSq3AJ5eI5OnqOPBNLWSHKh2a30DoXe8/edit?usp=sharing"",""ระนอง!I101"")"),0.0)</f>
        <v>0</v>
      </c>
      <c r="J176" s="317">
        <f>IFERROR(__xludf.DUMMYFUNCTION("IMPORTRANGE(""https://docs.google.com/spreadsheets/d/1IYY_tgx_IHuhSq3AJ5eI5OnqOPBNLWSHKh2a30DoXe8/edit?usp=sharing"",""ระนอง!J101"")"),0.0)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IFERROR(__xludf.DUMMYFUNCTION("IMPORTRANGE(""https://docs.google.com/spreadsheets/d/1IYY_tgx_IHuhSq3AJ5eI5OnqOPBNLWSHKh2a30DoXe8/edit?usp=sharing"",""ระนอง!J106"")"),0.0)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IFERROR(__xludf.DUMMYFUNCTION("IMPORTRANGE(""https://docs.google.com/spreadsheets/d/1IYY_tgx_IHuhSq3AJ5eI5OnqOPBNLWSHKh2a30DoXe8/edit?usp=sharing"",""ระนอง!J107"")"),0.0)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IFERROR(__xludf.DUMMYFUNCTION("IMPORTRANGE(""https://docs.google.com/spreadsheets/d/1IYY_tgx_IHuhSq3AJ5eI5OnqOPBNLWSHKh2a30DoXe8/edit?usp=sharing"",""ระนอง!J108"")"),0.0)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IFERROR(__xludf.DUMMYFUNCTION("IMPORTRANGE(""https://docs.google.com/spreadsheets/d/1IYY_tgx_IHuhSq3AJ5eI5OnqOPBNLWSHKh2a30DoXe8/edit?usp=sharing"",""ระนอง!J109"")"),0.0)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IFERROR(__xludf.DUMMYFUNCTION("IMPORTRANGE(""https://docs.google.com/spreadsheets/d/1IYY_tgx_IHuhSq3AJ5eI5OnqOPBNLWSHKh2a30DoXe8/edit?usp=sharing"",""ระนอง!I110"")"),0.0)</f>
        <v>0</v>
      </c>
      <c r="J185" s="238">
        <f>IFERROR(__xludf.DUMMYFUNCTION("IMPORTRANGE(""https://docs.google.com/spreadsheets/d/1IYY_tgx_IHuhSq3AJ5eI5OnqOPBNLWSHKh2a30DoXe8/edit?usp=sharing"",""ระนอง!J110"")"),0.0)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IFERROR(__xludf.DUMMYFUNCTION("IMPORTRANGE(""https://docs.google.com/spreadsheets/d/1IYY_tgx_IHuhSq3AJ5eI5OnqOPBNLWSHKh2a30DoXe8/edit?usp=sharing"",""ระนอง!I111"")"),0.0)</f>
        <v>0</v>
      </c>
      <c r="J186" s="238">
        <f>IFERROR(__xludf.DUMMYFUNCTION("IMPORTRANGE(""https://docs.google.com/spreadsheets/d/1IYY_tgx_IHuhSq3AJ5eI5OnqOPBNLWSHKh2a30DoXe8/edit?usp=sharing"",""ระนอง!J111"")"),0.0)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IFERROR(__xludf.DUMMYFUNCTION("IMPORTRANGE(""https://docs.google.com/spreadsheets/d/1IYY_tgx_IHuhSq3AJ5eI5OnqOPBNLWSHKh2a30DoXe8/edit?usp=sharing"",""ระนอง!J112"")"),0.0)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IFERROR(__xludf.DUMMYFUNCTION("IMPORTRANGE(""https://docs.google.com/spreadsheets/d/1IYY_tgx_IHuhSq3AJ5eI5OnqOPBNLWSHKh2a30DoXe8/edit?usp=sharing"",""ระนอง!J113"")"),0.0)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IFERROR(__xludf.DUMMYFUNCTION("IMPORTRANGE(""https://docs.google.com/spreadsheets/d/1IYY_tgx_IHuhSq3AJ5eI5OnqOPBNLWSHKh2a30DoXe8/edit?usp=sharing"",""ระนอง!I114"")"),12800.0)</f>
        <v>12800</v>
      </c>
      <c r="J189" s="317">
        <f>IFERROR(__xludf.DUMMYFUNCTION("IMPORTRANGE(""https://docs.google.com/spreadsheets/d/1IYY_tgx_IHuhSq3AJ5eI5OnqOPBNLWSHKh2a30DoXe8/edit?usp=sharing"",""ระนอง!J114"")"),0.0)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IFERROR(__xludf.DUMMYFUNCTION("IMPORTRANGE(""https://docs.google.com/spreadsheets/d/1IYY_tgx_IHuhSq3AJ5eI5OnqOPBNLWSHKh2a30DoXe8/edit?usp=sharing"",""ระนอง!J119"")"),0.0)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IFERROR(__xludf.DUMMYFUNCTION("IMPORTRANGE(""https://docs.google.com/spreadsheets/d/1IYY_tgx_IHuhSq3AJ5eI5OnqOPBNLWSHKh2a30DoXe8/edit?usp=sharing"",""ระนอง!J120"")"),1.0)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IFERROR(__xludf.DUMMYFUNCTION("IMPORTRANGE(""https://docs.google.com/spreadsheets/d/1IYY_tgx_IHuhSq3AJ5eI5OnqOPBNLWSHKh2a30DoXe8/edit?usp=sharing"",""ระนอง!J121"")"),0.0)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IFERROR(__xludf.DUMMYFUNCTION("IMPORTRANGE(""https://docs.google.com/spreadsheets/d/1IYY_tgx_IHuhSq3AJ5eI5OnqOPBNLWSHKh2a30DoXe8/edit?usp=sharing"",""ระนอง!J122"")"),0.0)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IFERROR(__xludf.DUMMYFUNCTION("IMPORTRANGE(""https://docs.google.com/spreadsheets/d/1IYY_tgx_IHuhSq3AJ5eI5OnqOPBNLWSHKh2a30DoXe8/edit?usp=sharing"",""ระนอง!I124"")"),12800.0)</f>
        <v>12800</v>
      </c>
      <c r="J199" s="223">
        <f>IFERROR(__xludf.DUMMYFUNCTION("IMPORTRANGE(""https://docs.google.com/spreadsheets/d/1IYY_tgx_IHuhSq3AJ5eI5OnqOPBNLWSHKh2a30DoXe8/edit?usp=sharing"",""ระนอง!J124"")"),0.0)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IFERROR(__xludf.DUMMYFUNCTION("IMPORTRANGE(""https://docs.google.com/spreadsheets/d/1IYY_tgx_IHuhSq3AJ5eI5OnqOPBNLWSHKh2a30DoXe8/edit?usp=sharing"",""ระนอง!I125"")"),12800.0)</f>
        <v>12800</v>
      </c>
      <c r="J200" s="223">
        <f>IFERROR(__xludf.DUMMYFUNCTION("IMPORTRANGE(""https://docs.google.com/spreadsheets/d/1IYY_tgx_IHuhSq3AJ5eI5OnqOPBNLWSHKh2a30DoXe8/edit?usp=sharing"",""ระนอง!J125"")"),0.0)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IFERROR(__xludf.DUMMYFUNCTION("IMPORTRANGE(""https://docs.google.com/spreadsheets/d/1IYY_tgx_IHuhSq3AJ5eI5OnqOPBNLWSHKh2a30DoXe8/edit?usp=sharing"",""ระนอง!I126"")"),0.0)</f>
        <v>0</v>
      </c>
      <c r="J201" s="223">
        <f>IFERROR(__xludf.DUMMYFUNCTION("IMPORTRANGE(""https://docs.google.com/spreadsheets/d/1IYY_tgx_IHuhSq3AJ5eI5OnqOPBNLWSHKh2a30DoXe8/edit?usp=sharing"",""ระนอง!J126"")"),0.0)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IFERROR(__xludf.DUMMYFUNCTION("IMPORTRANGE(""https://docs.google.com/spreadsheets/d/1IYY_tgx_IHuhSq3AJ5eI5OnqOPBNLWSHKh2a30DoXe8/edit?usp=sharing"",""ระนอง!J127"")"),0.0)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IFERROR(__xludf.DUMMYFUNCTION("IMPORTRANGE(""https://docs.google.com/spreadsheets/d/1IYY_tgx_IHuhSq3AJ5eI5OnqOPBNLWSHKh2a30DoXe8/edit?usp=sharing"",""ระนอง!J128"")"),0.0)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IFERROR(__xludf.DUMMYFUNCTION("IMPORTRANGE(""https://docs.google.com/spreadsheets/d/1IYY_tgx_IHuhSq3AJ5eI5OnqOPBNLWSHKh2a30DoXe8/edit?usp=sharing"",""ระนอง!I129"")"),0.0)</f>
        <v>0</v>
      </c>
      <c r="J204" s="317">
        <f>IFERROR(__xludf.DUMMYFUNCTION("IMPORTRANGE(""https://docs.google.com/spreadsheets/d/1IYY_tgx_IHuhSq3AJ5eI5OnqOPBNLWSHKh2a30DoXe8/edit?usp=sharing"",""ระนอง!J129"")"),0.0)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IFERROR(__xludf.DUMMYFUNCTION("IMPORTRANGE(""https://docs.google.com/spreadsheets/d/1IYY_tgx_IHuhSq3AJ5eI5OnqOPBNLWSHKh2a30DoXe8/edit?usp=sharing"",""ระนอง!J134"")"),0.0)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IFERROR(__xludf.DUMMYFUNCTION("IMPORTRANGE(""https://docs.google.com/spreadsheets/d/1IYY_tgx_IHuhSq3AJ5eI5OnqOPBNLWSHKh2a30DoXe8/edit?usp=sharing"",""ระนอง!J135"")"),0.0)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IFERROR(__xludf.DUMMYFUNCTION("IMPORTRANGE(""https://docs.google.com/spreadsheets/d/1IYY_tgx_IHuhSq3AJ5eI5OnqOPBNLWSHKh2a30DoXe8/edit?usp=sharing"",""ระนอง!J136"")"),0.0)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IFERROR(__xludf.DUMMYFUNCTION("IMPORTRANGE(""https://docs.google.com/spreadsheets/d/1IYY_tgx_IHuhSq3AJ5eI5OnqOPBNLWSHKh2a30DoXe8/edit?usp=sharing"",""ระนอง!J137"")"),0.0)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IFERROR(__xludf.DUMMYFUNCTION("IMPORTRANGE(""https://docs.google.com/spreadsheets/d/1IYY_tgx_IHuhSq3AJ5eI5OnqOPBNLWSHKh2a30DoXe8/edit?usp=sharing"",""ระนอง!I138"")"),0.0)</f>
        <v>0</v>
      </c>
      <c r="J213" s="238">
        <f>IFERROR(__xludf.DUMMYFUNCTION("IMPORTRANGE(""https://docs.google.com/spreadsheets/d/1IYY_tgx_IHuhSq3AJ5eI5OnqOPBNLWSHKh2a30DoXe8/edit?usp=sharing"",""ระนอง!J138"")"),0.0)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IFERROR(__xludf.DUMMYFUNCTION("IMPORTRANGE(""https://docs.google.com/spreadsheets/d/1IYY_tgx_IHuhSq3AJ5eI5OnqOPBNLWSHKh2a30DoXe8/edit?usp=sharing"",""ระนอง!I140"")"),0.0)</f>
        <v>0</v>
      </c>
      <c r="J215" s="238">
        <f>IFERROR(__xludf.DUMMYFUNCTION("IMPORTRANGE(""https://docs.google.com/spreadsheets/d/1IYY_tgx_IHuhSq3AJ5eI5OnqOPBNLWSHKh2a30DoXe8/edit?usp=sharing"",""ระนอง!J140"")"),0.0)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IFERROR(__xludf.DUMMYFUNCTION("IMPORTRANGE(""https://docs.google.com/spreadsheets/d/1IYY_tgx_IHuhSq3AJ5eI5OnqOPBNLWSHKh2a30DoXe8/edit?usp=sharing"",""ระนอง!I141"")"),0.0)</f>
        <v>0</v>
      </c>
      <c r="J216" s="238">
        <f>IFERROR(__xludf.DUMMYFUNCTION("IMPORTRANGE(""https://docs.google.com/spreadsheets/d/1IYY_tgx_IHuhSq3AJ5eI5OnqOPBNLWSHKh2a30DoXe8/edit?usp=sharing"",""ระนอง!J141"")"),0.0)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IFERROR(__xludf.DUMMYFUNCTION("IMPORTRANGE(""https://docs.google.com/spreadsheets/d/1IYY_tgx_IHuhSq3AJ5eI5OnqOPBNLWSHKh2a30DoXe8/edit?usp=sharing"",""ระนอง!J142"")"),0.0)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IFERROR(__xludf.DUMMYFUNCTION("IMPORTRANGE(""https://docs.google.com/spreadsheets/d/1IYY_tgx_IHuhSq3AJ5eI5OnqOPBNLWSHKh2a30DoXe8/edit?usp=sharing"",""ระนอง!J143"")"),0.0)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IFERROR(__xludf.DUMMYFUNCTION("IMPORTRANGE(""https://docs.google.com/spreadsheets/d/1IYY_tgx_IHuhSq3AJ5eI5OnqOPBNLWSHKh2a30DoXe8/edit?usp=sharing"",""ระนอง!I144"")"),13.0)</f>
        <v>13</v>
      </c>
      <c r="J219" s="301">
        <f>IFERROR(__xludf.DUMMYFUNCTION("IMPORTRANGE(""https://docs.google.com/spreadsheets/d/1IYY_tgx_IHuhSq3AJ5eI5OnqOPBNLWSHKh2a30DoXe8/edit?usp=sharing"",""ระนอง!J144"")"),13.0)</f>
        <v>13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19295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19295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1">
        <f>IFERROR(__xludf.DUMMYFUNCTION("IMPORTRANGE(""https://docs.google.com/spreadsheets/d/1Yj_ptqi66GCucihVvJfMjLAmec39IyEx_6qawtMGysU/edit?usp=sharing"",""สบก!BS91"")"),19295.0)</f>
        <v>19295</v>
      </c>
      <c r="N224" s="202">
        <f>IFERROR(__xludf.DUMMYFUNCTION("IMPORTRANGE(""https://docs.google.com/spreadsheets/d/1Yj_ptqi66GCucihVvJfMjLAmec39IyEx_6qawtMGysU/edit?usp=sharing"",""สบก!BT91"")"),19295.0)</f>
        <v>19295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IFERROR(__xludf.DUMMYFUNCTION("IMPORTRANGE(""https://docs.google.com/spreadsheets/d/1Yj_ptqi66GCucihVvJfMjLAmec39IyEx_6qawtMGysU/edit?usp=sharing"",""สบก!BO91"")"),0.0)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IFERROR(__xludf.DUMMYFUNCTION("IMPORTRANGE(""https://docs.google.com/spreadsheets/d/1Yj_ptqi66GCucihVvJfMjLAmec39IyEx_6qawtMGysU/edit?usp=sharing"",""สบก!BP91"")"),19295.0)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IFERROR(__xludf.DUMMYFUNCTION("IMPORTRANGE(""https://docs.google.com/spreadsheets/d/1Yj_ptqi66GCucihVvJfMjLAmec39IyEx_6qawtMGysU/edit?usp=sharing"",""สบก!BQ91"")"),0.0)</f>
        <v>0</v>
      </c>
      <c r="M228" s="125"/>
      <c r="N228" s="115">
        <f>IFERROR(__xludf.DUMMYFUNCTION("IMPORTRANGE(""https://docs.google.com/spreadsheets/d/1Yj_ptqi66GCucihVvJfMjLAmec39IyEx_6qawtMGysU/edit?usp=sharing"",""สบก!BU91"")"),0.0)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IFERROR(__xludf.DUMMYFUNCTION("IMPORTRANGE(""https://docs.google.com/spreadsheets/d/1IYY_tgx_IHuhSq3AJ5eI5OnqOPBNLWSHKh2a30DoXe8/edit?usp=sharing"",""ระนอง!I149"")"),13.0)</f>
        <v>13</v>
      </c>
      <c r="J229" s="301">
        <f>IFERROR(__xludf.DUMMYFUNCTION("IMPORTRANGE(""https://docs.google.com/spreadsheets/d/1IYY_tgx_IHuhSq3AJ5eI5OnqOPBNLWSHKh2a30DoXe8/edit?usp=sharing"",""ระนอง!J149"")"),13.0)</f>
        <v>13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IFERROR(__xludf.DUMMYFUNCTION("IMPORTRANGE(""https://docs.google.com/spreadsheets/d/1IYY_tgx_IHuhSq3AJ5eI5OnqOPBNLWSHKh2a30DoXe8/edit?usp=sharing"",""ระนอง!J151"")"),0.0)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IFERROR(__xludf.DUMMYFUNCTION("IMPORTRANGE(""https://docs.google.com/spreadsheets/d/1IYY_tgx_IHuhSq3AJ5eI5OnqOPBNLWSHKh2a30DoXe8/edit?usp=sharing"",""ระนอง!J152"")"),1.0)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IFERROR(__xludf.DUMMYFUNCTION("IMPORTRANGE(""https://docs.google.com/spreadsheets/d/1IYY_tgx_IHuhSq3AJ5eI5OnqOPBNLWSHKh2a30DoXe8/edit?usp=sharing"",""ระนอง!J153"")"),1.0)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IFERROR(__xludf.DUMMYFUNCTION("IMPORTRANGE(""https://docs.google.com/spreadsheets/d/1IYY_tgx_IHuhSq3AJ5eI5OnqOPBNLWSHKh2a30DoXe8/edit?usp=sharing"",""ระนอง!J154"")"),1.0)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IFERROR(__xludf.DUMMYFUNCTION("IMPORTRANGE(""https://docs.google.com/spreadsheets/d/1IYY_tgx_IHuhSq3AJ5eI5OnqOPBNLWSHKh2a30DoXe8/edit?usp=sharing"",""ระนอง!I155"")"),13.0)</f>
        <v>13</v>
      </c>
      <c r="J235" s="223">
        <f>IFERROR(__xludf.DUMMYFUNCTION("IMPORTRANGE(""https://docs.google.com/spreadsheets/d/1IYY_tgx_IHuhSq3AJ5eI5OnqOPBNLWSHKh2a30DoXe8/edit?usp=sharing"",""ระนอง!J155"")"),13.0)</f>
        <v>13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 t="str">
        <f>IFERROR(__xludf.DUMMYFUNCTION("IMPORTRANGE(""https://docs.google.com/spreadsheets/d/1IYY_tgx_IHuhSq3AJ5eI5OnqOPBNLWSHKh2a30DoXe8/edit?usp=sharing"",""ระนอง!J156"")"),"")</f>
        <v/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IFERROR(__xludf.DUMMYFUNCTION("IMPORTRANGE(""https://docs.google.com/spreadsheets/d/1IYY_tgx_IHuhSq3AJ5eI5OnqOPBNLWSHKh2a30DoXe8/edit?usp=sharing"",""ระนอง!J157"")"),0.0)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IFERROR(__xludf.DUMMYFUNCTION("IMPORTRANGE(""https://docs.google.com/spreadsheets/d/1IYY_tgx_IHuhSq3AJ5eI5OnqOPBNLWSHKh2a30DoXe8/edit?usp=sharing"",""ระนอง!I158"")"),0.0)</f>
        <v>0</v>
      </c>
      <c r="J238" s="301">
        <f>IFERROR(__xludf.DUMMYFUNCTION("IMPORTRANGE(""https://docs.google.com/spreadsheets/d/1IYY_tgx_IHuhSq3AJ5eI5OnqOPBNLWSHKh2a30DoXe8/edit?usp=sharing"",""ระนอง!J158"")"),0.0)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IFERROR(__xludf.DUMMYFUNCTION("IMPORTRANGE(""https://docs.google.com/spreadsheets/d/1IYY_tgx_IHuhSq3AJ5eI5OnqOPBNLWSHKh2a30DoXe8/edit?usp=sharing"",""ระนอง!J159"")"),"")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IFERROR(__xludf.DUMMYFUNCTION("IMPORTRANGE(""https://docs.google.com/spreadsheets/d/1IYY_tgx_IHuhSq3AJ5eI5OnqOPBNLWSHKh2a30DoXe8/edit?usp=sharing"",""ระนอง!J161"")"),0.0)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IFERROR(__xludf.DUMMYFUNCTION("IMPORTRANGE(""https://docs.google.com/spreadsheets/d/1IYY_tgx_IHuhSq3AJ5eI5OnqOPBNLWSHKh2a30DoXe8/edit?usp=sharing"",""ระนอง!J162"")"),0.0)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IFERROR(__xludf.DUMMYFUNCTION("IMPORTRANGE(""https://docs.google.com/spreadsheets/d/1IYY_tgx_IHuhSq3AJ5eI5OnqOPBNLWSHKh2a30DoXe8/edit?usp=sharing"",""ระนอง!J163"")"),0.0)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IFERROR(__xludf.DUMMYFUNCTION("IMPORTRANGE(""https://docs.google.com/spreadsheets/d/1IYY_tgx_IHuhSq3AJ5eI5OnqOPBNLWSHKh2a30DoXe8/edit?usp=sharing"",""ระนอง!I164"")"),0.0)</f>
        <v>0</v>
      </c>
      <c r="J244" s="222">
        <f>IFERROR(__xludf.DUMMYFUNCTION("IMPORTRANGE(""https://docs.google.com/spreadsheets/d/1IYY_tgx_IHuhSq3AJ5eI5OnqOPBNLWSHKh2a30DoXe8/edit?usp=sharing"",""ระนอง!J164"")"),0.0)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IFERROR(__xludf.DUMMYFUNCTION("IMPORTRANGE(""https://docs.google.com/spreadsheets/d/1IYY_tgx_IHuhSq3AJ5eI5OnqOPBNLWSHKh2a30DoXe8/edit?usp=sharing"",""ระนอง!J165"")"),0.0)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IFERROR(__xludf.DUMMYFUNCTION("IMPORTRANGE(""https://docs.google.com/spreadsheets/d/1IYY_tgx_IHuhSq3AJ5eI5OnqOPBNLWSHKh2a30DoXe8/edit?usp=sharing"",""ระนอง!J166"")"),0.0)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IFERROR(__xludf.DUMMYFUNCTION("IMPORTRANGE(""https://docs.google.com/spreadsheets/d/1IYY_tgx_IHuhSq3AJ5eI5OnqOPBNLWSHKh2a30DoXe8/edit?usp=sharing"",""ระนอง!I169"")"),0.0)</f>
        <v>0</v>
      </c>
      <c r="J249" s="349">
        <f>IFERROR(__xludf.DUMMYFUNCTION("IMPORTRANGE(""https://docs.google.com/spreadsheets/d/1IYY_tgx_IHuhSq3AJ5eI5OnqOPBNLWSHKh2a30DoXe8/edit?usp=sharing"",""ระนอง!J169"")"),0.0)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IFERROR(__xludf.DUMMYFUNCTION("IMPORTRANGE(""https://docs.google.com/spreadsheets/d/1Yj_ptqi66GCucihVvJfMjLAmec39IyEx_6qawtMGysU/edit?usp=sharing"",""สบก!CB91"")"),0.0)</f>
        <v>0</v>
      </c>
      <c r="N254" s="202">
        <f>IFERROR(__xludf.DUMMYFUNCTION("IMPORTRANGE(""https://docs.google.com/spreadsheets/d/1Yj_ptqi66GCucihVvJfMjLAmec39IyEx_6qawtMGysU/edit?usp=sharing"",""สบก!CC91"")"),0.0)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IFERROR(__xludf.DUMMYFUNCTION("IMPORTRANGE(""https://docs.google.com/spreadsheets/d/1Yj_ptqi66GCucihVvJfMjLAmec39IyEx_6qawtMGysU/edit?usp=sharing"",""สบก!BX91"")"),0.0)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IFERROR(__xludf.DUMMYFUNCTION("IMPORTRANGE(""https://docs.google.com/spreadsheets/d/1Yj_ptqi66GCucihVvJfMjLAmec39IyEx_6qawtMGysU/edit?usp=sharing"",""สบก!BY91"")"),0.0)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IFERROR(__xludf.DUMMYFUNCTION("IMPORTRANGE(""https://docs.google.com/spreadsheets/d/1Yj_ptqi66GCucihVvJfMjLAmec39IyEx_6qawtMGysU/edit?usp=sharing"",""สบก!BZ91"")"),0.0)</f>
        <v>0</v>
      </c>
      <c r="M258" s="125"/>
      <c r="N258" s="115">
        <f>IFERROR(__xludf.DUMMYFUNCTION("IMPORTRANGE(""https://docs.google.com/spreadsheets/d/1Yj_ptqi66GCucihVvJfMjLAmec39IyEx_6qawtMGysU/edit?usp=sharing"",""สบก!CD91"")"),0.0)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IFERROR(__xludf.DUMMYFUNCTION("IMPORTRANGE(""https://docs.google.com/spreadsheets/d/1IYY_tgx_IHuhSq3AJ5eI5OnqOPBNLWSHKh2a30DoXe8/edit?usp=sharing"",""ระนอง!J175"")"),0.0)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IFERROR(__xludf.DUMMYFUNCTION("IMPORTRANGE(""https://docs.google.com/spreadsheets/d/1IYY_tgx_IHuhSq3AJ5eI5OnqOPBNLWSHKh2a30DoXe8/edit?usp=sharing"",""ระนอง!J176"")"),0.0)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IFERROR(__xludf.DUMMYFUNCTION("IMPORTRANGE(""https://docs.google.com/spreadsheets/d/1IYY_tgx_IHuhSq3AJ5eI5OnqOPBNLWSHKh2a30DoXe8/edit?usp=sharing"",""ระนอง!J177"")"),0.0)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IFERROR(__xludf.DUMMYFUNCTION("IMPORTRANGE(""https://docs.google.com/spreadsheets/d/1IYY_tgx_IHuhSq3AJ5eI5OnqOPBNLWSHKh2a30DoXe8/edit?usp=sharing"",""ระนอง!J178"")"),0.0)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IFERROR(__xludf.DUMMYFUNCTION("IMPORTRANGE(""https://docs.google.com/spreadsheets/d/1IYY_tgx_IHuhSq3AJ5eI5OnqOPBNLWSHKh2a30DoXe8/edit?usp=sharing"",""ระนอง!I179"")"),0.0)</f>
        <v>0</v>
      </c>
      <c r="J264" s="223">
        <f>IFERROR(__xludf.DUMMYFUNCTION("IMPORTRANGE(""https://docs.google.com/spreadsheets/d/1IYY_tgx_IHuhSq3AJ5eI5OnqOPBNLWSHKh2a30DoXe8/edit?usp=sharing"",""ระนอง!J179"")"),0.0)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IFERROR(__xludf.DUMMYFUNCTION("IMPORTRANGE(""https://docs.google.com/spreadsheets/d/1IYY_tgx_IHuhSq3AJ5eI5OnqOPBNLWSHKh2a30DoXe8/edit?usp=sharing"",""ระนอง!I180"")"),0.0)</f>
        <v>0</v>
      </c>
      <c r="J265" s="223">
        <f>IFERROR(__xludf.DUMMYFUNCTION("IMPORTRANGE(""https://docs.google.com/spreadsheets/d/1IYY_tgx_IHuhSq3AJ5eI5OnqOPBNLWSHKh2a30DoXe8/edit?usp=sharing"",""ระนอง!J180"")"),0.0)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IFERROR(__xludf.DUMMYFUNCTION("IMPORTRANGE(""https://docs.google.com/spreadsheets/d/1IYY_tgx_IHuhSq3AJ5eI5OnqOPBNLWSHKh2a30DoXe8/edit?usp=sharing"",""ระนอง!I181"")"),0.0)</f>
        <v>0</v>
      </c>
      <c r="J266" s="223">
        <f>IFERROR(__xludf.DUMMYFUNCTION("IMPORTRANGE(""https://docs.google.com/spreadsheets/d/1IYY_tgx_IHuhSq3AJ5eI5OnqOPBNLWSHKh2a30DoXe8/edit?usp=sharing"",""ระนอง!J181"")"),0.0)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IFERROR(__xludf.DUMMYFUNCTION("IMPORTRANGE(""https://docs.google.com/spreadsheets/d/1IYY_tgx_IHuhSq3AJ5eI5OnqOPBNLWSHKh2a30DoXe8/edit?usp=sharing"",""ระนอง!I182"")"),0.0)</f>
        <v>0</v>
      </c>
      <c r="J267" s="223">
        <f>IFERROR(__xludf.DUMMYFUNCTION("IMPORTRANGE(""https://docs.google.com/spreadsheets/d/1IYY_tgx_IHuhSq3AJ5eI5OnqOPBNLWSHKh2a30DoXe8/edit?usp=sharing"",""ระนอง!J182"")"),0.0)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IFERROR(__xludf.DUMMYFUNCTION("IMPORTRANGE(""https://docs.google.com/spreadsheets/d/1IYY_tgx_IHuhSq3AJ5eI5OnqOPBNLWSHKh2a30DoXe8/edit?usp=sharing"",""ระนอง!J183"")"),0.0)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IFERROR(__xludf.DUMMYFUNCTION("IMPORTRANGE(""https://docs.google.com/spreadsheets/d/1IYY_tgx_IHuhSq3AJ5eI5OnqOPBNLWSHKh2a30DoXe8/edit?usp=sharing"",""ระนอง!J184"")"),0.0)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IFERROR(__xludf.DUMMYFUNCTION("IMPORTRANGE(""https://docs.google.com/spreadsheets/d/1IYY_tgx_IHuhSq3AJ5eI5OnqOPBNLWSHKh2a30DoXe8/edit?usp=sharing"",""ระนอง!I185"")"),0.0)</f>
        <v>0</v>
      </c>
      <c r="J270" s="349">
        <f>IFERROR(__xludf.DUMMYFUNCTION("IMPORTRANGE(""https://docs.google.com/spreadsheets/d/1IYY_tgx_IHuhSq3AJ5eI5OnqOPBNLWSHKh2a30DoXe8/edit?usp=sharing"",""ระนอง!J185"")"),0.0)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IFERROR(__xludf.DUMMYFUNCTION("IMPORTRANGE(""https://docs.google.com/spreadsheets/d/1Yj_ptqi66GCucihVvJfMjLAmec39IyEx_6qawtMGysU/edit?usp=sharing"",""สบก!CK91"")"),0.0)</f>
        <v>0</v>
      </c>
      <c r="N275" s="202">
        <f>IFERROR(__xludf.DUMMYFUNCTION("IMPORTRANGE(""https://docs.google.com/spreadsheets/d/1Yj_ptqi66GCucihVvJfMjLAmec39IyEx_6qawtMGysU/edit?usp=sharing"",""สบก!CL91"")"),0.0)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IFERROR(__xludf.DUMMYFUNCTION("IMPORTRANGE(""https://docs.google.com/spreadsheets/d/1Yj_ptqi66GCucihVvJfMjLAmec39IyEx_6qawtMGysU/edit?usp=sharing"",""สบก!CG91"")"),0.0)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IFERROR(__xludf.DUMMYFUNCTION("IMPORTRANGE(""https://docs.google.com/spreadsheets/d/1Yj_ptqi66GCucihVvJfMjLAmec39IyEx_6qawtMGysU/edit?usp=sharing"",""สบก!CH91"")"),0.0)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IFERROR(__xludf.DUMMYFUNCTION("IMPORTRANGE(""https://docs.google.com/spreadsheets/d/1Yj_ptqi66GCucihVvJfMjLAmec39IyEx_6qawtMGysU/edit?usp=sharing"",""สบก!CI91"")"),0.0)</f>
        <v>0</v>
      </c>
      <c r="M279" s="125"/>
      <c r="N279" s="115">
        <f>IFERROR(__xludf.DUMMYFUNCTION("IMPORTRANGE(""https://docs.google.com/spreadsheets/d/1Yj_ptqi66GCucihVvJfMjLAmec39IyEx_6qawtMGysU/edit?usp=sharing"",""สบก!CM91"")"),0.0)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IFERROR(__xludf.DUMMYFUNCTION("IMPORTRANGE(""https://docs.google.com/spreadsheets/d/1IYY_tgx_IHuhSq3AJ5eI5OnqOPBNLWSHKh2a30DoXe8/edit?usp=sharing"",""ระนอง!J191"")"),0.0)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IFERROR(__xludf.DUMMYFUNCTION("IMPORTRANGE(""https://docs.google.com/spreadsheets/d/1IYY_tgx_IHuhSq3AJ5eI5OnqOPBNLWSHKh2a30DoXe8/edit?usp=sharing"",""ระนอง!J192"")"),0.0)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IFERROR(__xludf.DUMMYFUNCTION("IMPORTRANGE(""https://docs.google.com/spreadsheets/d/1IYY_tgx_IHuhSq3AJ5eI5OnqOPBNLWSHKh2a30DoXe8/edit?usp=sharing"",""ระนอง!J193"")"),0.0)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IFERROR(__xludf.DUMMYFUNCTION("IMPORTRANGE(""https://docs.google.com/spreadsheets/d/1IYY_tgx_IHuhSq3AJ5eI5OnqOPBNLWSHKh2a30DoXe8/edit?usp=sharing"",""ระนอง!J194"")"),0.0)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IFERROR(__xludf.DUMMYFUNCTION("IMPORTRANGE(""https://docs.google.com/spreadsheets/d/1IYY_tgx_IHuhSq3AJ5eI5OnqOPBNLWSHKh2a30DoXe8/edit?usp=sharing"",""ระนอง!I195"")"),0.0)</f>
        <v>0</v>
      </c>
      <c r="J285" s="223">
        <f>IFERROR(__xludf.DUMMYFUNCTION("IMPORTRANGE(""https://docs.google.com/spreadsheets/d/1IYY_tgx_IHuhSq3AJ5eI5OnqOPBNLWSHKh2a30DoXe8/edit?usp=sharing"",""ระนอง!J195"")"),0.0)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IFERROR(__xludf.DUMMYFUNCTION("IMPORTRANGE(""https://docs.google.com/spreadsheets/d/1IYY_tgx_IHuhSq3AJ5eI5OnqOPBNLWSHKh2a30DoXe8/edit?usp=sharing"",""ระนอง!J196"")"),0.0)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IFERROR(__xludf.DUMMYFUNCTION("IMPORTRANGE(""https://docs.google.com/spreadsheets/d/1IYY_tgx_IHuhSq3AJ5eI5OnqOPBNLWSHKh2a30DoXe8/edit?usp=sharing"",""ระนอง!J197"")"),0.0)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IFERROR(__xludf.DUMMYFUNCTION("IMPORTRANGE(""https://docs.google.com/spreadsheets/d/1IYY_tgx_IHuhSq3AJ5eI5OnqOPBNLWSHKh2a30DoXe8/edit?usp=sharing"",""ระนอง!I199"")"),0.0)</f>
        <v>0</v>
      </c>
      <c r="J289" s="349">
        <f>IFERROR(__xludf.DUMMYFUNCTION("IMPORTRANGE(""https://docs.google.com/spreadsheets/d/1IYY_tgx_IHuhSq3AJ5eI5OnqOPBNLWSHKh2a30DoXe8/edit?usp=sharing"",""ระนอง!J199"")"),0.0)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IFERROR(__xludf.DUMMYFUNCTION("IMPORTRANGE(""https://docs.google.com/spreadsheets/d/1Yj_ptqi66GCucihVvJfMjLAmec39IyEx_6qawtMGysU/edit?usp=sharing"",""สบก!CT91"")"),0.0)</f>
        <v>0</v>
      </c>
      <c r="N294" s="202">
        <f>IFERROR(__xludf.DUMMYFUNCTION("IMPORTRANGE(""https://docs.google.com/spreadsheets/d/1Yj_ptqi66GCucihVvJfMjLAmec39IyEx_6qawtMGysU/edit?usp=sharing"",""สบก!CU91"")"),0.0)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IFERROR(__xludf.DUMMYFUNCTION("IMPORTRANGE(""https://docs.google.com/spreadsheets/d/1Yj_ptqi66GCucihVvJfMjLAmec39IyEx_6qawtMGysU/edit?usp=sharing"",""สบก!CP91"")"),0.0)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IFERROR(__xludf.DUMMYFUNCTION("IMPORTRANGE(""https://docs.google.com/spreadsheets/d/1Yj_ptqi66GCucihVvJfMjLAmec39IyEx_6qawtMGysU/edit?usp=sharing"",""สบก!CQ91"")"),0.0)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IFERROR(__xludf.DUMMYFUNCTION("IMPORTRANGE(""https://docs.google.com/spreadsheets/d/1Yj_ptqi66GCucihVvJfMjLAmec39IyEx_6qawtMGysU/edit?usp=sharing"",""สบก!CR91"")"),0.0)</f>
        <v>0</v>
      </c>
      <c r="M298" s="125"/>
      <c r="N298" s="115">
        <f>IFERROR(__xludf.DUMMYFUNCTION("IMPORTRANGE(""https://docs.google.com/spreadsheets/d/1Yj_ptqi66GCucihVvJfMjLAmec39IyEx_6qawtMGysU/edit?usp=sharing"",""สบก!CV91"")"),0.0)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IFERROR(__xludf.DUMMYFUNCTION("IMPORTRANGE(""https://docs.google.com/spreadsheets/d/1IYY_tgx_IHuhSq3AJ5eI5OnqOPBNLWSHKh2a30DoXe8/edit?usp=sharing"",""ระนอง!J205"")"),0.0)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IFERROR(__xludf.DUMMYFUNCTION("IMPORTRANGE(""https://docs.google.com/spreadsheets/d/1IYY_tgx_IHuhSq3AJ5eI5OnqOPBNLWSHKh2a30DoXe8/edit?usp=sharing"",""ระนอง!J206"")"),0.0)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IFERROR(__xludf.DUMMYFUNCTION("IMPORTRANGE(""https://docs.google.com/spreadsheets/d/1IYY_tgx_IHuhSq3AJ5eI5OnqOPBNLWSHKh2a30DoXe8/edit?usp=sharing"",""ระนอง!J207"")"),0.0)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IFERROR(__xludf.DUMMYFUNCTION("IMPORTRANGE(""https://docs.google.com/spreadsheets/d/1IYY_tgx_IHuhSq3AJ5eI5OnqOPBNLWSHKh2a30DoXe8/edit?usp=sharing"",""ระนอง!J208"")"),0.0)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IFERROR(__xludf.DUMMYFUNCTION("IMPORTRANGE(""https://docs.google.com/spreadsheets/d/1IYY_tgx_IHuhSq3AJ5eI5OnqOPBNLWSHKh2a30DoXe8/edit?usp=sharing"",""ระนอง!I209"")"),0.0)</f>
        <v>0</v>
      </c>
      <c r="J304" s="238">
        <f>IFERROR(__xludf.DUMMYFUNCTION("IMPORTRANGE(""https://docs.google.com/spreadsheets/d/1IYY_tgx_IHuhSq3AJ5eI5OnqOPBNLWSHKh2a30DoXe8/edit?usp=sharing"",""ระนอง!J209"")"),0.0)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IFERROR(__xludf.DUMMYFUNCTION("IMPORTRANGE(""https://docs.google.com/spreadsheets/d/1IYY_tgx_IHuhSq3AJ5eI5OnqOPBNLWSHKh2a30DoXe8/edit?usp=sharing"",""ระนอง!I211"")"),0.0)</f>
        <v>0</v>
      </c>
      <c r="J306" s="238">
        <f>IFERROR(__xludf.DUMMYFUNCTION("IMPORTRANGE(""https://docs.google.com/spreadsheets/d/1IYY_tgx_IHuhSq3AJ5eI5OnqOPBNLWSHKh2a30DoXe8/edit?usp=sharing"",""ระนอง!J211"")"),0.0)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IFERROR(__xludf.DUMMYFUNCTION("IMPORTRANGE(""https://docs.google.com/spreadsheets/d/1IYY_tgx_IHuhSq3AJ5eI5OnqOPBNLWSHKh2a30DoXe8/edit?usp=sharing"",""ระนอง!J212"")"),0.0)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IFERROR(__xludf.DUMMYFUNCTION("IMPORTRANGE(""https://docs.google.com/spreadsheets/d/1IYY_tgx_IHuhSq3AJ5eI5OnqOPBNLWSHKh2a30DoXe8/edit?usp=sharing"",""ระนอง!J213"")"),0.0)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IFERROR(__xludf.DUMMYFUNCTION("IMPORTRANGE(""https://docs.google.com/spreadsheets/d/1IYY_tgx_IHuhSq3AJ5eI5OnqOPBNLWSHKh2a30DoXe8/edit?usp=sharing"",""ระนอง!I214"")"),0.0)</f>
        <v>0</v>
      </c>
      <c r="J309" s="366">
        <f>IFERROR(__xludf.DUMMYFUNCTION("IMPORTRANGE(""https://docs.google.com/spreadsheets/d/1IYY_tgx_IHuhSq3AJ5eI5OnqOPBNLWSHKh2a30DoXe8/edit?usp=sharing"",""ระนอง!J214"")"),0.0)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IFERROR(__xludf.DUMMYFUNCTION("IMPORTRANGE(""https://docs.google.com/spreadsheets/d/1Yj_ptqi66GCucihVvJfMjLAmec39IyEx_6qawtMGysU/edit?usp=sharing"",""สบก!DC91"")"),0.0)</f>
        <v>0</v>
      </c>
      <c r="N314" s="202">
        <f>IFERROR(__xludf.DUMMYFUNCTION("IMPORTRANGE(""https://docs.google.com/spreadsheets/d/1Yj_ptqi66GCucihVvJfMjLAmec39IyEx_6qawtMGysU/edit?usp=sharing"",""สบก!DD91"")"),0.0)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IFERROR(__xludf.DUMMYFUNCTION("IMPORTRANGE(""https://docs.google.com/spreadsheets/d/1Yj_ptqi66GCucihVvJfMjLAmec39IyEx_6qawtMGysU/edit?usp=sharing"",""สบก!CY91"")"),0.0)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IFERROR(__xludf.DUMMYFUNCTION("IMPORTRANGE(""https://docs.google.com/spreadsheets/d/1Yj_ptqi66GCucihVvJfMjLAmec39IyEx_6qawtMGysU/edit?usp=sharing"",""สบก!CZ91"")"),0.0)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IFERROR(__xludf.DUMMYFUNCTION("IMPORTRANGE(""https://docs.google.com/spreadsheets/d/1Yj_ptqi66GCucihVvJfMjLAmec39IyEx_6qawtMGysU/edit?usp=sharing"",""สบก!DA91"")"),0.0)</f>
        <v>0</v>
      </c>
      <c r="M318" s="125"/>
      <c r="N318" s="115">
        <f>IFERROR(__xludf.DUMMYFUNCTION("IMPORTRANGE(""https://docs.google.com/spreadsheets/d/1Yj_ptqi66GCucihVvJfMjLAmec39IyEx_6qawtMGysU/edit?usp=sharing"",""สบก!DE91"")"),0.0)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IFERROR(__xludf.DUMMYFUNCTION("IMPORTRANGE(""https://docs.google.com/spreadsheets/d/1IYY_tgx_IHuhSq3AJ5eI5OnqOPBNLWSHKh2a30DoXe8/edit?usp=sharing"",""ระนอง!J220"")"),0.0)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IFERROR(__xludf.DUMMYFUNCTION("IMPORTRANGE(""https://docs.google.com/spreadsheets/d/1IYY_tgx_IHuhSq3AJ5eI5OnqOPBNLWSHKh2a30DoXe8/edit?usp=sharing"",""ระนอง!J221"")"),0.0)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IFERROR(__xludf.DUMMYFUNCTION("IMPORTRANGE(""https://docs.google.com/spreadsheets/d/1IYY_tgx_IHuhSq3AJ5eI5OnqOPBNLWSHKh2a30DoXe8/edit?usp=sharing"",""ระนอง!J222"")"),0.0)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IFERROR(__xludf.DUMMYFUNCTION("IMPORTRANGE(""https://docs.google.com/spreadsheets/d/1IYY_tgx_IHuhSq3AJ5eI5OnqOPBNLWSHKh2a30DoXe8/edit?usp=sharing"",""ระนอง!J223"")"),0.0)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IFERROR(__xludf.DUMMYFUNCTION("IMPORTRANGE(""https://docs.google.com/spreadsheets/d/1IYY_tgx_IHuhSq3AJ5eI5OnqOPBNLWSHKh2a30DoXe8/edit?usp=sharing"",""ระนอง!I224"")"),0.0)</f>
        <v>0</v>
      </c>
      <c r="J324" s="238">
        <f>IFERROR(__xludf.DUMMYFUNCTION("IMPORTRANGE(""https://docs.google.com/spreadsheets/d/1IYY_tgx_IHuhSq3AJ5eI5OnqOPBNLWSHKh2a30DoXe8/edit?usp=sharing"",""ระนอง!J224"")"),0.0)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IFERROR(__xludf.DUMMYFUNCTION("IMPORTRANGE(""https://docs.google.com/spreadsheets/d/1IYY_tgx_IHuhSq3AJ5eI5OnqOPBNLWSHKh2a30DoXe8/edit?usp=sharing"",""ระนอง!J225"")"),0.0)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IFERROR(__xludf.DUMMYFUNCTION("IMPORTRANGE(""https://docs.google.com/spreadsheets/d/1IYY_tgx_IHuhSq3AJ5eI5OnqOPBNLWSHKh2a30DoXe8/edit?usp=sharing"",""ระนอง!J226"")"),0.0)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IFERROR(__xludf.DUMMYFUNCTION("IMPORTRANGE(""https://docs.google.com/spreadsheets/d/1IYY_tgx_IHuhSq3AJ5eI5OnqOPBNLWSHKh2a30DoXe8/edit?usp=sharing"",""ระนอง!I228"")"),75.0)</f>
        <v>75</v>
      </c>
      <c r="J328" s="372">
        <f>IFERROR(__xludf.DUMMYFUNCTION("IMPORTRANGE(""https://docs.google.com/spreadsheets/d/1IYY_tgx_IHuhSq3AJ5eI5OnqOPBNLWSHKh2a30DoXe8/edit?usp=sharing"",""ระนอง!J228"")"),9.0)</f>
        <v>9</v>
      </c>
      <c r="K328" s="350">
        <f>IF(I328&gt;0,J328*100/I328,0)</f>
        <v>12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1029350</v>
      </c>
      <c r="M329" s="183">
        <f t="shared" si="99"/>
        <v>523740</v>
      </c>
      <c r="N329" s="183">
        <f t="shared" si="99"/>
        <v>343648</v>
      </c>
      <c r="O329" s="182">
        <f t="shared" ref="O329:O331" si="101">IF(L329&gt;0,N329*100/L329,0)</f>
        <v>33.38495167</v>
      </c>
      <c r="P329" s="182">
        <f t="shared" ref="P329:P331" si="102">IF(M329&gt;0,N329*100/M329,0)</f>
        <v>65.61423607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1029350</v>
      </c>
      <c r="M331" s="188">
        <f t="shared" si="103"/>
        <v>523740</v>
      </c>
      <c r="N331" s="188">
        <f t="shared" si="103"/>
        <v>343648</v>
      </c>
      <c r="O331" s="187">
        <f t="shared" si="101"/>
        <v>33.38495167</v>
      </c>
      <c r="P331" s="187">
        <f t="shared" si="102"/>
        <v>65.61423607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1029350</v>
      </c>
      <c r="M333" s="201">
        <f>IFERROR(__xludf.DUMMYFUNCTION("IMPORTRANGE(""https://docs.google.com/spreadsheets/d/1Yj_ptqi66GCucihVvJfMjLAmec39IyEx_6qawtMGysU/edit?usp=sharing"",""สบก!DL91"")"),523740.0)</f>
        <v>523740</v>
      </c>
      <c r="N333" s="202">
        <f>IFERROR(__xludf.DUMMYFUNCTION("IMPORTRANGE(""https://docs.google.com/spreadsheets/d/1Yj_ptqi66GCucihVvJfMjLAmec39IyEx_6qawtMGysU/edit?usp=sharing"",""สบก!DM91"")"),343648.0)</f>
        <v>343648</v>
      </c>
      <c r="O333" s="203">
        <f>IF(L333&gt;0,N333*100/L333,0)</f>
        <v>33.38495167</v>
      </c>
      <c r="P333" s="203">
        <f>IF(M333&gt;0,N333*100/M333,0)</f>
        <v>65.61423607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IFERROR(__xludf.DUMMYFUNCTION("IMPORTRANGE(""https://docs.google.com/spreadsheets/d/1Yj_ptqi66GCucihVvJfMjLAmec39IyEx_6qawtMGysU/edit?usp=sharing"",""สบก!DH91"")"),777000.0)</f>
        <v>777000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IFERROR(__xludf.DUMMYFUNCTION("IMPORTRANGE(""https://docs.google.com/spreadsheets/d/1Yj_ptqi66GCucihVvJfMjLAmec39IyEx_6qawtMGysU/edit?usp=sharing"",""สบก!DI91"")"),252350.0)</f>
        <v>252350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IFERROR(__xludf.DUMMYFUNCTION("IMPORTRANGE(""https://docs.google.com/spreadsheets/d/1Yj_ptqi66GCucihVvJfMjLAmec39IyEx_6qawtMGysU/edit?usp=sharing"",""สบก!DJ91"")"),0.0)</f>
        <v>0</v>
      </c>
      <c r="M337" s="125"/>
      <c r="N337" s="115">
        <f>IFERROR(__xludf.DUMMYFUNCTION("IMPORTRANGE(""https://docs.google.com/spreadsheets/d/1Yj_ptqi66GCucihVvJfMjLAmec39IyEx_6qawtMGysU/edit?usp=sharing"",""สบก!DN91"")"),0.0)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IFERROR(__xludf.DUMMYFUNCTION("IMPORTRANGE(""https://docs.google.com/spreadsheets/d/1IYY_tgx_IHuhSq3AJ5eI5OnqOPBNLWSHKh2a30DoXe8/edit?usp=sharing"",""ระนอง!I234"")"),0.0)</f>
        <v>0</v>
      </c>
      <c r="J339" s="222">
        <f>IFERROR(__xludf.DUMMYFUNCTION("IMPORTRANGE(""https://docs.google.com/spreadsheets/d/1IYY_tgx_IHuhSq3AJ5eI5OnqOPBNLWSHKh2a30DoXe8/edit?usp=sharing"",""ระนอง!J234"")"),31.0)</f>
        <v>31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IFERROR(__xludf.DUMMYFUNCTION("IMPORTRANGE(""https://docs.google.com/spreadsheets/d/1IYY_tgx_IHuhSq3AJ5eI5OnqOPBNLWSHKh2a30DoXe8/edit?usp=sharing"",""ระนอง!I235"")"),540.0)</f>
        <v>540</v>
      </c>
      <c r="J340" s="222">
        <f>IFERROR(__xludf.DUMMYFUNCTION("IMPORTRANGE(""https://docs.google.com/spreadsheets/d/1IYY_tgx_IHuhSq3AJ5eI5OnqOPBNLWSHKh2a30DoXe8/edit?usp=sharing"",""ระนอง!J235"")"),312.61)</f>
        <v>312.61</v>
      </c>
      <c r="K340" s="375">
        <f t="shared" si="104"/>
        <v>57.89074074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IFERROR(__xludf.DUMMYFUNCTION("IMPORTRANGE(""https://docs.google.com/spreadsheets/d/1IYY_tgx_IHuhSq3AJ5eI5OnqOPBNLWSHKh2a30DoXe8/edit?usp=sharing"",""ระนอง!I236"")"),75.0)</f>
        <v>75</v>
      </c>
      <c r="J341" s="222">
        <f>IFERROR(__xludf.DUMMYFUNCTION("IMPORTRANGE(""https://docs.google.com/spreadsheets/d/1IYY_tgx_IHuhSq3AJ5eI5OnqOPBNLWSHKh2a30DoXe8/edit?usp=sharing"",""ระนอง!J236"")"),13.0)</f>
        <v>13</v>
      </c>
      <c r="K341" s="375">
        <f t="shared" si="104"/>
        <v>17.33333333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IFERROR(__xludf.DUMMYFUNCTION("IMPORTRANGE(""https://docs.google.com/spreadsheets/d/1IYY_tgx_IHuhSq3AJ5eI5OnqOPBNLWSHKh2a30DoXe8/edit?usp=sharing"",""ระนอง!I237"")"),0.0)</f>
        <v>0</v>
      </c>
      <c r="J342" s="222">
        <f>IFERROR(__xludf.DUMMYFUNCTION("IMPORTRANGE(""https://docs.google.com/spreadsheets/d/1IYY_tgx_IHuhSq3AJ5eI5OnqOPBNLWSHKh2a30DoXe8/edit?usp=sharing"",""ระนอง!J237"")"),136.59)</f>
        <v>136.59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IFERROR(__xludf.DUMMYFUNCTION("IMPORTRANGE(""https://docs.google.com/spreadsheets/d/1IYY_tgx_IHuhSq3AJ5eI5OnqOPBNLWSHKh2a30DoXe8/edit?usp=sharing"",""ระนอง!I238"")"),75.0)</f>
        <v>75</v>
      </c>
      <c r="J343" s="222">
        <f>IFERROR(__xludf.DUMMYFUNCTION("IMPORTRANGE(""https://docs.google.com/spreadsheets/d/1IYY_tgx_IHuhSq3AJ5eI5OnqOPBNLWSHKh2a30DoXe8/edit?usp=sharing"",""ระนอง!J238"")"),0.0)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IFERROR(__xludf.DUMMYFUNCTION("IMPORTRANGE(""https://docs.google.com/spreadsheets/d/1IYY_tgx_IHuhSq3AJ5eI5OnqOPBNLWSHKh2a30DoXe8/edit?usp=sharing"",""ระนอง!I239"")"),0.0)</f>
        <v>0</v>
      </c>
      <c r="J344" s="222">
        <f>IFERROR(__xludf.DUMMYFUNCTION("IMPORTRANGE(""https://docs.google.com/spreadsheets/d/1IYY_tgx_IHuhSq3AJ5eI5OnqOPBNLWSHKh2a30DoXe8/edit?usp=sharing"",""ระนอง!J239"")"),0.0)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IFERROR(__xludf.DUMMYFUNCTION("IMPORTRANGE(""https://docs.google.com/spreadsheets/d/1IYY_tgx_IHuhSq3AJ5eI5OnqOPBNLWSHKh2a30DoXe8/edit?usp=sharing"",""ระนอง!I240"")"),75.0)</f>
        <v>75</v>
      </c>
      <c r="J345" s="222">
        <f>IFERROR(__xludf.DUMMYFUNCTION("IMPORTRANGE(""https://docs.google.com/spreadsheets/d/1IYY_tgx_IHuhSq3AJ5eI5OnqOPBNLWSHKh2a30DoXe8/edit?usp=sharing"",""ระนอง!J240"")"),9.0)</f>
        <v>9</v>
      </c>
      <c r="K345" s="375">
        <f t="shared" si="104"/>
        <v>12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IFERROR(__xludf.DUMMYFUNCTION("IMPORTRANGE(""https://docs.google.com/spreadsheets/d/1IYY_tgx_IHuhSq3AJ5eI5OnqOPBNLWSHKh2a30DoXe8/edit?usp=sharing"",""ระนอง!I241"")"),0.0)</f>
        <v>0</v>
      </c>
      <c r="J346" s="222">
        <f>IFERROR(__xludf.DUMMYFUNCTION("IMPORTRANGE(""https://docs.google.com/spreadsheets/d/1IYY_tgx_IHuhSq3AJ5eI5OnqOPBNLWSHKh2a30DoXe8/edit?usp=sharing"",""ระนอง!J241"")"),90.08)</f>
        <v>90.08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IFERROR(__xludf.DUMMYFUNCTION("IMPORTRANGE(""https://docs.google.com/spreadsheets/d/1IYY_tgx_IHuhSq3AJ5eI5OnqOPBNLWSHKh2a30DoXe8/edit?usp=sharing"",""ระนอง!L242"")"),1564327.0)</f>
        <v>1564327</v>
      </c>
      <c r="M347" s="391"/>
      <c r="N347" s="391">
        <f>IFERROR(__xludf.DUMMYFUNCTION("IMPORTRANGE(""https://docs.google.com/spreadsheets/d/1IYY_tgx_IHuhSq3AJ5eI5OnqOPBNLWSHKh2a30DoXe8/edit?usp=sharing"",""ระนอง!M242"")"),468052.0)</f>
        <v>468052</v>
      </c>
      <c r="O347" s="391">
        <f>+IF(L347&gt;0,N347*100/L347,0)</f>
        <v>29.92034274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IFERROR(__xludf.DUMMYFUNCTION("IMPORTRANGE(""https://docs.google.com/spreadsheets/d/1IYY_tgx_IHuhSq3AJ5eI5OnqOPBNLWSHKh2a30DoXe8/edit?usp=sharing"",""ระนอง!I244"")"),20.0)</f>
        <v>20</v>
      </c>
      <c r="J349" s="404">
        <f>IFERROR(__xludf.DUMMYFUNCTION("IMPORTRANGE(""https://docs.google.com/spreadsheets/d/1IYY_tgx_IHuhSq3AJ5eI5OnqOPBNLWSHKh2a30DoXe8/edit?usp=sharing"",""ระนอง!J244"")"),20.0)</f>
        <v>20</v>
      </c>
      <c r="K349" s="405">
        <f t="shared" ref="K349:K350" si="105">IF(I349&gt;0,J349*100/I349,0)</f>
        <v>100</v>
      </c>
      <c r="L349" s="406">
        <f>IFERROR(__xludf.DUMMYFUNCTION("IMPORTRANGE(""https://docs.google.com/spreadsheets/d/1IYY_tgx_IHuhSq3AJ5eI5OnqOPBNLWSHKh2a30DoXe8/edit?usp=sharing"",""ระนอง!L244"")"),65120.0)</f>
        <v>65120</v>
      </c>
      <c r="M349" s="406"/>
      <c r="N349" s="406">
        <f>IFERROR(__xludf.DUMMYFUNCTION("IMPORTRANGE(""https://docs.google.com/spreadsheets/d/1IYY_tgx_IHuhSq3AJ5eI5OnqOPBNLWSHKh2a30DoXe8/edit?usp=sharing"",""ระนอง!M244"")"),53430.0)</f>
        <v>53430</v>
      </c>
      <c r="O349" s="406">
        <f>+IF(L349&gt;0,N349*100/L349,0)</f>
        <v>82.0485258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IFERROR(__xludf.DUMMYFUNCTION("IMPORTRANGE(""https://docs.google.com/spreadsheets/d/1IYY_tgx_IHuhSq3AJ5eI5OnqOPBNLWSHKh2a30DoXe8/edit?usp=sharing"",""ระนอง!I245"")"),20.0)</f>
        <v>20</v>
      </c>
      <c r="J350" s="404">
        <f>IFERROR(__xludf.DUMMYFUNCTION("IMPORTRANGE(""https://docs.google.com/spreadsheets/d/1IYY_tgx_IHuhSq3AJ5eI5OnqOPBNLWSHKh2a30DoXe8/edit?usp=sharing"",""ระนอง!J245"")"),20.0)</f>
        <v>20</v>
      </c>
      <c r="K350" s="405">
        <f t="shared" si="105"/>
        <v>100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IFERROR(__xludf.DUMMYFUNCTION("IMPORTRANGE(""https://docs.google.com/spreadsheets/d/1IYY_tgx_IHuhSq3AJ5eI5OnqOPBNLWSHKh2a30DoXe8/edit?usp=sharing"",""ระนอง!L246"")"),0.0)</f>
        <v>0</v>
      </c>
      <c r="M351" s="197"/>
      <c r="N351" s="197">
        <f>IFERROR(__xludf.DUMMYFUNCTION("IMPORTRANGE(""https://docs.google.com/spreadsheets/d/1IYY_tgx_IHuhSq3AJ5eI5OnqOPBNLWSHKh2a30DoXe8/edit?usp=sharing"",""ระนอง!M246"")"),0.0)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IFERROR(__xludf.DUMMYFUNCTION("IMPORTRANGE(""https://docs.google.com/spreadsheets/d/1IYY_tgx_IHuhSq3AJ5eI5OnqOPBNLWSHKh2a30DoXe8/edit?usp=sharing"",""ระนอง!L247"")"),65120.0)</f>
        <v>65120</v>
      </c>
      <c r="M352" s="198"/>
      <c r="N352" s="197">
        <f>IFERROR(__xludf.DUMMYFUNCTION("IMPORTRANGE(""https://docs.google.com/spreadsheets/d/1IYY_tgx_IHuhSq3AJ5eI5OnqOPBNLWSHKh2a30DoXe8/edit?usp=sharing"",""ระนอง!M247"")"),53430.0)</f>
        <v>53430</v>
      </c>
      <c r="O352" s="198">
        <f t="shared" si="106"/>
        <v>82.0485258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IFERROR(__xludf.DUMMYFUNCTION("IMPORTRANGE(""https://docs.google.com/spreadsheets/d/1IYY_tgx_IHuhSq3AJ5eI5OnqOPBNLWSHKh2a30DoXe8/edit?usp=sharing"",""ระนอง!L248"")"),0.0)</f>
        <v>0</v>
      </c>
      <c r="M353" s="203"/>
      <c r="N353" s="203">
        <f>IFERROR(__xludf.DUMMYFUNCTION("IMPORTRANGE(""https://docs.google.com/spreadsheets/d/1IYY_tgx_IHuhSq3AJ5eI5OnqOPBNLWSHKh2a30DoXe8/edit?usp=sharing"",""ระนอง!M248"")"),0.0)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IFERROR(__xludf.DUMMYFUNCTION("IMPORTRANGE(""https://docs.google.com/spreadsheets/d/1IYY_tgx_IHuhSq3AJ5eI5OnqOPBNLWSHKh2a30DoXe8/edit?usp=sharing"",""ระนอง!L249"")"),65120.0)</f>
        <v>65120</v>
      </c>
      <c r="M354" s="203"/>
      <c r="N354" s="200">
        <f>IFERROR(__xludf.DUMMYFUNCTION("IMPORTRANGE(""https://docs.google.com/spreadsheets/d/1IYY_tgx_IHuhSq3AJ5eI5OnqOPBNLWSHKh2a30DoXe8/edit?usp=sharing"",""ระนอง!M249"")"),53430.0)</f>
        <v>53430</v>
      </c>
      <c r="O354" s="203">
        <f t="shared" si="106"/>
        <v>82.0485258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IFERROR(__xludf.DUMMYFUNCTION("IMPORTRANGE(""https://docs.google.com/spreadsheets/d/1IYY_tgx_IHuhSq3AJ5eI5OnqOPBNLWSHKh2a30DoXe8/edit?usp=sharing"",""ระนอง!M250"")"),26600.0)</f>
        <v>26600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IFERROR(__xludf.DUMMYFUNCTION("IMPORTRANGE(""https://docs.google.com/spreadsheets/d/1IYY_tgx_IHuhSq3AJ5eI5OnqOPBNLWSHKh2a30DoXe8/edit?usp=sharing"",""ระนอง!M251"")"),20100.0)</f>
        <v>20100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IFERROR(__xludf.DUMMYFUNCTION("IMPORTRANGE(""https://docs.google.com/spreadsheets/d/1IYY_tgx_IHuhSq3AJ5eI5OnqOPBNLWSHKh2a30DoXe8/edit?usp=sharing"",""ระนอง!M252"")"),0.0)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IFERROR(__xludf.DUMMYFUNCTION("IMPORTRANGE(""https://docs.google.com/spreadsheets/d/1IYY_tgx_IHuhSq3AJ5eI5OnqOPBNLWSHKh2a30DoXe8/edit?usp=sharing"",""ระนอง!M253"")"),6730.0)</f>
        <v>6730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IFERROR(__xludf.DUMMYFUNCTION("IMPORTRANGE(""https://docs.google.com/spreadsheets/d/1IYY_tgx_IHuhSq3AJ5eI5OnqOPBNLWSHKh2a30DoXe8/edit?usp=sharing"",""ระนอง!J255"")"),0.0)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IFERROR(__xludf.DUMMYFUNCTION("IMPORTRANGE(""https://docs.google.com/spreadsheets/d/1IYY_tgx_IHuhSq3AJ5eI5OnqOPBNLWSHKh2a30DoXe8/edit?usp=sharing"",""ระนอง!J256"")"),1.0)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IFERROR(__xludf.DUMMYFUNCTION("IMPORTRANGE(""https://docs.google.com/spreadsheets/d/1IYY_tgx_IHuhSq3AJ5eI5OnqOPBNLWSHKh2a30DoXe8/edit?usp=sharing"",""ระนอง!J257"")"),1.0)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IFERROR(__xludf.DUMMYFUNCTION("IMPORTRANGE(""https://docs.google.com/spreadsheets/d/1IYY_tgx_IHuhSq3AJ5eI5OnqOPBNLWSHKh2a30DoXe8/edit?usp=sharing"",""ระนอง!J258"")"),1.0)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IFERROR(__xludf.DUMMYFUNCTION("IMPORTRANGE(""https://docs.google.com/spreadsheets/d/1IYY_tgx_IHuhSq3AJ5eI5OnqOPBNLWSHKh2a30DoXe8/edit?usp=sharing"",""ระนอง!J166"")"),0.0)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IFERROR(__xludf.DUMMYFUNCTION("IMPORTRANGE(""https://docs.google.com/spreadsheets/d/1IYY_tgx_IHuhSq3AJ5eI5OnqOPBNLWSHKh2a30DoXe8/edit?usp=sharing"",""ระนอง!J166"")"),0.0)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IFERROR(__xludf.DUMMYFUNCTION("IMPORTRANGE(""https://docs.google.com/spreadsheets/d/1IYY_tgx_IHuhSq3AJ5eI5OnqOPBNLWSHKh2a30DoXe8/edit?usp=sharing"",""ระนอง!J166"")"),0.0)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IFERROR(__xludf.DUMMYFUNCTION("IMPORTRANGE(""https://docs.google.com/spreadsheets/d/1IYY_tgx_IHuhSq3AJ5eI5OnqOPBNLWSHKh2a30DoXe8/edit?usp=sharing"",""ระนอง!J166"")"),0.0)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IFERROR(__xludf.DUMMYFUNCTION("IMPORTRANGE(""https://docs.google.com/spreadsheets/d/1IYY_tgx_IHuhSq3AJ5eI5OnqOPBNLWSHKh2a30DoXe8/edit?usp=sharing"",""ระนอง!I263"")"),20.0)</f>
        <v>20</v>
      </c>
      <c r="J368" s="222">
        <f>IFERROR(__xludf.DUMMYFUNCTION("IMPORTRANGE(""https://docs.google.com/spreadsheets/d/1IYY_tgx_IHuhSq3AJ5eI5OnqOPBNLWSHKh2a30DoXe8/edit?usp=sharing"",""ระนอง!J263"")"),20.0)</f>
        <v>20</v>
      </c>
      <c r="K368" s="196">
        <f t="shared" si="107"/>
        <v>100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IFERROR(__xludf.DUMMYFUNCTION("IMPORTRANGE(""https://docs.google.com/spreadsheets/d/1IYY_tgx_IHuhSq3AJ5eI5OnqOPBNLWSHKh2a30DoXe8/edit?usp=sharing"",""ระนอง!I164"")"),0.0)</f>
        <v>0</v>
      </c>
      <c r="J369" s="238">
        <f>IFERROR(__xludf.DUMMYFUNCTION("IMPORTRANGE(""https://docs.google.com/spreadsheets/d/1IYY_tgx_IHuhSq3AJ5eI5OnqOPBNLWSHKh2a30DoXe8/edit?usp=sharing"",""ระนอง!J164"")"),0.0)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IFERROR(__xludf.DUMMYFUNCTION("IMPORTRANGE(""https://docs.google.com/spreadsheets/d/1IYY_tgx_IHuhSq3AJ5eI5OnqOPBNLWSHKh2a30DoXe8/edit?usp=sharing"",""ระนอง!I265"")"),20.0)</f>
        <v>20</v>
      </c>
      <c r="J370" s="238">
        <f>IFERROR(__xludf.DUMMYFUNCTION("IMPORTRANGE(""https://docs.google.com/spreadsheets/d/1IYY_tgx_IHuhSq3AJ5eI5OnqOPBNLWSHKh2a30DoXe8/edit?usp=sharing"",""ระนอง!J265"")"),20.0)</f>
        <v>20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IFERROR(__xludf.DUMMYFUNCTION("IMPORTRANGE(""https://docs.google.com/spreadsheets/d/1IYY_tgx_IHuhSq3AJ5eI5OnqOPBNLWSHKh2a30DoXe8/edit?usp=sharing"",""ระนอง!I164"")"),0.0)</f>
        <v>0</v>
      </c>
      <c r="J371" s="223">
        <f>IFERROR(__xludf.DUMMYFUNCTION("IMPORTRANGE(""https://docs.google.com/spreadsheets/d/1IYY_tgx_IHuhSq3AJ5eI5OnqOPBNLWSHKh2a30DoXe8/edit?usp=sharing"",""ระนอง!J164"")"),0.0)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IFERROR(__xludf.DUMMYFUNCTION("IMPORTRANGE(""https://docs.google.com/spreadsheets/d/1IYY_tgx_IHuhSq3AJ5eI5OnqOPBNLWSHKh2a30DoXe8/edit?usp=sharing"",""ระนอง!I267"")"),20.0)</f>
        <v>20</v>
      </c>
      <c r="J372" s="223">
        <f>IFERROR(__xludf.DUMMYFUNCTION("IMPORTRANGE(""https://docs.google.com/spreadsheets/d/1IYY_tgx_IHuhSq3AJ5eI5OnqOPBNLWSHKh2a30DoXe8/edit?usp=sharing"",""ระนอง!J267"")"),20.0)</f>
        <v>20</v>
      </c>
      <c r="K372" s="196">
        <f t="shared" si="107"/>
        <v>100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IFERROR(__xludf.DUMMYFUNCTION("IMPORTRANGE(""https://docs.google.com/spreadsheets/d/1IYY_tgx_IHuhSq3AJ5eI5OnqOPBNLWSHKh2a30DoXe8/edit?usp=sharing"",""ระนอง!I164"")"),0.0)</f>
        <v>0</v>
      </c>
      <c r="J373" s="238">
        <f>IFERROR(__xludf.DUMMYFUNCTION("IMPORTRANGE(""https://docs.google.com/spreadsheets/d/1IYY_tgx_IHuhSq3AJ5eI5OnqOPBNLWSHKh2a30DoXe8/edit?usp=sharing"",""ระนอง!J164"")"),0.0)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IFERROR(__xludf.DUMMYFUNCTION("IMPORTRANGE(""https://docs.google.com/spreadsheets/d/1IYY_tgx_IHuhSq3AJ5eI5OnqOPBNLWSHKh2a30DoXe8/edit?usp=sharing"",""ระนอง!I164"")"),0.0)</f>
        <v>0</v>
      </c>
      <c r="J374" s="222">
        <f>IFERROR(__xludf.DUMMYFUNCTION("IMPORTRANGE(""https://docs.google.com/spreadsheets/d/1IYY_tgx_IHuhSq3AJ5eI5OnqOPBNLWSHKh2a30DoXe8/edit?usp=sharing"",""ระนอง!J164"")"),0.0)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IFERROR(__xludf.DUMMYFUNCTION("IMPORTRANGE(""https://docs.google.com/spreadsheets/d/1IYY_tgx_IHuhSq3AJ5eI5OnqOPBNLWSHKh2a30DoXe8/edit?usp=sharing"",""ระนอง!I270"")"),20.0)</f>
        <v>20</v>
      </c>
      <c r="J375" s="222">
        <f>IFERROR(__xludf.DUMMYFUNCTION("IMPORTRANGE(""https://docs.google.com/spreadsheets/d/1IYY_tgx_IHuhSq3AJ5eI5OnqOPBNLWSHKh2a30DoXe8/edit?usp=sharing"",""ระนอง!J270"")"),20.0)</f>
        <v>20</v>
      </c>
      <c r="K375" s="196">
        <f t="shared" ref="K375:K377" si="108">IF(I375&gt;0,J375*100/I375,0)</f>
        <v>100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IFERROR(__xludf.DUMMYFUNCTION("IMPORTRANGE(""https://docs.google.com/spreadsheets/d/1IYY_tgx_IHuhSq3AJ5eI5OnqOPBNLWSHKh2a30DoXe8/edit?usp=sharing"",""ระนอง!I271"")"),0.0)</f>
        <v>0</v>
      </c>
      <c r="J376" s="223">
        <f>IFERROR(__xludf.DUMMYFUNCTION("IMPORTRANGE(""https://docs.google.com/spreadsheets/d/1IYY_tgx_IHuhSq3AJ5eI5OnqOPBNLWSHKh2a30DoXe8/edit?usp=sharing"",""ระนอง!J271"")"),0.0)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IFERROR(__xludf.DUMMYFUNCTION("IMPORTRANGE(""https://docs.google.com/spreadsheets/d/1IYY_tgx_IHuhSq3AJ5eI5OnqOPBNLWSHKh2a30DoXe8/edit?usp=sharing"",""ระนอง!I272"")"),20.0)</f>
        <v>20</v>
      </c>
      <c r="J377" s="238">
        <f>IFERROR(__xludf.DUMMYFUNCTION("IMPORTRANGE(""https://docs.google.com/spreadsheets/d/1IYY_tgx_IHuhSq3AJ5eI5OnqOPBNLWSHKh2a30DoXe8/edit?usp=sharing"",""ระนอง!J272"")"),20.0)</f>
        <v>20</v>
      </c>
      <c r="K377" s="196">
        <f t="shared" si="108"/>
        <v>100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IFERROR(__xludf.DUMMYFUNCTION("IMPORTRANGE(""https://docs.google.com/spreadsheets/d/1IYY_tgx_IHuhSq3AJ5eI5OnqOPBNLWSHKh2a30DoXe8/edit?usp=sharing"",""ระนอง!J273"")"),0.0)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IFERROR(__xludf.DUMMYFUNCTION("IMPORTRANGE(""https://docs.google.com/spreadsheets/d/1IYY_tgx_IHuhSq3AJ5eI5OnqOPBNLWSHKh2a30DoXe8/edit?usp=sharing"",""ระนอง!J274"")"),0.0)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IFERROR(__xludf.DUMMYFUNCTION("IMPORTRANGE(""https://docs.google.com/spreadsheets/d/1IYY_tgx_IHuhSq3AJ5eI5OnqOPBNLWSHKh2a30DoXe8/edit?usp=sharing"",""ระนอง!I275"")"),1000.0)</f>
        <v>1000</v>
      </c>
      <c r="J380" s="404">
        <f>IFERROR(__xludf.DUMMYFUNCTION("IMPORTRANGE(""https://docs.google.com/spreadsheets/d/1IYY_tgx_IHuhSq3AJ5eI5OnqOPBNLWSHKh2a30DoXe8/edit?usp=sharing"",""ระนอง!J275"")"),0.0)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IFERROR(__xludf.DUMMYFUNCTION("IMPORTRANGE(""https://docs.google.com/spreadsheets/d/1IYY_tgx_IHuhSq3AJ5eI5OnqOPBNLWSHKh2a30DoXe8/edit?usp=sharing"",""ระนอง!L275"")"),1028520.0)</f>
        <v>1028520</v>
      </c>
      <c r="M380" s="406"/>
      <c r="N380" s="406">
        <f>IFERROR(__xludf.DUMMYFUNCTION("IMPORTRANGE(""https://docs.google.com/spreadsheets/d/1IYY_tgx_IHuhSq3AJ5eI5OnqOPBNLWSHKh2a30DoXe8/edit?usp=sharing"",""ระนอง!M275"")"),230450.0)</f>
        <v>230450</v>
      </c>
      <c r="O380" s="406">
        <f>+IF(L380&gt;0,N380*100/L380,0)</f>
        <v>22.40598141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IFERROR(__xludf.DUMMYFUNCTION("IMPORTRANGE(""https://docs.google.com/spreadsheets/d/1IYY_tgx_IHuhSq3AJ5eI5OnqOPBNLWSHKh2a30DoXe8/edit?usp=sharing"",""ระนอง!I276"")"),100.0)</f>
        <v>100</v>
      </c>
      <c r="J381" s="404">
        <f>IFERROR(__xludf.DUMMYFUNCTION("IMPORTRANGE(""https://docs.google.com/spreadsheets/d/1IYY_tgx_IHuhSq3AJ5eI5OnqOPBNLWSHKh2a30DoXe8/edit?usp=sharing"",""ระนอง!J276"")"),0.0)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IFERROR(__xludf.DUMMYFUNCTION("IMPORTRANGE(""https://docs.google.com/spreadsheets/d/1IYY_tgx_IHuhSq3AJ5eI5OnqOPBNLWSHKh2a30DoXe8/edit?usp=sharing"",""ระนอง!L277"")"),0.0)</f>
        <v>0</v>
      </c>
      <c r="M382" s="197"/>
      <c r="N382" s="197">
        <f>IFERROR(__xludf.DUMMYFUNCTION("IMPORTRANGE(""https://docs.google.com/spreadsheets/d/1IYY_tgx_IHuhSq3AJ5eI5OnqOPBNLWSHKh2a30DoXe8/edit?usp=sharing"",""ระนอง!M277"")"),0.0)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IFERROR(__xludf.DUMMYFUNCTION("IMPORTRANGE(""https://docs.google.com/spreadsheets/d/1IYY_tgx_IHuhSq3AJ5eI5OnqOPBNLWSHKh2a30DoXe8/edit?usp=sharing"",""ระนอง!L278"")"),1028520.0)</f>
        <v>1028520</v>
      </c>
      <c r="M383" s="198"/>
      <c r="N383" s="198">
        <f>IFERROR(__xludf.DUMMYFUNCTION("IMPORTRANGE(""https://docs.google.com/spreadsheets/d/1IYY_tgx_IHuhSq3AJ5eI5OnqOPBNLWSHKh2a30DoXe8/edit?usp=sharing"",""ระนอง!M278"")"),230450.0)</f>
        <v>230450</v>
      </c>
      <c r="O383" s="198">
        <f t="shared" si="110"/>
        <v>22.40598141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IFERROR(__xludf.DUMMYFUNCTION("IMPORTRANGE(""https://docs.google.com/spreadsheets/d/1IYY_tgx_IHuhSq3AJ5eI5OnqOPBNLWSHKh2a30DoXe8/edit?usp=sharing"",""ระนอง!L279"")"),0.0)</f>
        <v>0</v>
      </c>
      <c r="M384" s="203"/>
      <c r="N384" s="203">
        <f>IFERROR(__xludf.DUMMYFUNCTION("IMPORTRANGE(""https://docs.google.com/spreadsheets/d/1IYY_tgx_IHuhSq3AJ5eI5OnqOPBNLWSHKh2a30DoXe8/edit?usp=sharing"",""ระนอง!M279"")"),0.0)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IFERROR(__xludf.DUMMYFUNCTION("IMPORTRANGE(""https://docs.google.com/spreadsheets/d/1IYY_tgx_IHuhSq3AJ5eI5OnqOPBNLWSHKh2a30DoXe8/edit?usp=sharing"",""ระนอง!L280"")"),1028520.0)</f>
        <v>1028520</v>
      </c>
      <c r="M385" s="203"/>
      <c r="N385" s="200">
        <f>IFERROR(__xludf.DUMMYFUNCTION("IMPORTRANGE(""https://docs.google.com/spreadsheets/d/1IYY_tgx_IHuhSq3AJ5eI5OnqOPBNLWSHKh2a30DoXe8/edit?usp=sharing"",""ระนอง!M280"")"),230450.0)</f>
        <v>230450</v>
      </c>
      <c r="O385" s="203">
        <f t="shared" si="110"/>
        <v>22.40598141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IFERROR(__xludf.DUMMYFUNCTION("IMPORTRANGE(""https://docs.google.com/spreadsheets/d/1IYY_tgx_IHuhSq3AJ5eI5OnqOPBNLWSHKh2a30DoXe8/edit?usp=sharing"",""ระนอง!M281"")"),156280.0)</f>
        <v>156280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IFERROR(__xludf.DUMMYFUNCTION("IMPORTRANGE(""https://docs.google.com/spreadsheets/d/1IYY_tgx_IHuhSq3AJ5eI5OnqOPBNLWSHKh2a30DoXe8/edit?usp=sharing"",""ระนอง!M282"")"),0.0)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IFERROR(__xludf.DUMMYFUNCTION("IMPORTRANGE(""https://docs.google.com/spreadsheets/d/1IYY_tgx_IHuhSq3AJ5eI5OnqOPBNLWSHKh2a30DoXe8/edit?usp=sharing"",""ระนอง!M283"")"),42900.0)</f>
        <v>42900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IFERROR(__xludf.DUMMYFUNCTION("IMPORTRANGE(""https://docs.google.com/spreadsheets/d/1IYY_tgx_IHuhSq3AJ5eI5OnqOPBNLWSHKh2a30DoXe8/edit?usp=sharing"",""ระนอง!M284"")"),31270.0)</f>
        <v>31270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IFERROR(__xludf.DUMMYFUNCTION("IMPORTRANGE(""https://docs.google.com/spreadsheets/d/1IYY_tgx_IHuhSq3AJ5eI5OnqOPBNLWSHKh2a30DoXe8/edit?usp=sharing"",""ระนอง!J286"")"),0.0)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IFERROR(__xludf.DUMMYFUNCTION("IMPORTRANGE(""https://docs.google.com/spreadsheets/d/1IYY_tgx_IHuhSq3AJ5eI5OnqOPBNLWSHKh2a30DoXe8/edit?usp=sharing"",""ระนอง!J287"")"),1.0)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IFERROR(__xludf.DUMMYFUNCTION("IMPORTRANGE(""https://docs.google.com/spreadsheets/d/1IYY_tgx_IHuhSq3AJ5eI5OnqOPBNLWSHKh2a30DoXe8/edit?usp=sharing"",""ระนอง!J288"")"),1.0)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IFERROR(__xludf.DUMMYFUNCTION("IMPORTRANGE(""https://docs.google.com/spreadsheets/d/1IYY_tgx_IHuhSq3AJ5eI5OnqOPBNLWSHKh2a30DoXe8/edit?usp=sharing"",""ระนอง!J289"")"),1.0)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IFERROR(__xludf.DUMMYFUNCTION("IMPORTRANGE(""https://docs.google.com/spreadsheets/d/1IYY_tgx_IHuhSq3AJ5eI5OnqOPBNLWSHKh2a30DoXe8/edit?usp=sharing"",""ระนอง!I291"")"),100.0)</f>
        <v>100</v>
      </c>
      <c r="J396" s="232">
        <f>IFERROR(__xludf.DUMMYFUNCTION("IMPORTRANGE(""https://docs.google.com/spreadsheets/d/1IYY_tgx_IHuhSq3AJ5eI5OnqOPBNLWSHKh2a30DoXe8/edit?usp=sharing"",""ระนอง!J291"")"),0.0)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IFERROR(__xludf.DUMMYFUNCTION("IMPORTRANGE(""https://docs.google.com/spreadsheets/d/1IYY_tgx_IHuhSq3AJ5eI5OnqOPBNLWSHKh2a30DoXe8/edit?usp=sharing"",""ระนอง!I292"")"),1000.0)</f>
        <v>1000</v>
      </c>
      <c r="J397" s="232">
        <f>IFERROR(__xludf.DUMMYFUNCTION("IMPORTRANGE(""https://docs.google.com/spreadsheets/d/1IYY_tgx_IHuhSq3AJ5eI5OnqOPBNLWSHKh2a30DoXe8/edit?usp=sharing"",""ระนอง!J292"")"),0.0)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IFERROR(__xludf.DUMMYFUNCTION("IMPORTRANGE(""https://docs.google.com/spreadsheets/d/1IYY_tgx_IHuhSq3AJ5eI5OnqOPBNLWSHKh2a30DoXe8/edit?usp=sharing"",""ระนอง!I293"")"),100.0)</f>
        <v>100</v>
      </c>
      <c r="J398" s="232">
        <f>IFERROR(__xludf.DUMMYFUNCTION("IMPORTRANGE(""https://docs.google.com/spreadsheets/d/1IYY_tgx_IHuhSq3AJ5eI5OnqOPBNLWSHKh2a30DoXe8/edit?usp=sharing"",""ระนอง!J293"")"),0.0)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IFERROR(__xludf.DUMMYFUNCTION("IMPORTRANGE(""https://docs.google.com/spreadsheets/d/1IYY_tgx_IHuhSq3AJ5eI5OnqOPBNLWSHKh2a30DoXe8/edit?usp=sharing"",""ระนอง!J294"")"),0.0)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IFERROR(__xludf.DUMMYFUNCTION("IMPORTRANGE(""https://docs.google.com/spreadsheets/d/1IYY_tgx_IHuhSq3AJ5eI5OnqOPBNLWSHKh2a30DoXe8/edit?usp=sharing"",""ระนอง!J295"")"),0.0)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IFERROR(__xludf.DUMMYFUNCTION("IMPORTRANGE(""https://docs.google.com/spreadsheets/d/1IYY_tgx_IHuhSq3AJ5eI5OnqOPBNLWSHKh2a30DoXe8/edit?usp=sharing"",""ระนอง!I296"")"),165.0)</f>
        <v>165</v>
      </c>
      <c r="J401" s="404">
        <f>IFERROR(__xludf.DUMMYFUNCTION("IMPORTRANGE(""https://docs.google.com/spreadsheets/d/1IYY_tgx_IHuhSq3AJ5eI5OnqOPBNLWSHKh2a30DoXe8/edit?usp=sharing"",""ระนอง!J296"")"),105.0)</f>
        <v>105</v>
      </c>
      <c r="K401" s="405">
        <f t="shared" ref="K401:K402" si="112">IF(I401&gt;0,J401*100/I401,0)</f>
        <v>63.63636364</v>
      </c>
      <c r="L401" s="406">
        <f>IFERROR(__xludf.DUMMYFUNCTION("IMPORTRANGE(""https://docs.google.com/spreadsheets/d/1IYY_tgx_IHuhSq3AJ5eI5OnqOPBNLWSHKh2a30DoXe8/edit?usp=sharing"",""ระนอง!L296"")"),172190.0)</f>
        <v>172190</v>
      </c>
      <c r="M401" s="406"/>
      <c r="N401" s="406">
        <f>IFERROR(__xludf.DUMMYFUNCTION("IMPORTRANGE(""https://docs.google.com/spreadsheets/d/1IYY_tgx_IHuhSq3AJ5eI5OnqOPBNLWSHKh2a30DoXe8/edit?usp=sharing"",""ระนอง!M296"")"),107440.0)</f>
        <v>107440</v>
      </c>
      <c r="O401" s="406">
        <f>+IF(L401&gt;0,N401*100/L401,0)</f>
        <v>62.39619025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IFERROR(__xludf.DUMMYFUNCTION("IMPORTRANGE(""https://docs.google.com/spreadsheets/d/1IYY_tgx_IHuhSq3AJ5eI5OnqOPBNLWSHKh2a30DoXe8/edit?usp=sharing"",""ระนอง!I297"")"),55.0)</f>
        <v>55</v>
      </c>
      <c r="J402" s="404">
        <f>IFERROR(__xludf.DUMMYFUNCTION("IMPORTRANGE(""https://docs.google.com/spreadsheets/d/1IYY_tgx_IHuhSq3AJ5eI5OnqOPBNLWSHKh2a30DoXe8/edit?usp=sharing"",""ระนอง!J297"")"),35.0)</f>
        <v>35</v>
      </c>
      <c r="K402" s="405">
        <f t="shared" si="112"/>
        <v>63.63636364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IFERROR(__xludf.DUMMYFUNCTION("IMPORTRANGE(""https://docs.google.com/spreadsheets/d/1IYY_tgx_IHuhSq3AJ5eI5OnqOPBNLWSHKh2a30DoXe8/edit?usp=sharing"",""ระนอง!L298"")"),0.0)</f>
        <v>0</v>
      </c>
      <c r="M403" s="197"/>
      <c r="N403" s="203">
        <f>IFERROR(__xludf.DUMMYFUNCTION("IMPORTRANGE(""https://docs.google.com/spreadsheets/d/1IYY_tgx_IHuhSq3AJ5eI5OnqOPBNLWSHKh2a30DoXe8/edit?usp=sharing"",""ระนอง!M298"")"),0.0)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IFERROR(__xludf.DUMMYFUNCTION("IMPORTRANGE(""https://docs.google.com/spreadsheets/d/1IYY_tgx_IHuhSq3AJ5eI5OnqOPBNLWSHKh2a30DoXe8/edit?usp=sharing"",""ระนอง!L299"")"),172190.0)</f>
        <v>172190</v>
      </c>
      <c r="M404" s="198"/>
      <c r="N404" s="203">
        <f>IFERROR(__xludf.DUMMYFUNCTION("IMPORTRANGE(""https://docs.google.com/spreadsheets/d/1IYY_tgx_IHuhSq3AJ5eI5OnqOPBNLWSHKh2a30DoXe8/edit?usp=sharing"",""ระนอง!M299"")"),107440.0)</f>
        <v>107440</v>
      </c>
      <c r="O404" s="203">
        <f t="shared" si="113"/>
        <v>62.39619025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IFERROR(__xludf.DUMMYFUNCTION("IMPORTRANGE(""https://docs.google.com/spreadsheets/d/1IYY_tgx_IHuhSq3AJ5eI5OnqOPBNLWSHKh2a30DoXe8/edit?usp=sharing"",""ระนอง!L300"")"),0.0)</f>
        <v>0</v>
      </c>
      <c r="M405" s="203"/>
      <c r="N405" s="203">
        <f>IFERROR(__xludf.DUMMYFUNCTION("IMPORTRANGE(""https://docs.google.com/spreadsheets/d/1IYY_tgx_IHuhSq3AJ5eI5OnqOPBNLWSHKh2a30DoXe8/edit?usp=sharing"",""ระนอง!M300"")"),0.0)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IFERROR(__xludf.DUMMYFUNCTION("IMPORTRANGE(""https://docs.google.com/spreadsheets/d/1IYY_tgx_IHuhSq3AJ5eI5OnqOPBNLWSHKh2a30DoXe8/edit?usp=sharing"",""ระนอง!L301"")"),172190.0)</f>
        <v>172190</v>
      </c>
      <c r="M406" s="203"/>
      <c r="N406" s="203">
        <f>IFERROR(__xludf.DUMMYFUNCTION("IMPORTRANGE(""https://docs.google.com/spreadsheets/d/1IYY_tgx_IHuhSq3AJ5eI5OnqOPBNLWSHKh2a30DoXe8/edit?usp=sharing"",""ระนอง!M301"")"),107440.0)</f>
        <v>107440</v>
      </c>
      <c r="O406" s="203">
        <f t="shared" si="113"/>
        <v>62.39619025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IFERROR(__xludf.DUMMYFUNCTION("IMPORTRANGE(""https://docs.google.com/spreadsheets/d/1IYY_tgx_IHuhSq3AJ5eI5OnqOPBNLWSHKh2a30DoXe8/edit?usp=sharing"",""ระนอง!M302"")"),60700.0)</f>
        <v>60700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IFERROR(__xludf.DUMMYFUNCTION("IMPORTRANGE(""https://docs.google.com/spreadsheets/d/1IYY_tgx_IHuhSq3AJ5eI5OnqOPBNLWSHKh2a30DoXe8/edit?usp=sharing"",""ระนอง!M303"")"),36000.0)</f>
        <v>36000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IFERROR(__xludf.DUMMYFUNCTION("IMPORTRANGE(""https://docs.google.com/spreadsheets/d/1IYY_tgx_IHuhSq3AJ5eI5OnqOPBNLWSHKh2a30DoXe8/edit?usp=sharing"",""ระนอง!M304"")"),0.0)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IFERROR(__xludf.DUMMYFUNCTION("IMPORTRANGE(""https://docs.google.com/spreadsheets/d/1IYY_tgx_IHuhSq3AJ5eI5OnqOPBNLWSHKh2a30DoXe8/edit?usp=sharing"",""ระนอง!M305"")"),10740.0)</f>
        <v>10740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IFERROR(__xludf.DUMMYFUNCTION("IMPORTRANGE(""https://docs.google.com/spreadsheets/d/1IYY_tgx_IHuhSq3AJ5eI5OnqOPBNLWSHKh2a30DoXe8/edit?usp=sharing"",""ระนอง!J307"")"),0.0)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IFERROR(__xludf.DUMMYFUNCTION("IMPORTRANGE(""https://docs.google.com/spreadsheets/d/1IYY_tgx_IHuhSq3AJ5eI5OnqOPBNLWSHKh2a30DoXe8/edit?usp=sharing"",""ระนอง!J308"")"),1.0)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IFERROR(__xludf.DUMMYFUNCTION("IMPORTRANGE(""https://docs.google.com/spreadsheets/d/1IYY_tgx_IHuhSq3AJ5eI5OnqOPBNLWSHKh2a30DoXe8/edit?usp=sharing"",""ระนอง!J309"")"),1.0)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IFERROR(__xludf.DUMMYFUNCTION("IMPORTRANGE(""https://docs.google.com/spreadsheets/d/1IYY_tgx_IHuhSq3AJ5eI5OnqOPBNLWSHKh2a30DoXe8/edit?usp=sharing"",""ระนอง!J310"")"),1.0)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IFERROR(__xludf.DUMMYFUNCTION("IMPORTRANGE(""https://docs.google.com/spreadsheets/d/1IYY_tgx_IHuhSq3AJ5eI5OnqOPBNLWSHKh2a30DoXe8/edit?usp=sharing"",""ระนอง!I311"")"),55.0)</f>
        <v>55</v>
      </c>
      <c r="J416" s="235">
        <f>IFERROR(__xludf.DUMMYFUNCTION("IMPORTRANGE(""https://docs.google.com/spreadsheets/d/1IYY_tgx_IHuhSq3AJ5eI5OnqOPBNLWSHKh2a30DoXe8/edit?usp=sharing"",""ระนอง!J311"")"),35.0)</f>
        <v>35</v>
      </c>
      <c r="K416" s="236">
        <f t="shared" ref="K416:K432" si="114">IF(I416&gt;0,J416*100/I416,0)</f>
        <v>63.63636364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IFERROR(__xludf.DUMMYFUNCTION("IMPORTRANGE(""https://docs.google.com/spreadsheets/d/1IYY_tgx_IHuhSq3AJ5eI5OnqOPBNLWSHKh2a30DoXe8/edit?usp=sharing"",""ระนอง!I312"")"),10.0)</f>
        <v>10</v>
      </c>
      <c r="J417" s="425">
        <f>IFERROR(__xludf.DUMMYFUNCTION("IMPORTRANGE(""https://docs.google.com/spreadsheets/d/1IYY_tgx_IHuhSq3AJ5eI5OnqOPBNLWSHKh2a30DoXe8/edit?usp=sharing"",""ระนอง!J312"")"),10.0)</f>
        <v>10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IFERROR(__xludf.DUMMYFUNCTION("IMPORTRANGE(""https://docs.google.com/spreadsheets/d/1IYY_tgx_IHuhSq3AJ5eI5OnqOPBNLWSHKh2a30DoXe8/edit?usp=sharing"",""ระนอง!I313"")"),30.0)</f>
        <v>30</v>
      </c>
      <c r="J418" s="426">
        <f>IFERROR(__xludf.DUMMYFUNCTION("IMPORTRANGE(""https://docs.google.com/spreadsheets/d/1IYY_tgx_IHuhSq3AJ5eI5OnqOPBNLWSHKh2a30DoXe8/edit?usp=sharing"",""ระนอง!J313"")"),30.0)</f>
        <v>30</v>
      </c>
      <c r="K418" s="236">
        <f t="shared" si="114"/>
        <v>100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IFERROR(__xludf.DUMMYFUNCTION("IMPORTRANGE(""https://docs.google.com/spreadsheets/d/1IYY_tgx_IHuhSq3AJ5eI5OnqOPBNLWSHKh2a30DoXe8/edit?usp=sharing"",""ระนอง!I314"")"),10.0)</f>
        <v>10</v>
      </c>
      <c r="J419" s="427">
        <f>IFERROR(__xludf.DUMMYFUNCTION("IMPORTRANGE(""https://docs.google.com/spreadsheets/d/1IYY_tgx_IHuhSq3AJ5eI5OnqOPBNLWSHKh2a30DoXe8/edit?usp=sharing"",""ระนอง!J314"")"),10.0)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IFERROR(__xludf.DUMMYFUNCTION("IMPORTRANGE(""https://docs.google.com/spreadsheets/d/1IYY_tgx_IHuhSq3AJ5eI5OnqOPBNLWSHKh2a30DoXe8/edit?usp=sharing"",""ระนอง!I315"")"),10.0)</f>
        <v>10</v>
      </c>
      <c r="J420" s="427">
        <f>IFERROR(__xludf.DUMMYFUNCTION("IMPORTRANGE(""https://docs.google.com/spreadsheets/d/1IYY_tgx_IHuhSq3AJ5eI5OnqOPBNLWSHKh2a30DoXe8/edit?usp=sharing"",""ระนอง!J315"")"),10.0)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IFERROR(__xludf.DUMMYFUNCTION("IMPORTRANGE(""https://docs.google.com/spreadsheets/d/1IYY_tgx_IHuhSq3AJ5eI5OnqOPBNLWSHKh2a30DoXe8/edit?usp=sharing"",""ระนอง!I316"")"),25.0)</f>
        <v>25</v>
      </c>
      <c r="J421" s="425">
        <f>IFERROR(__xludf.DUMMYFUNCTION("IMPORTRANGE(""https://docs.google.com/spreadsheets/d/1IYY_tgx_IHuhSq3AJ5eI5OnqOPBNLWSHKh2a30DoXe8/edit?usp=sharing"",""ระนอง!J316"")"),25.0)</f>
        <v>25</v>
      </c>
      <c r="K421" s="236">
        <f t="shared" si="114"/>
        <v>100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IFERROR(__xludf.DUMMYFUNCTION("IMPORTRANGE(""https://docs.google.com/spreadsheets/d/1IYY_tgx_IHuhSq3AJ5eI5OnqOPBNLWSHKh2a30DoXe8/edit?usp=sharing"",""ระนอง!I317"")"),75.0)</f>
        <v>75</v>
      </c>
      <c r="J422" s="426">
        <f>IFERROR(__xludf.DUMMYFUNCTION("IMPORTRANGE(""https://docs.google.com/spreadsheets/d/1IYY_tgx_IHuhSq3AJ5eI5OnqOPBNLWSHKh2a30DoXe8/edit?usp=sharing"",""ระนอง!J317"")"),75.0)</f>
        <v>75</v>
      </c>
      <c r="K422" s="236">
        <f t="shared" si="114"/>
        <v>100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IFERROR(__xludf.DUMMYFUNCTION("IMPORTRANGE(""https://docs.google.com/spreadsheets/d/1IYY_tgx_IHuhSq3AJ5eI5OnqOPBNLWSHKh2a30DoXe8/edit?usp=sharing"",""ระนอง!I318"")"),25.0)</f>
        <v>25</v>
      </c>
      <c r="J423" s="427">
        <f>IFERROR(__xludf.DUMMYFUNCTION("IMPORTRANGE(""https://docs.google.com/spreadsheets/d/1IYY_tgx_IHuhSq3AJ5eI5OnqOPBNLWSHKh2a30DoXe8/edit?usp=sharing"",""ระนอง!J318"")"),25.0)</f>
        <v>25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IFERROR(__xludf.DUMMYFUNCTION("IMPORTRANGE(""https://docs.google.com/spreadsheets/d/1IYY_tgx_IHuhSq3AJ5eI5OnqOPBNLWSHKh2a30DoXe8/edit?usp=sharing"",""ระนอง!I319"")"),25.0)</f>
        <v>25</v>
      </c>
      <c r="J424" s="427">
        <f>IFERROR(__xludf.DUMMYFUNCTION("IMPORTRANGE(""https://docs.google.com/spreadsheets/d/1IYY_tgx_IHuhSq3AJ5eI5OnqOPBNLWSHKh2a30DoXe8/edit?usp=sharing"",""ระนอง!J319"")"),25.0)</f>
        <v>25</v>
      </c>
      <c r="K424" s="196">
        <f t="shared" si="114"/>
        <v>100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IFERROR(__xludf.DUMMYFUNCTION("IMPORTRANGE(""https://docs.google.com/spreadsheets/d/1IYY_tgx_IHuhSq3AJ5eI5OnqOPBNLWSHKh2a30DoXe8/edit?usp=sharing"",""ระนอง!I320"")"),25.0)</f>
        <v>25</v>
      </c>
      <c r="J425" s="427">
        <f>IFERROR(__xludf.DUMMYFUNCTION("IMPORTRANGE(""https://docs.google.com/spreadsheets/d/1IYY_tgx_IHuhSq3AJ5eI5OnqOPBNLWSHKh2a30DoXe8/edit?usp=sharing"",""ระนอง!J320"")"),25.0)</f>
        <v>25</v>
      </c>
      <c r="K425" s="196">
        <f t="shared" si="114"/>
        <v>100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IFERROR(__xludf.DUMMYFUNCTION("IMPORTRANGE(""https://docs.google.com/spreadsheets/d/1IYY_tgx_IHuhSq3AJ5eI5OnqOPBNLWSHKh2a30DoXe8/edit?usp=sharing"",""ระนอง!I321"")"),20.0)</f>
        <v>20</v>
      </c>
      <c r="J426" s="425">
        <f>IFERROR(__xludf.DUMMYFUNCTION("IMPORTRANGE(""https://docs.google.com/spreadsheets/d/1IYY_tgx_IHuhSq3AJ5eI5OnqOPBNLWSHKh2a30DoXe8/edit?usp=sharing"",""ระนอง!J321"")"),0.0)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IFERROR(__xludf.DUMMYFUNCTION("IMPORTRANGE(""https://docs.google.com/spreadsheets/d/1IYY_tgx_IHuhSq3AJ5eI5OnqOPBNLWSHKh2a30DoXe8/edit?usp=sharing"",""ระนอง!I322"")"),60.0)</f>
        <v>60</v>
      </c>
      <c r="J427" s="426">
        <f>IFERROR(__xludf.DUMMYFUNCTION("IMPORTRANGE(""https://docs.google.com/spreadsheets/d/1IYY_tgx_IHuhSq3AJ5eI5OnqOPBNLWSHKh2a30DoXe8/edit?usp=sharing"",""ระนอง!J322"")"),0.0)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IFERROR(__xludf.DUMMYFUNCTION("IMPORTRANGE(""https://docs.google.com/spreadsheets/d/1IYY_tgx_IHuhSq3AJ5eI5OnqOPBNLWSHKh2a30DoXe8/edit?usp=sharing"",""ระนอง!I323"")"),20.0)</f>
        <v>20</v>
      </c>
      <c r="J428" s="427">
        <f>IFERROR(__xludf.DUMMYFUNCTION("IMPORTRANGE(""https://docs.google.com/spreadsheets/d/1IYY_tgx_IHuhSq3AJ5eI5OnqOPBNLWSHKh2a30DoXe8/edit?usp=sharing"",""ระนอง!J323"")"),0.0)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IFERROR(__xludf.DUMMYFUNCTION("IMPORTRANGE(""https://docs.google.com/spreadsheets/d/1IYY_tgx_IHuhSq3AJ5eI5OnqOPBNLWSHKh2a30DoXe8/edit?usp=sharing"",""ระนอง!I324"")"),20.0)</f>
        <v>20</v>
      </c>
      <c r="J429" s="427">
        <f>IFERROR(__xludf.DUMMYFUNCTION("IMPORTRANGE(""https://docs.google.com/spreadsheets/d/1IYY_tgx_IHuhSq3AJ5eI5OnqOPBNLWSHKh2a30DoXe8/edit?usp=sharing"",""ระนอง!J324"")"),0.0)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IFERROR(__xludf.DUMMYFUNCTION("IMPORTRANGE(""https://docs.google.com/spreadsheets/d/1IYY_tgx_IHuhSq3AJ5eI5OnqOPBNLWSHKh2a30DoXe8/edit?usp=sharing"",""ระนอง!I325"")"),35.0)</f>
        <v>35</v>
      </c>
      <c r="J430" s="425">
        <f>IFERROR(__xludf.DUMMYFUNCTION("IMPORTRANGE(""https://docs.google.com/spreadsheets/d/1IYY_tgx_IHuhSq3AJ5eI5OnqOPBNLWSHKh2a30DoXe8/edit?usp=sharing"",""ระนอง!J325"")"),0.0)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IFERROR(__xludf.DUMMYFUNCTION("IMPORTRANGE(""https://docs.google.com/spreadsheets/d/1IYY_tgx_IHuhSq3AJ5eI5OnqOPBNLWSHKh2a30DoXe8/edit?usp=sharing"",""ระนอง!I326"")"),10.0)</f>
        <v>10</v>
      </c>
      <c r="J431" s="427">
        <f>IFERROR(__xludf.DUMMYFUNCTION("IMPORTRANGE(""https://docs.google.com/spreadsheets/d/1IYY_tgx_IHuhSq3AJ5eI5OnqOPBNLWSHKh2a30DoXe8/edit?usp=sharing"",""ระนอง!J326"")"),0.0)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IFERROR(__xludf.DUMMYFUNCTION("IMPORTRANGE(""https://docs.google.com/spreadsheets/d/1IYY_tgx_IHuhSq3AJ5eI5OnqOPBNLWSHKh2a30DoXe8/edit?usp=sharing"",""ระนอง!I327"")"),25.0)</f>
        <v>25</v>
      </c>
      <c r="J432" s="427">
        <f>IFERROR(__xludf.DUMMYFUNCTION("IMPORTRANGE(""https://docs.google.com/spreadsheets/d/1IYY_tgx_IHuhSq3AJ5eI5OnqOPBNLWSHKh2a30DoXe8/edit?usp=sharing"",""ระนอง!J327"")"),0.0)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IFERROR(__xludf.DUMMYFUNCTION("IMPORTRANGE(""https://docs.google.com/spreadsheets/d/1IYY_tgx_IHuhSq3AJ5eI5OnqOPBNLWSHKh2a30DoXe8/edit?usp=sharing"",""ระนอง!J328"")"),0.0)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IFERROR(__xludf.DUMMYFUNCTION("IMPORTRANGE(""https://docs.google.com/spreadsheets/d/1IYY_tgx_IHuhSq3AJ5eI5OnqOPBNLWSHKh2a30DoXe8/edit?usp=sharing"",""ระนอง!J329"")"),0.0)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IFERROR(__xludf.DUMMYFUNCTION("IMPORTRANGE(""https://docs.google.com/spreadsheets/d/1IYY_tgx_IHuhSq3AJ5eI5OnqOPBNLWSHKh2a30DoXe8/edit?usp=sharing"",""ระนอง!I330"")"),10.0)</f>
        <v>10</v>
      </c>
      <c r="J435" s="443">
        <f>IFERROR(__xludf.DUMMYFUNCTION("IMPORTRANGE(""https://docs.google.com/spreadsheets/d/1IYY_tgx_IHuhSq3AJ5eI5OnqOPBNLWSHKh2a30DoXe8/edit?usp=sharing"",""ระนอง!J330"")"),10.0)</f>
        <v>10</v>
      </c>
      <c r="K435" s="444">
        <f>IF(I435&gt;0,J435*100/I435,0)</f>
        <v>100</v>
      </c>
      <c r="L435" s="445">
        <f>IFERROR(__xludf.DUMMYFUNCTION("IMPORTRANGE(""https://docs.google.com/spreadsheets/d/1IYY_tgx_IHuhSq3AJ5eI5OnqOPBNLWSHKh2a30DoXe8/edit?usp=sharing"",""ระนอง!L330"")"),71000.0)</f>
        <v>71000</v>
      </c>
      <c r="M435" s="445"/>
      <c r="N435" s="445">
        <f>IFERROR(__xludf.DUMMYFUNCTION("IMPORTRANGE(""https://docs.google.com/spreadsheets/d/1IYY_tgx_IHuhSq3AJ5eI5OnqOPBNLWSHKh2a30DoXe8/edit?usp=sharing"",""ระนอง!M330"")"),30800.0)</f>
        <v>30800</v>
      </c>
      <c r="O435" s="445">
        <f t="shared" ref="O435:O439" si="115">+IF(L435&gt;0,N435*100/L435,0)</f>
        <v>43.38028169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IFERROR(__xludf.DUMMYFUNCTION("IMPORTRANGE(""https://docs.google.com/spreadsheets/d/1IYY_tgx_IHuhSq3AJ5eI5OnqOPBNLWSHKh2a30DoXe8/edit?usp=sharing"",""ระนอง!L331"")"),0.0)</f>
        <v>0</v>
      </c>
      <c r="M436" s="197"/>
      <c r="N436" s="203">
        <f>IFERROR(__xludf.DUMMYFUNCTION("IMPORTRANGE(""https://docs.google.com/spreadsheets/d/1IYY_tgx_IHuhSq3AJ5eI5OnqOPBNLWSHKh2a30DoXe8/edit?usp=sharing"",""ระนอง!M331"")"),0.0)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IFERROR(__xludf.DUMMYFUNCTION("IMPORTRANGE(""https://docs.google.com/spreadsheets/d/1IYY_tgx_IHuhSq3AJ5eI5OnqOPBNLWSHKh2a30DoXe8/edit?usp=sharing"",""ระนอง!L332"")"),71000.0)</f>
        <v>71000</v>
      </c>
      <c r="M437" s="198"/>
      <c r="N437" s="203">
        <f>IFERROR(__xludf.DUMMYFUNCTION("IMPORTRANGE(""https://docs.google.com/spreadsheets/d/1IYY_tgx_IHuhSq3AJ5eI5OnqOPBNLWSHKh2a30DoXe8/edit?usp=sharing"",""ระนอง!M332"")"),30800.0)</f>
        <v>30800</v>
      </c>
      <c r="O437" s="203">
        <f t="shared" si="115"/>
        <v>43.38028169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IFERROR(__xludf.DUMMYFUNCTION("IMPORTRANGE(""https://docs.google.com/spreadsheets/d/1IYY_tgx_IHuhSq3AJ5eI5OnqOPBNLWSHKh2a30DoXe8/edit?usp=sharing"",""ระนอง!L333"")"),0.0)</f>
        <v>0</v>
      </c>
      <c r="M438" s="203"/>
      <c r="N438" s="203">
        <f>IFERROR(__xludf.DUMMYFUNCTION("IMPORTRANGE(""https://docs.google.com/spreadsheets/d/1IYY_tgx_IHuhSq3AJ5eI5OnqOPBNLWSHKh2a30DoXe8/edit?usp=sharing"",""ระนอง!M333"")"),0.0)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IFERROR(__xludf.DUMMYFUNCTION("IMPORTRANGE(""https://docs.google.com/spreadsheets/d/1IYY_tgx_IHuhSq3AJ5eI5OnqOPBNLWSHKh2a30DoXe8/edit?usp=sharing"",""ระนอง!L334"")"),71000.0)</f>
        <v>71000</v>
      </c>
      <c r="M439" s="203"/>
      <c r="N439" s="203">
        <f>IFERROR(__xludf.DUMMYFUNCTION("IMPORTRANGE(""https://docs.google.com/spreadsheets/d/1IYY_tgx_IHuhSq3AJ5eI5OnqOPBNLWSHKh2a30DoXe8/edit?usp=sharing"",""ระนอง!M334"")"),30800.0)</f>
        <v>30800</v>
      </c>
      <c r="O439" s="203">
        <f t="shared" si="115"/>
        <v>43.38028169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IFERROR(__xludf.DUMMYFUNCTION("IMPORTRANGE(""https://docs.google.com/spreadsheets/d/1IYY_tgx_IHuhSq3AJ5eI5OnqOPBNLWSHKh2a30DoXe8/edit?usp=sharing"",""ระนอง!M335"")"),20200.0)</f>
        <v>20200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IFERROR(__xludf.DUMMYFUNCTION("IMPORTRANGE(""https://docs.google.com/spreadsheets/d/1IYY_tgx_IHuhSq3AJ5eI5OnqOPBNLWSHKh2a30DoXe8/edit?usp=sharing"",""ระนอง!M336"")"),0.0)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IFERROR(__xludf.DUMMYFUNCTION("IMPORTRANGE(""https://docs.google.com/spreadsheets/d/1IYY_tgx_IHuhSq3AJ5eI5OnqOPBNLWSHKh2a30DoXe8/edit?usp=sharing"",""ระนอง!M337"")"),0.0)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IFERROR(__xludf.DUMMYFUNCTION("IMPORTRANGE(""https://docs.google.com/spreadsheets/d/1IYY_tgx_IHuhSq3AJ5eI5OnqOPBNLWSHKh2a30DoXe8/edit?usp=sharing"",""ระนอง!M338"")"),10600.0)</f>
        <v>10600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IFERROR(__xludf.DUMMYFUNCTION("IMPORTRANGE(""https://docs.google.com/spreadsheets/d/1IYY_tgx_IHuhSq3AJ5eI5OnqOPBNLWSHKh2a30DoXe8/edit?usp=sharing"",""ระนอง!J340"")"),0.0)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IFERROR(__xludf.DUMMYFUNCTION("IMPORTRANGE(""https://docs.google.com/spreadsheets/d/1IYY_tgx_IHuhSq3AJ5eI5OnqOPBNLWSHKh2a30DoXe8/edit?usp=sharing"",""ระนอง!J341"")"),1.0)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IFERROR(__xludf.DUMMYFUNCTION("IMPORTRANGE(""https://docs.google.com/spreadsheets/d/1IYY_tgx_IHuhSq3AJ5eI5OnqOPBNLWSHKh2a30DoXe8/edit?usp=sharing"",""ระนอง!J342"")"),1.0)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IFERROR(__xludf.DUMMYFUNCTION("IMPORTRANGE(""https://docs.google.com/spreadsheets/d/1IYY_tgx_IHuhSq3AJ5eI5OnqOPBNLWSHKh2a30DoXe8/edit?usp=sharing"",""ระนอง!J343"")"),1.0)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IFERROR(__xludf.DUMMYFUNCTION("IMPORTRANGE(""https://docs.google.com/spreadsheets/d/1IYY_tgx_IHuhSq3AJ5eI5OnqOPBNLWSHKh2a30DoXe8/edit?usp=sharing"",""ระนอง!I344"")"),10.0)</f>
        <v>10</v>
      </c>
      <c r="J449" s="235">
        <f>IFERROR(__xludf.DUMMYFUNCTION("IMPORTRANGE(""https://docs.google.com/spreadsheets/d/1IYY_tgx_IHuhSq3AJ5eI5OnqOPBNLWSHKh2a30DoXe8/edit?usp=sharing"",""ระนอง!J344"")"),10.0)</f>
        <v>10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IFERROR(__xludf.DUMMYFUNCTION("IMPORTRANGE(""https://docs.google.com/spreadsheets/d/1IYY_tgx_IHuhSq3AJ5eI5OnqOPBNLWSHKh2a30DoXe8/edit?usp=sharing"",""ระนอง!I345"")"),10.0)</f>
        <v>10</v>
      </c>
      <c r="J450" s="223">
        <f>IFERROR(__xludf.DUMMYFUNCTION("IMPORTRANGE(""https://docs.google.com/spreadsheets/d/1IYY_tgx_IHuhSq3AJ5eI5OnqOPBNLWSHKh2a30DoXe8/edit?usp=sharing"",""ระนอง!J345"")"),10.0)</f>
        <v>10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IFERROR(__xludf.DUMMYFUNCTION("IMPORTRANGE(""https://docs.google.com/spreadsheets/d/1IYY_tgx_IHuhSq3AJ5eI5OnqOPBNLWSHKh2a30DoXe8/edit?usp=sharing"",""ระนอง!I346"")"),0.0)</f>
        <v>0</v>
      </c>
      <c r="J451" s="222">
        <f>IFERROR(__xludf.DUMMYFUNCTION("IMPORTRANGE(""https://docs.google.com/spreadsheets/d/1IYY_tgx_IHuhSq3AJ5eI5OnqOPBNLWSHKh2a30DoXe8/edit?usp=sharing"",""ระนอง!J346"")"),0.0)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IFERROR(__xludf.DUMMYFUNCTION("IMPORTRANGE(""https://docs.google.com/spreadsheets/d/1IYY_tgx_IHuhSq3AJ5eI5OnqOPBNLWSHKh2a30DoXe8/edit?usp=sharing"",""ระนอง!I347"")"),0.0)</f>
        <v>0</v>
      </c>
      <c r="J452" s="222">
        <f>IFERROR(__xludf.DUMMYFUNCTION("IMPORTRANGE(""https://docs.google.com/spreadsheets/d/1IYY_tgx_IHuhSq3AJ5eI5OnqOPBNLWSHKh2a30DoXe8/edit?usp=sharing"",""ระนอง!J347"")"),0.0)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IFERROR(__xludf.DUMMYFUNCTION("IMPORTRANGE(""https://docs.google.com/spreadsheets/d/1IYY_tgx_IHuhSq3AJ5eI5OnqOPBNLWSHKh2a30DoXe8/edit?usp=sharing"",""ระนอง!J348"")"),0.0)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IFERROR(__xludf.DUMMYFUNCTION("IMPORTRANGE(""https://docs.google.com/spreadsheets/d/1IYY_tgx_IHuhSq3AJ5eI5OnqOPBNLWSHKh2a30DoXe8/edit?usp=sharing"",""ระนอง!J349"")"),0.0)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IFERROR(__xludf.DUMMYFUNCTION("IMPORTRANGE(""https://docs.google.com/spreadsheets/d/1IYY_tgx_IHuhSq3AJ5eI5OnqOPBNLWSHKh2a30DoXe8/edit?usp=sharing"",""ระนอง!I350"")"),0.0)</f>
        <v>0</v>
      </c>
      <c r="J455" s="404">
        <f>IFERROR(__xludf.DUMMYFUNCTION("IMPORTRANGE(""https://docs.google.com/spreadsheets/d/1IYY_tgx_IHuhSq3AJ5eI5OnqOPBNLWSHKh2a30DoXe8/edit?usp=sharing"",""ระนอง!J350"")"),0.0)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IFERROR(__xludf.DUMMYFUNCTION("IMPORTRANGE(""https://docs.google.com/spreadsheets/d/1IYY_tgx_IHuhSq3AJ5eI5OnqOPBNLWSHKh2a30DoXe8/edit?usp=sharing"",""ระนอง!L350"")"),61427.0)</f>
        <v>61427</v>
      </c>
      <c r="M455" s="406"/>
      <c r="N455" s="406">
        <f>IFERROR(__xludf.DUMMYFUNCTION("IMPORTRANGE(""https://docs.google.com/spreadsheets/d/1IYY_tgx_IHuhSq3AJ5eI5OnqOPBNLWSHKh2a30DoXe8/edit?usp=sharing"",""ระนอง!M350"")"),0.0)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IFERROR(__xludf.DUMMYFUNCTION("IMPORTRANGE(""https://docs.google.com/spreadsheets/d/1IYY_tgx_IHuhSq3AJ5eI5OnqOPBNLWSHKh2a30DoXe8/edit?usp=sharing"",""ระนอง!L351"")"),0.0)</f>
        <v>0</v>
      </c>
      <c r="M456" s="197"/>
      <c r="N456" s="203">
        <f>IFERROR(__xludf.DUMMYFUNCTION("IMPORTRANGE(""https://docs.google.com/spreadsheets/d/1IYY_tgx_IHuhSq3AJ5eI5OnqOPBNLWSHKh2a30DoXe8/edit?usp=sharing"",""ระนอง!M351"")"),0.0)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IFERROR(__xludf.DUMMYFUNCTION("IMPORTRANGE(""https://docs.google.com/spreadsheets/d/1IYY_tgx_IHuhSq3AJ5eI5OnqOPBNLWSHKh2a30DoXe8/edit?usp=sharing"",""ระนอง!L352"")"),61427.0)</f>
        <v>61427</v>
      </c>
      <c r="M457" s="198"/>
      <c r="N457" s="203">
        <f>IFERROR(__xludf.DUMMYFUNCTION("IMPORTRANGE(""https://docs.google.com/spreadsheets/d/1IYY_tgx_IHuhSq3AJ5eI5OnqOPBNLWSHKh2a30DoXe8/edit?usp=sharing"",""ระนอง!M352"")"),0.0)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IFERROR(__xludf.DUMMYFUNCTION("IMPORTRANGE(""https://docs.google.com/spreadsheets/d/1IYY_tgx_IHuhSq3AJ5eI5OnqOPBNLWSHKh2a30DoXe8/edit?usp=sharing"",""ระนอง!L353"")"),0.0)</f>
        <v>0</v>
      </c>
      <c r="M458" s="203"/>
      <c r="N458" s="203">
        <f>IFERROR(__xludf.DUMMYFUNCTION("IMPORTRANGE(""https://docs.google.com/spreadsheets/d/1IYY_tgx_IHuhSq3AJ5eI5OnqOPBNLWSHKh2a30DoXe8/edit?usp=sharing"",""ระนอง!M353"")"),0.0)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IFERROR(__xludf.DUMMYFUNCTION("IMPORTRANGE(""https://docs.google.com/spreadsheets/d/1IYY_tgx_IHuhSq3AJ5eI5OnqOPBNLWSHKh2a30DoXe8/edit?usp=sharing"",""ระนอง!L354"")"),61427.0)</f>
        <v>61427</v>
      </c>
      <c r="M459" s="203"/>
      <c r="N459" s="203">
        <f>IFERROR(__xludf.DUMMYFUNCTION("IMPORTRANGE(""https://docs.google.com/spreadsheets/d/1IYY_tgx_IHuhSq3AJ5eI5OnqOPBNLWSHKh2a30DoXe8/edit?usp=sharing"",""ระนอง!M354"")"),0.0)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IFERROR(__xludf.DUMMYFUNCTION("IMPORTRANGE(""https://docs.google.com/spreadsheets/d/1IYY_tgx_IHuhSq3AJ5eI5OnqOPBNLWSHKh2a30DoXe8/edit?usp=sharing"",""ระนอง!M355"")"),0.0)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IFERROR(__xludf.DUMMYFUNCTION("IMPORTRANGE(""https://docs.google.com/spreadsheets/d/1IYY_tgx_IHuhSq3AJ5eI5OnqOPBNLWSHKh2a30DoXe8/edit?usp=sharing"",""ระนอง!M356"")"),0.0)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IFERROR(__xludf.DUMMYFUNCTION("IMPORTRANGE(""https://docs.google.com/spreadsheets/d/1IYY_tgx_IHuhSq3AJ5eI5OnqOPBNLWSHKh2a30DoXe8/edit?usp=sharing"",""ระนอง!M357"")"),0.0)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IFERROR(__xludf.DUMMYFUNCTION("IMPORTRANGE(""https://docs.google.com/spreadsheets/d/1IYY_tgx_IHuhSq3AJ5eI5OnqOPBNLWSHKh2a30DoXe8/edit?usp=sharing"",""ระนอง!M358"")"),0.0)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IFERROR(__xludf.DUMMYFUNCTION("IMPORTRANGE(""https://docs.google.com/spreadsheets/d/1IYY_tgx_IHuhSq3AJ5eI5OnqOPBNLWSHKh2a30DoXe8/edit?usp=sharing"",""ระนอง!I359"")"),0.0)</f>
        <v>0</v>
      </c>
      <c r="J464" s="301">
        <f>IFERROR(__xludf.DUMMYFUNCTION("IMPORTRANGE(""https://docs.google.com/spreadsheets/d/1IYY_tgx_IHuhSq3AJ5eI5OnqOPBNLWSHKh2a30DoXe8/edit?usp=sharing"",""ระนอง!J359"")"),0.0)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IFERROR(__xludf.DUMMYFUNCTION("IMPORTRANGE(""https://docs.google.com/spreadsheets/d/1IYY_tgx_IHuhSq3AJ5eI5OnqOPBNLWSHKh2a30DoXe8/edit?usp=sharing"",""ระนอง!I360"")"),0.0)</f>
        <v>0</v>
      </c>
      <c r="J465" s="453">
        <f>IFERROR(__xludf.DUMMYFUNCTION("IMPORTRANGE(""https://docs.google.com/spreadsheets/d/1IYY_tgx_IHuhSq3AJ5eI5OnqOPBNLWSHKh2a30DoXe8/edit?usp=sharing"",""ระนอง!J360"")"),0.0)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IFERROR(__xludf.DUMMYFUNCTION("IMPORTRANGE(""https://docs.google.com/spreadsheets/d/1IYY_tgx_IHuhSq3AJ5eI5OnqOPBNLWSHKh2a30DoXe8/edit?usp=sharing"",""ระนอง!I361"")"),0.0)</f>
        <v>0</v>
      </c>
      <c r="J466" s="453">
        <f>IFERROR(__xludf.DUMMYFUNCTION("IMPORTRANGE(""https://docs.google.com/spreadsheets/d/1IYY_tgx_IHuhSq3AJ5eI5OnqOPBNLWSHKh2a30DoXe8/edit?usp=sharing"",""ระนอง!J361"")"),0.0)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IFERROR(__xludf.DUMMYFUNCTION("IMPORTRANGE(""https://docs.google.com/spreadsheets/d/1IYY_tgx_IHuhSq3AJ5eI5OnqOPBNLWSHKh2a30DoXe8/edit?usp=sharing"",""ระนอง!I362"")"),0.0)</f>
        <v>0</v>
      </c>
      <c r="J467" s="223">
        <f>IFERROR(__xludf.DUMMYFUNCTION("IMPORTRANGE(""https://docs.google.com/spreadsheets/d/1IYY_tgx_IHuhSq3AJ5eI5OnqOPBNLWSHKh2a30DoXe8/edit?usp=sharing"",""ระนอง!J362"")"),0.0)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IFERROR(__xludf.DUMMYFUNCTION("IMPORTRANGE(""https://docs.google.com/spreadsheets/d/1IYY_tgx_IHuhSq3AJ5eI5OnqOPBNLWSHKh2a30DoXe8/edit?usp=sharing"",""ระนอง!I363"")"),0.0)</f>
        <v>0</v>
      </c>
      <c r="J468" s="223">
        <f>IFERROR(__xludf.DUMMYFUNCTION("IMPORTRANGE(""https://docs.google.com/spreadsheets/d/1IYY_tgx_IHuhSq3AJ5eI5OnqOPBNLWSHKh2a30DoXe8/edit?usp=sharing"",""ระนอง!J363"")"),0.0)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IFERROR(__xludf.DUMMYFUNCTION("IMPORTRANGE(""https://docs.google.com/spreadsheets/d/1IYY_tgx_IHuhSq3AJ5eI5OnqOPBNLWSHKh2a30DoXe8/edit?usp=sharing"",""ระนอง!I364"")"),0.0)</f>
        <v>0</v>
      </c>
      <c r="J469" s="223">
        <f>IFERROR(__xludf.DUMMYFUNCTION("IMPORTRANGE(""https://docs.google.com/spreadsheets/d/1IYY_tgx_IHuhSq3AJ5eI5OnqOPBNLWSHKh2a30DoXe8/edit?usp=sharing"",""ระนอง!J364"")"),0.0)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IFERROR(__xludf.DUMMYFUNCTION("IMPORTRANGE(""https://docs.google.com/spreadsheets/d/1IYY_tgx_IHuhSq3AJ5eI5OnqOPBNLWSHKh2a30DoXe8/edit?usp=sharing"",""ระนอง!I365"")"),0.0)</f>
        <v>0</v>
      </c>
      <c r="J470" s="223">
        <f>IFERROR(__xludf.DUMMYFUNCTION("IMPORTRANGE(""https://docs.google.com/spreadsheets/d/1IYY_tgx_IHuhSq3AJ5eI5OnqOPBNLWSHKh2a30DoXe8/edit?usp=sharing"",""ระนอง!J365"")"),0.0)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IFERROR(__xludf.DUMMYFUNCTION("IMPORTRANGE(""https://docs.google.com/spreadsheets/d/1IYY_tgx_IHuhSq3AJ5eI5OnqOPBNLWSHKh2a30DoXe8/edit?usp=sharing"",""ระนอง!I366"")"),0.0)</f>
        <v>0</v>
      </c>
      <c r="J471" s="223">
        <f>IFERROR(__xludf.DUMMYFUNCTION("IMPORTRANGE(""https://docs.google.com/spreadsheets/d/1IYY_tgx_IHuhSq3AJ5eI5OnqOPBNLWSHKh2a30DoXe8/edit?usp=sharing"",""ระนอง!J366"")"),0.0)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IFERROR(__xludf.DUMMYFUNCTION("IMPORTRANGE(""https://docs.google.com/spreadsheets/d/1IYY_tgx_IHuhSq3AJ5eI5OnqOPBNLWSHKh2a30DoXe8/edit?usp=sharing"",""ระนอง!I367"")"),0.0)</f>
        <v>0</v>
      </c>
      <c r="J472" s="223">
        <f>IFERROR(__xludf.DUMMYFUNCTION("IMPORTRANGE(""https://docs.google.com/spreadsheets/d/1IYY_tgx_IHuhSq3AJ5eI5OnqOPBNLWSHKh2a30DoXe8/edit?usp=sharing"",""ระนอง!J367"")"),0.0)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IFERROR(__xludf.DUMMYFUNCTION("IMPORTRANGE(""https://docs.google.com/spreadsheets/d/1IYY_tgx_IHuhSq3AJ5eI5OnqOPBNLWSHKh2a30DoXe8/edit?usp=sharing"",""ระนอง!I368"")"),0.0)</f>
        <v>0</v>
      </c>
      <c r="J473" s="453">
        <f>IFERROR(__xludf.DUMMYFUNCTION("IMPORTRANGE(""https://docs.google.com/spreadsheets/d/1IYY_tgx_IHuhSq3AJ5eI5OnqOPBNLWSHKh2a30DoXe8/edit?usp=sharing"",""ระนอง!J368"")"),0.0)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IFERROR(__xludf.DUMMYFUNCTION("IMPORTRANGE(""https://docs.google.com/spreadsheets/d/1IYY_tgx_IHuhSq3AJ5eI5OnqOPBNLWSHKh2a30DoXe8/edit?usp=sharing"",""ระนอง!I369"")"),0.0)</f>
        <v>0</v>
      </c>
      <c r="J474" s="453">
        <f>IFERROR(__xludf.DUMMYFUNCTION("IMPORTRANGE(""https://docs.google.com/spreadsheets/d/1IYY_tgx_IHuhSq3AJ5eI5OnqOPBNLWSHKh2a30DoXe8/edit?usp=sharing"",""ระนอง!J369"")"),0.0)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IFERROR(__xludf.DUMMYFUNCTION("IMPORTRANGE(""https://docs.google.com/spreadsheets/d/1IYY_tgx_IHuhSq3AJ5eI5OnqOPBNLWSHKh2a30DoXe8/edit?usp=sharing"",""ระนอง!I370"")"),0.0)</f>
        <v>0</v>
      </c>
      <c r="J475" s="223">
        <f>IFERROR(__xludf.DUMMYFUNCTION("IMPORTRANGE(""https://docs.google.com/spreadsheets/d/1IYY_tgx_IHuhSq3AJ5eI5OnqOPBNLWSHKh2a30DoXe8/edit?usp=sharing"",""ระนอง!J370"")"),0.0)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IFERROR(__xludf.DUMMYFUNCTION("IMPORTRANGE(""https://docs.google.com/spreadsheets/d/1IYY_tgx_IHuhSq3AJ5eI5OnqOPBNLWSHKh2a30DoXe8/edit?usp=sharing"",""ระนอง!I371"")"),0.0)</f>
        <v>0</v>
      </c>
      <c r="J476" s="223">
        <f>IFERROR(__xludf.DUMMYFUNCTION("IMPORTRANGE(""https://docs.google.com/spreadsheets/d/1IYY_tgx_IHuhSq3AJ5eI5OnqOPBNLWSHKh2a30DoXe8/edit?usp=sharing"",""ระนอง!J371"")"),0.0)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IFERROR(__xludf.DUMMYFUNCTION("IMPORTRANGE(""https://docs.google.com/spreadsheets/d/1IYY_tgx_IHuhSq3AJ5eI5OnqOPBNLWSHKh2a30DoXe8/edit?usp=sharing"",""ระนอง!I372"")"),0.0)</f>
        <v>0</v>
      </c>
      <c r="J477" s="223">
        <f>IFERROR(__xludf.DUMMYFUNCTION("IMPORTRANGE(""https://docs.google.com/spreadsheets/d/1IYY_tgx_IHuhSq3AJ5eI5OnqOPBNLWSHKh2a30DoXe8/edit?usp=sharing"",""ระนอง!J372"")"),0.0)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IFERROR(__xludf.DUMMYFUNCTION("IMPORTRANGE(""https://docs.google.com/spreadsheets/d/1IYY_tgx_IHuhSq3AJ5eI5OnqOPBNLWSHKh2a30DoXe8/edit?usp=sharing"",""ระนอง!I373"")"),0.0)</f>
        <v>0</v>
      </c>
      <c r="J478" s="223">
        <f>IFERROR(__xludf.DUMMYFUNCTION("IMPORTRANGE(""https://docs.google.com/spreadsheets/d/1IYY_tgx_IHuhSq3AJ5eI5OnqOPBNLWSHKh2a30DoXe8/edit?usp=sharing"",""ระนอง!J373"")"),0.0)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IFERROR(__xludf.DUMMYFUNCTION("IMPORTRANGE(""https://docs.google.com/spreadsheets/d/1IYY_tgx_IHuhSq3AJ5eI5OnqOPBNLWSHKh2a30DoXe8/edit?usp=sharing"",""ระนอง!I374"")"),0.0)</f>
        <v>0</v>
      </c>
      <c r="J479" s="223">
        <f>IFERROR(__xludf.DUMMYFUNCTION("IMPORTRANGE(""https://docs.google.com/spreadsheets/d/1IYY_tgx_IHuhSq3AJ5eI5OnqOPBNLWSHKh2a30DoXe8/edit?usp=sharing"",""ระนอง!J374"")"),0.0)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IFERROR(__xludf.DUMMYFUNCTION("IMPORTRANGE(""https://docs.google.com/spreadsheets/d/1IYY_tgx_IHuhSq3AJ5eI5OnqOPBNLWSHKh2a30DoXe8/edit?usp=sharing"",""ระนอง!I375"")"),0.0)</f>
        <v>0</v>
      </c>
      <c r="J480" s="223">
        <f>IFERROR(__xludf.DUMMYFUNCTION("IMPORTRANGE(""https://docs.google.com/spreadsheets/d/1IYY_tgx_IHuhSq3AJ5eI5OnqOPBNLWSHKh2a30DoXe8/edit?usp=sharing"",""ระนอง!J375"")"),0.0)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IFERROR(__xludf.DUMMYFUNCTION("IMPORTRANGE(""https://docs.google.com/spreadsheets/d/1IYY_tgx_IHuhSq3AJ5eI5OnqOPBNLWSHKh2a30DoXe8/edit?usp=sharing"",""ระนอง!I376"")"),0.0)</f>
        <v>0</v>
      </c>
      <c r="J481" s="453">
        <f>IFERROR(__xludf.DUMMYFUNCTION("IMPORTRANGE(""https://docs.google.com/spreadsheets/d/1IYY_tgx_IHuhSq3AJ5eI5OnqOPBNLWSHKh2a30DoXe8/edit?usp=sharing"",""ระนอง!J376"")"),0.0)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IFERROR(__xludf.DUMMYFUNCTION("IMPORTRANGE(""https://docs.google.com/spreadsheets/d/1IYY_tgx_IHuhSq3AJ5eI5OnqOPBNLWSHKh2a30DoXe8/edit?usp=sharing"",""ระนอง!I377"")"),0.0)</f>
        <v>0</v>
      </c>
      <c r="J482" s="453">
        <f>IFERROR(__xludf.DUMMYFUNCTION("IMPORTRANGE(""https://docs.google.com/spreadsheets/d/1IYY_tgx_IHuhSq3AJ5eI5OnqOPBNLWSHKh2a30DoXe8/edit?usp=sharing"",""ระนอง!J377"")"),0.0)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IFERROR(__xludf.DUMMYFUNCTION("IMPORTRANGE(""https://docs.google.com/spreadsheets/d/1IYY_tgx_IHuhSq3AJ5eI5OnqOPBNLWSHKh2a30DoXe8/edit?usp=sharing"",""ระนอง!I378"")"),0.0)</f>
        <v>0</v>
      </c>
      <c r="J483" s="223">
        <f>IFERROR(__xludf.DUMMYFUNCTION("IMPORTRANGE(""https://docs.google.com/spreadsheets/d/1IYY_tgx_IHuhSq3AJ5eI5OnqOPBNLWSHKh2a30DoXe8/edit?usp=sharing"",""ระนอง!J378"")"),0.0)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IFERROR(__xludf.DUMMYFUNCTION("IMPORTRANGE(""https://docs.google.com/spreadsheets/d/1IYY_tgx_IHuhSq3AJ5eI5OnqOPBNLWSHKh2a30DoXe8/edit?usp=sharing"",""ระนอง!I379"")"),0.0)</f>
        <v>0</v>
      </c>
      <c r="J484" s="223">
        <f>IFERROR(__xludf.DUMMYFUNCTION("IMPORTRANGE(""https://docs.google.com/spreadsheets/d/1IYY_tgx_IHuhSq3AJ5eI5OnqOPBNLWSHKh2a30DoXe8/edit?usp=sharing"",""ระนอง!J379"")"),0.0)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IFERROR(__xludf.DUMMYFUNCTION("IMPORTRANGE(""https://docs.google.com/spreadsheets/d/1IYY_tgx_IHuhSq3AJ5eI5OnqOPBNLWSHKh2a30DoXe8/edit?usp=sharing"",""ระนอง!I380"")"),0.0)</f>
        <v>0</v>
      </c>
      <c r="J485" s="223">
        <f>IFERROR(__xludf.DUMMYFUNCTION("IMPORTRANGE(""https://docs.google.com/spreadsheets/d/1IYY_tgx_IHuhSq3AJ5eI5OnqOPBNLWSHKh2a30DoXe8/edit?usp=sharing"",""ระนอง!J380"")"),0.0)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IFERROR(__xludf.DUMMYFUNCTION("IMPORTRANGE(""https://docs.google.com/spreadsheets/d/1IYY_tgx_IHuhSq3AJ5eI5OnqOPBNLWSHKh2a30DoXe8/edit?usp=sharing"",""ระนอง!I381"")"),0.0)</f>
        <v>0</v>
      </c>
      <c r="J486" s="223">
        <f>IFERROR(__xludf.DUMMYFUNCTION("IMPORTRANGE(""https://docs.google.com/spreadsheets/d/1IYY_tgx_IHuhSq3AJ5eI5OnqOPBNLWSHKh2a30DoXe8/edit?usp=sharing"",""ระนอง!J381"")"),0.0)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IFERROR(__xludf.DUMMYFUNCTION("IMPORTRANGE(""https://docs.google.com/spreadsheets/d/1IYY_tgx_IHuhSq3AJ5eI5OnqOPBNLWSHKh2a30DoXe8/edit?usp=sharing"",""ระนอง!I382"")"),0.0)</f>
        <v>0</v>
      </c>
      <c r="J487" s="453">
        <f>IFERROR(__xludf.DUMMYFUNCTION("IMPORTRANGE(""https://docs.google.com/spreadsheets/d/1IYY_tgx_IHuhSq3AJ5eI5OnqOPBNLWSHKh2a30DoXe8/edit?usp=sharing"",""ระนอง!J382"")"),0.0)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IFERROR(__xludf.DUMMYFUNCTION("IMPORTRANGE(""https://docs.google.com/spreadsheets/d/1IYY_tgx_IHuhSq3AJ5eI5OnqOPBNLWSHKh2a30DoXe8/edit?usp=sharing"",""ระนอง!I383"")"),0.0)</f>
        <v>0</v>
      </c>
      <c r="J488" s="453">
        <f>IFERROR(__xludf.DUMMYFUNCTION("IMPORTRANGE(""https://docs.google.com/spreadsheets/d/1IYY_tgx_IHuhSq3AJ5eI5OnqOPBNLWSHKh2a30DoXe8/edit?usp=sharing"",""ระนอง!J383"")"),0.0)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IFERROR(__xludf.DUMMYFUNCTION("IMPORTRANGE(""https://docs.google.com/spreadsheets/d/1IYY_tgx_IHuhSq3AJ5eI5OnqOPBNLWSHKh2a30DoXe8/edit?usp=sharing"",""ระนอง!I384"")"),0.0)</f>
        <v>0</v>
      </c>
      <c r="J489" s="223">
        <f>IFERROR(__xludf.DUMMYFUNCTION("IMPORTRANGE(""https://docs.google.com/spreadsheets/d/1IYY_tgx_IHuhSq3AJ5eI5OnqOPBNLWSHKh2a30DoXe8/edit?usp=sharing"",""ระนอง!J384"")"),0.0)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IFERROR(__xludf.DUMMYFUNCTION("IMPORTRANGE(""https://docs.google.com/spreadsheets/d/1IYY_tgx_IHuhSq3AJ5eI5OnqOPBNLWSHKh2a30DoXe8/edit?usp=sharing"",""ระนอง!I385"")"),0.0)</f>
        <v>0</v>
      </c>
      <c r="J490" s="223">
        <f>IFERROR(__xludf.DUMMYFUNCTION("IMPORTRANGE(""https://docs.google.com/spreadsheets/d/1IYY_tgx_IHuhSq3AJ5eI5OnqOPBNLWSHKh2a30DoXe8/edit?usp=sharing"",""ระนอง!J385"")"),0.0)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IFERROR(__xludf.DUMMYFUNCTION("IMPORTRANGE(""https://docs.google.com/spreadsheets/d/1IYY_tgx_IHuhSq3AJ5eI5OnqOPBNLWSHKh2a30DoXe8/edit?usp=sharing"",""ระนอง!I386"")"),0.0)</f>
        <v>0</v>
      </c>
      <c r="J491" s="223">
        <f>IFERROR(__xludf.DUMMYFUNCTION("IMPORTRANGE(""https://docs.google.com/spreadsheets/d/1IYY_tgx_IHuhSq3AJ5eI5OnqOPBNLWSHKh2a30DoXe8/edit?usp=sharing"",""ระนอง!J386"")"),0.0)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IFERROR(__xludf.DUMMYFUNCTION("IMPORTRANGE(""https://docs.google.com/spreadsheets/d/1IYY_tgx_IHuhSq3AJ5eI5OnqOPBNLWSHKh2a30DoXe8/edit?usp=sharing"",""ระนอง!I387"")"),0.0)</f>
        <v>0</v>
      </c>
      <c r="J492" s="223">
        <f>IFERROR(__xludf.DUMMYFUNCTION("IMPORTRANGE(""https://docs.google.com/spreadsheets/d/1IYY_tgx_IHuhSq3AJ5eI5OnqOPBNLWSHKh2a30DoXe8/edit?usp=sharing"",""ระนอง!J387"")"),0.0)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IFERROR(__xludf.DUMMYFUNCTION("IMPORTRANGE(""https://docs.google.com/spreadsheets/d/1IYY_tgx_IHuhSq3AJ5eI5OnqOPBNLWSHKh2a30DoXe8/edit?usp=sharing"",""ระนอง!I388"")"),0.0)</f>
        <v>0</v>
      </c>
      <c r="J493" s="223">
        <f>IFERROR(__xludf.DUMMYFUNCTION("IMPORTRANGE(""https://docs.google.com/spreadsheets/d/1IYY_tgx_IHuhSq3AJ5eI5OnqOPBNLWSHKh2a30DoXe8/edit?usp=sharing"",""ระนอง!J388"")"),0.0)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IFERROR(__xludf.DUMMYFUNCTION("IMPORTRANGE(""https://docs.google.com/spreadsheets/d/1IYY_tgx_IHuhSq3AJ5eI5OnqOPBNLWSHKh2a30DoXe8/edit?usp=sharing"",""ระนอง!I389"")"),0.0)</f>
        <v>0</v>
      </c>
      <c r="J494" s="469">
        <f>IFERROR(__xludf.DUMMYFUNCTION("IMPORTRANGE(""https://docs.google.com/spreadsheets/d/1IYY_tgx_IHuhSq3AJ5eI5OnqOPBNLWSHKh2a30DoXe8/edit?usp=sharing"",""ระนอง!J389"")"),0.0)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IFERROR(__xludf.DUMMYFUNCTION("IMPORTRANGE(""https://docs.google.com/spreadsheets/d/1IYY_tgx_IHuhSq3AJ5eI5OnqOPBNLWSHKh2a30DoXe8/edit?usp=sharing"",""ระนอง!I390"")"),0.0)</f>
        <v>0</v>
      </c>
      <c r="J495" s="469">
        <f>IFERROR(__xludf.DUMMYFUNCTION("IMPORTRANGE(""https://docs.google.com/spreadsheets/d/1IYY_tgx_IHuhSq3AJ5eI5OnqOPBNLWSHKh2a30DoXe8/edit?usp=sharing"",""ระนอง!J390"")"),0.0)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IFERROR(__xludf.DUMMYFUNCTION("IMPORTRANGE(""https://docs.google.com/spreadsheets/d/1IYY_tgx_IHuhSq3AJ5eI5OnqOPBNLWSHKh2a30DoXe8/edit?usp=sharing"",""ระนอง!I391"")"),0.0)</f>
        <v>0</v>
      </c>
      <c r="J496" s="469">
        <f>IFERROR(__xludf.DUMMYFUNCTION("IMPORTRANGE(""https://docs.google.com/spreadsheets/d/1IYY_tgx_IHuhSq3AJ5eI5OnqOPBNLWSHKh2a30DoXe8/edit?usp=sharing"",""ระนอง!J391"")"),0.0)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IFERROR(__xludf.DUMMYFUNCTION("IMPORTRANGE(""https://docs.google.com/spreadsheets/d/1IYY_tgx_IHuhSq3AJ5eI5OnqOPBNLWSHKh2a30DoXe8/edit?usp=sharing"",""ระนอง!I392"")"),639.0)</f>
        <v>639</v>
      </c>
      <c r="J497" s="476">
        <f>IFERROR(__xludf.DUMMYFUNCTION("IMPORTRANGE(""https://docs.google.com/spreadsheets/d/1IYY_tgx_IHuhSq3AJ5eI5OnqOPBNLWSHKh2a30DoXe8/edit?usp=sharing"",""ระนอง!J392"")"),0.0)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IFERROR(__xludf.DUMMYFUNCTION("IMPORTRANGE(""https://docs.google.com/spreadsheets/d/1IYY_tgx_IHuhSq3AJ5eI5OnqOPBNLWSHKh2a30DoXe8/edit?usp=sharing"",""ระนอง!I393"")"),639.0)</f>
        <v>639</v>
      </c>
      <c r="J498" s="453">
        <f>IFERROR(__xludf.DUMMYFUNCTION("IMPORTRANGE(""https://docs.google.com/spreadsheets/d/1IYY_tgx_IHuhSq3AJ5eI5OnqOPBNLWSHKh2a30DoXe8/edit?usp=sharing"",""ระนอง!J393"")"),0.0)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IFERROR(__xludf.DUMMYFUNCTION("IMPORTRANGE(""https://docs.google.com/spreadsheets/d/1IYY_tgx_IHuhSq3AJ5eI5OnqOPBNLWSHKh2a30DoXe8/edit?usp=sharing"",""ระนอง!I394"")"),76.0)</f>
        <v>76</v>
      </c>
      <c r="J499" s="453">
        <f>IFERROR(__xludf.DUMMYFUNCTION("IMPORTRANGE(""https://docs.google.com/spreadsheets/d/1IYY_tgx_IHuhSq3AJ5eI5OnqOPBNLWSHKh2a30DoXe8/edit?usp=sharing"",""ระนอง!J394"")"),0.0)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IFERROR(__xludf.DUMMYFUNCTION("IMPORTRANGE(""https://docs.google.com/spreadsheets/d/1IYY_tgx_IHuhSq3AJ5eI5OnqOPBNLWSHKh2a30DoXe8/edit?usp=sharing"",""ระนอง!I395"")"),0.0)</f>
        <v>0</v>
      </c>
      <c r="J500" s="195">
        <f>IFERROR(__xludf.DUMMYFUNCTION("IMPORTRANGE(""https://docs.google.com/spreadsheets/d/1IYY_tgx_IHuhSq3AJ5eI5OnqOPBNLWSHKh2a30DoXe8/edit?usp=sharing"",""ระนอง!J395"")"),0.0)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IFERROR(__xludf.DUMMYFUNCTION("IMPORTRANGE(""https://docs.google.com/spreadsheets/d/1IYY_tgx_IHuhSq3AJ5eI5OnqOPBNLWSHKh2a30DoXe8/edit?usp=sharing"",""ระนอง!I396"")"),0.0)</f>
        <v>0</v>
      </c>
      <c r="J501" s="195">
        <f>IFERROR(__xludf.DUMMYFUNCTION("IMPORTRANGE(""https://docs.google.com/spreadsheets/d/1IYY_tgx_IHuhSq3AJ5eI5OnqOPBNLWSHKh2a30DoXe8/edit?usp=sharing"",""ระนอง!J396"")"),0.0)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IFERROR(__xludf.DUMMYFUNCTION("IMPORTRANGE(""https://docs.google.com/spreadsheets/d/1IYY_tgx_IHuhSq3AJ5eI5OnqOPBNLWSHKh2a30DoXe8/edit?usp=sharing"",""ระนอง!I397"")"),0.0)</f>
        <v>0</v>
      </c>
      <c r="J502" s="223">
        <f>IFERROR(__xludf.DUMMYFUNCTION("IMPORTRANGE(""https://docs.google.com/spreadsheets/d/1IYY_tgx_IHuhSq3AJ5eI5OnqOPBNLWSHKh2a30DoXe8/edit?usp=sharing"",""ระนอง!J397"")"),0.0)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IFERROR(__xludf.DUMMYFUNCTION("IMPORTRANGE(""https://docs.google.com/spreadsheets/d/1IYY_tgx_IHuhSq3AJ5eI5OnqOPBNLWSHKh2a30DoXe8/edit?usp=sharing"",""ระนอง!I398"")"),0.0)</f>
        <v>0</v>
      </c>
      <c r="J503" s="232">
        <f>IFERROR(__xludf.DUMMYFUNCTION("IMPORTRANGE(""https://docs.google.com/spreadsheets/d/1IYY_tgx_IHuhSq3AJ5eI5OnqOPBNLWSHKh2a30DoXe8/edit?usp=sharing"",""ระนอง!J398"")"),0.0)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IFERROR(__xludf.DUMMYFUNCTION("IMPORTRANGE(""https://docs.google.com/spreadsheets/d/1IYY_tgx_IHuhSq3AJ5eI5OnqOPBNLWSHKh2a30DoXe8/edit?usp=sharing"",""ระนอง!I399"")"),0.0)</f>
        <v>0</v>
      </c>
      <c r="J504" s="223">
        <f>IFERROR(__xludf.DUMMYFUNCTION("IMPORTRANGE(""https://docs.google.com/spreadsheets/d/1IYY_tgx_IHuhSq3AJ5eI5OnqOPBNLWSHKh2a30DoXe8/edit?usp=sharing"",""ระนอง!J399"")"),0.0)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IFERROR(__xludf.DUMMYFUNCTION("IMPORTRANGE(""https://docs.google.com/spreadsheets/d/1IYY_tgx_IHuhSq3AJ5eI5OnqOPBNLWSHKh2a30DoXe8/edit?usp=sharing"",""ระนอง!I400"")"),0.0)</f>
        <v>0</v>
      </c>
      <c r="J505" s="232">
        <f>IFERROR(__xludf.DUMMYFUNCTION("IMPORTRANGE(""https://docs.google.com/spreadsheets/d/1IYY_tgx_IHuhSq3AJ5eI5OnqOPBNLWSHKh2a30DoXe8/edit?usp=sharing"",""ระนอง!J400"")"),0.0)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IFERROR(__xludf.DUMMYFUNCTION("IMPORTRANGE(""https://docs.google.com/spreadsheets/d/1IYY_tgx_IHuhSq3AJ5eI5OnqOPBNLWSHKh2a30DoXe8/edit?usp=sharing"",""ระนอง!I401"")"),0.0)</f>
        <v>0</v>
      </c>
      <c r="J506" s="223">
        <f>IFERROR(__xludf.DUMMYFUNCTION("IMPORTRANGE(""https://docs.google.com/spreadsheets/d/1IYY_tgx_IHuhSq3AJ5eI5OnqOPBNLWSHKh2a30DoXe8/edit?usp=sharing"",""ระนอง!J401"")"),0.0)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IFERROR(__xludf.DUMMYFUNCTION("IMPORTRANGE(""https://docs.google.com/spreadsheets/d/1IYY_tgx_IHuhSq3AJ5eI5OnqOPBNLWSHKh2a30DoXe8/edit?usp=sharing"",""ระนอง!I402"")"),0.0)</f>
        <v>0</v>
      </c>
      <c r="J507" s="232">
        <f>IFERROR(__xludf.DUMMYFUNCTION("IMPORTRANGE(""https://docs.google.com/spreadsheets/d/1IYY_tgx_IHuhSq3AJ5eI5OnqOPBNLWSHKh2a30DoXe8/edit?usp=sharing"",""ระนอง!J402"")"),0.0)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IFERROR(__xludf.DUMMYFUNCTION("IMPORTRANGE(""https://docs.google.com/spreadsheets/d/1IYY_tgx_IHuhSq3AJ5eI5OnqOPBNLWSHKh2a30DoXe8/edit?usp=sharing"",""ระนอง!I403"")"),0.0)</f>
        <v>0</v>
      </c>
      <c r="J508" s="195">
        <f>IFERROR(__xludf.DUMMYFUNCTION("IMPORTRANGE(""https://docs.google.com/spreadsheets/d/1IYY_tgx_IHuhSq3AJ5eI5OnqOPBNLWSHKh2a30DoXe8/edit?usp=sharing"",""ระนอง!J403"")"),0.0)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IFERROR(__xludf.DUMMYFUNCTION("IMPORTRANGE(""https://docs.google.com/spreadsheets/d/1IYY_tgx_IHuhSq3AJ5eI5OnqOPBNLWSHKh2a30DoXe8/edit?usp=sharing"",""ระนอง!I404"")"),0.0)</f>
        <v>0</v>
      </c>
      <c r="J509" s="195">
        <f>IFERROR(__xludf.DUMMYFUNCTION("IMPORTRANGE(""https://docs.google.com/spreadsheets/d/1IYY_tgx_IHuhSq3AJ5eI5OnqOPBNLWSHKh2a30DoXe8/edit?usp=sharing"",""ระนอง!J404"")"),0.0)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IFERROR(__xludf.DUMMYFUNCTION("IMPORTRANGE(""https://docs.google.com/spreadsheets/d/1IYY_tgx_IHuhSq3AJ5eI5OnqOPBNLWSHKh2a30DoXe8/edit?usp=sharing"",""ระนอง!I405"")"),0.0)</f>
        <v>0</v>
      </c>
      <c r="J510" s="232">
        <f>IFERROR(__xludf.DUMMYFUNCTION("IMPORTRANGE(""https://docs.google.com/spreadsheets/d/1IYY_tgx_IHuhSq3AJ5eI5OnqOPBNLWSHKh2a30DoXe8/edit?usp=sharing"",""ระนอง!J405"")"),0.0)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IFERROR(__xludf.DUMMYFUNCTION("IMPORTRANGE(""https://docs.google.com/spreadsheets/d/1IYY_tgx_IHuhSq3AJ5eI5OnqOPBNLWSHKh2a30DoXe8/edit?usp=sharing"",""ระนอง!I406"")"),0.0)</f>
        <v>0</v>
      </c>
      <c r="J511" s="232">
        <f>IFERROR(__xludf.DUMMYFUNCTION("IMPORTRANGE(""https://docs.google.com/spreadsheets/d/1IYY_tgx_IHuhSq3AJ5eI5OnqOPBNLWSHKh2a30DoXe8/edit?usp=sharing"",""ระนอง!J406"")"),0.0)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IFERROR(__xludf.DUMMYFUNCTION("IMPORTRANGE(""https://docs.google.com/spreadsheets/d/1IYY_tgx_IHuhSq3AJ5eI5OnqOPBNLWSHKh2a30DoXe8/edit?usp=sharing"",""ระนอง!I407"")"),0.0)</f>
        <v>0</v>
      </c>
      <c r="J512" s="232">
        <f>IFERROR(__xludf.DUMMYFUNCTION("IMPORTRANGE(""https://docs.google.com/spreadsheets/d/1IYY_tgx_IHuhSq3AJ5eI5OnqOPBNLWSHKh2a30DoXe8/edit?usp=sharing"",""ระนอง!J407"")"),0.0)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IFERROR(__xludf.DUMMYFUNCTION("IMPORTRANGE(""https://docs.google.com/spreadsheets/d/1IYY_tgx_IHuhSq3AJ5eI5OnqOPBNLWSHKh2a30DoXe8/edit?usp=sharing"",""ระนอง!I408"")"),0.0)</f>
        <v>0</v>
      </c>
      <c r="J513" s="232">
        <f>IFERROR(__xludf.DUMMYFUNCTION("IMPORTRANGE(""https://docs.google.com/spreadsheets/d/1IYY_tgx_IHuhSq3AJ5eI5OnqOPBNLWSHKh2a30DoXe8/edit?usp=sharing"",""ระนอง!J408"")"),0.0)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IFERROR(__xludf.DUMMYFUNCTION("IMPORTRANGE(""https://docs.google.com/spreadsheets/d/1IYY_tgx_IHuhSq3AJ5eI5OnqOPBNLWSHKh2a30DoXe8/edit?usp=sharing"",""ระนอง!I409"")"),0.0)</f>
        <v>0</v>
      </c>
      <c r="J514" s="232">
        <f>IFERROR(__xludf.DUMMYFUNCTION("IMPORTRANGE(""https://docs.google.com/spreadsheets/d/1IYY_tgx_IHuhSq3AJ5eI5OnqOPBNLWSHKh2a30DoXe8/edit?usp=sharing"",""ระนอง!J409"")"),0.0)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IFERROR(__xludf.DUMMYFUNCTION("IMPORTRANGE(""https://docs.google.com/spreadsheets/d/1IYY_tgx_IHuhSq3AJ5eI5OnqOPBNLWSHKh2a30DoXe8/edit?usp=sharing"",""ระนอง!I410"")"),0.0)</f>
        <v>0</v>
      </c>
      <c r="J515" s="232">
        <f>IFERROR(__xludf.DUMMYFUNCTION("IMPORTRANGE(""https://docs.google.com/spreadsheets/d/1IYY_tgx_IHuhSq3AJ5eI5OnqOPBNLWSHKh2a30DoXe8/edit?usp=sharing"",""ระนอง!J410"")"),0.0)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IFERROR(__xludf.DUMMYFUNCTION("IMPORTRANGE(""https://docs.google.com/spreadsheets/d/1IYY_tgx_IHuhSq3AJ5eI5OnqOPBNLWSHKh2a30DoXe8/edit?usp=sharing"",""ระนอง!I411"")"),0.0)</f>
        <v>0</v>
      </c>
      <c r="J516" s="301">
        <f>IFERROR(__xludf.DUMMYFUNCTION("IMPORTRANGE(""https://docs.google.com/spreadsheets/d/1IYY_tgx_IHuhSq3AJ5eI5OnqOPBNLWSHKh2a30DoXe8/edit?usp=sharing"",""ระนอง!J411"")"),0.0)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IFERROR(__xludf.DUMMYFUNCTION("IMPORTRANGE(""https://docs.google.com/spreadsheets/d/1IYY_tgx_IHuhSq3AJ5eI5OnqOPBNLWSHKh2a30DoXe8/edit?usp=sharing"",""ระนอง!I412"")"),0.0)</f>
        <v>0</v>
      </c>
      <c r="J517" s="317">
        <f>IFERROR(__xludf.DUMMYFUNCTION("IMPORTRANGE(""https://docs.google.com/spreadsheets/d/1IYY_tgx_IHuhSq3AJ5eI5OnqOPBNLWSHKh2a30DoXe8/edit?usp=sharing"",""ระนอง!J412"")"),0.0)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IFERROR(__xludf.DUMMYFUNCTION("IMPORTRANGE(""https://docs.google.com/spreadsheets/d/1IYY_tgx_IHuhSq3AJ5eI5OnqOPBNLWSHKh2a30DoXe8/edit?usp=sharing"",""ระนอง!I413"")"),0.0)</f>
        <v>0</v>
      </c>
      <c r="J518" s="317">
        <f>IFERROR(__xludf.DUMMYFUNCTION("IMPORTRANGE(""https://docs.google.com/spreadsheets/d/1IYY_tgx_IHuhSq3AJ5eI5OnqOPBNLWSHKh2a30DoXe8/edit?usp=sharing"",""ระนอง!J413"")"),0.0)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IFERROR(__xludf.DUMMYFUNCTION("IMPORTRANGE(""https://docs.google.com/spreadsheets/d/1IYY_tgx_IHuhSq3AJ5eI5OnqOPBNLWSHKh2a30DoXe8/edit?usp=sharing"",""ระนอง!I414"")"),0.0)</f>
        <v>0</v>
      </c>
      <c r="J519" s="222">
        <f>IFERROR(__xludf.DUMMYFUNCTION("IMPORTRANGE(""https://docs.google.com/spreadsheets/d/1IYY_tgx_IHuhSq3AJ5eI5OnqOPBNLWSHKh2a30DoXe8/edit?usp=sharing"",""ระนอง!J414"")"),0.0)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IFERROR(__xludf.DUMMYFUNCTION("IMPORTRANGE(""https://docs.google.com/spreadsheets/d/1IYY_tgx_IHuhSq3AJ5eI5OnqOPBNLWSHKh2a30DoXe8/edit?usp=sharing"",""ระนอง!I415"")"),0.0)</f>
        <v>0</v>
      </c>
      <c r="J520" s="222">
        <f>IFERROR(__xludf.DUMMYFUNCTION("IMPORTRANGE(""https://docs.google.com/spreadsheets/d/1IYY_tgx_IHuhSq3AJ5eI5OnqOPBNLWSHKh2a30DoXe8/edit?usp=sharing"",""ระนอง!J415"")"),0.0)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IFERROR(__xludf.DUMMYFUNCTION("IMPORTRANGE(""https://docs.google.com/spreadsheets/d/1IYY_tgx_IHuhSq3AJ5eI5OnqOPBNLWSHKh2a30DoXe8/edit?usp=sharing"",""ระนอง!I416"")"),0.0)</f>
        <v>0</v>
      </c>
      <c r="J521" s="222">
        <f>IFERROR(__xludf.DUMMYFUNCTION("IMPORTRANGE(""https://docs.google.com/spreadsheets/d/1IYY_tgx_IHuhSq3AJ5eI5OnqOPBNLWSHKh2a30DoXe8/edit?usp=sharing"",""ระนอง!J416"")"),0.0)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IFERROR(__xludf.DUMMYFUNCTION("IMPORTRANGE(""https://docs.google.com/spreadsheets/d/1IYY_tgx_IHuhSq3AJ5eI5OnqOPBNLWSHKh2a30DoXe8/edit?usp=sharing"",""ระนอง!I417"")"),0.0)</f>
        <v>0</v>
      </c>
      <c r="J522" s="222">
        <f>IFERROR(__xludf.DUMMYFUNCTION("IMPORTRANGE(""https://docs.google.com/spreadsheets/d/1IYY_tgx_IHuhSq3AJ5eI5OnqOPBNLWSHKh2a30DoXe8/edit?usp=sharing"",""ระนอง!J417"")"),0.0)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IFERROR(__xludf.DUMMYFUNCTION("IMPORTRANGE(""https://docs.google.com/spreadsheets/d/1IYY_tgx_IHuhSq3AJ5eI5OnqOPBNLWSHKh2a30DoXe8/edit?usp=sharing"",""ระนอง!I418"")"),0.0)</f>
        <v>0</v>
      </c>
      <c r="J523" s="222">
        <f>IFERROR(__xludf.DUMMYFUNCTION("IMPORTRANGE(""https://docs.google.com/spreadsheets/d/1IYY_tgx_IHuhSq3AJ5eI5OnqOPBNLWSHKh2a30DoXe8/edit?usp=sharing"",""ระนอง!J418"")"),0.0)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IFERROR(__xludf.DUMMYFUNCTION("IMPORTRANGE(""https://docs.google.com/spreadsheets/d/1IYY_tgx_IHuhSq3AJ5eI5OnqOPBNLWSHKh2a30DoXe8/edit?usp=sharing"",""ระนอง!I419"")"),0.0)</f>
        <v>0</v>
      </c>
      <c r="J524" s="222">
        <f>IFERROR(__xludf.DUMMYFUNCTION("IMPORTRANGE(""https://docs.google.com/spreadsheets/d/1IYY_tgx_IHuhSq3AJ5eI5OnqOPBNLWSHKh2a30DoXe8/edit?usp=sharing"",""ระนอง!J419"")"),0.0)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IFERROR(__xludf.DUMMYFUNCTION("IMPORTRANGE(""https://docs.google.com/spreadsheets/d/1IYY_tgx_IHuhSq3AJ5eI5OnqOPBNLWSHKh2a30DoXe8/edit?usp=sharing"",""ระนอง!I420"")"),0.0)</f>
        <v>0</v>
      </c>
      <c r="J525" s="317">
        <f>IFERROR(__xludf.DUMMYFUNCTION("IMPORTRANGE(""https://docs.google.com/spreadsheets/d/1IYY_tgx_IHuhSq3AJ5eI5OnqOPBNLWSHKh2a30DoXe8/edit?usp=sharing"",""ระนอง!J420"")"),0.0)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IFERROR(__xludf.DUMMYFUNCTION("IMPORTRANGE(""https://docs.google.com/spreadsheets/d/1IYY_tgx_IHuhSq3AJ5eI5OnqOPBNLWSHKh2a30DoXe8/edit?usp=sharing"",""ระนอง!I421"")"),0.0)</f>
        <v>0</v>
      </c>
      <c r="J526" s="317">
        <f>IFERROR(__xludf.DUMMYFUNCTION("IMPORTRANGE(""https://docs.google.com/spreadsheets/d/1IYY_tgx_IHuhSq3AJ5eI5OnqOPBNLWSHKh2a30DoXe8/edit?usp=sharing"",""ระนอง!J421"")"),0.0)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IFERROR(__xludf.DUMMYFUNCTION("IMPORTRANGE(""https://docs.google.com/spreadsheets/d/1IYY_tgx_IHuhSq3AJ5eI5OnqOPBNLWSHKh2a30DoXe8/edit?usp=sharing"",""ระนอง!I422"")"),0.0)</f>
        <v>0</v>
      </c>
      <c r="J527" s="232">
        <f>IFERROR(__xludf.DUMMYFUNCTION("IMPORTRANGE(""https://docs.google.com/spreadsheets/d/1IYY_tgx_IHuhSq3AJ5eI5OnqOPBNLWSHKh2a30DoXe8/edit?usp=sharing"",""ระนอง!J422"")"),0.0)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IFERROR(__xludf.DUMMYFUNCTION("IMPORTRANGE(""https://docs.google.com/spreadsheets/d/1IYY_tgx_IHuhSq3AJ5eI5OnqOPBNLWSHKh2a30DoXe8/edit?usp=sharing"",""ระนอง!I423"")"),0.0)</f>
        <v>0</v>
      </c>
      <c r="J528" s="232">
        <f>IFERROR(__xludf.DUMMYFUNCTION("IMPORTRANGE(""https://docs.google.com/spreadsheets/d/1IYY_tgx_IHuhSq3AJ5eI5OnqOPBNLWSHKh2a30DoXe8/edit?usp=sharing"",""ระนอง!J423"")"),0.0)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IFERROR(__xludf.DUMMYFUNCTION("IMPORTRANGE(""https://docs.google.com/spreadsheets/d/1IYY_tgx_IHuhSq3AJ5eI5OnqOPBNLWSHKh2a30DoXe8/edit?usp=sharing"",""ระนอง!I424"")"),0.0)</f>
        <v>0</v>
      </c>
      <c r="J529" s="232">
        <f>IFERROR(__xludf.DUMMYFUNCTION("IMPORTRANGE(""https://docs.google.com/spreadsheets/d/1IYY_tgx_IHuhSq3AJ5eI5OnqOPBNLWSHKh2a30DoXe8/edit?usp=sharing"",""ระนอง!J424"")"),0.0)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IFERROR(__xludf.DUMMYFUNCTION("IMPORTRANGE(""https://docs.google.com/spreadsheets/d/1IYY_tgx_IHuhSq3AJ5eI5OnqOPBNLWSHKh2a30DoXe8/edit?usp=sharing"",""ระนอง!I425"")"),0.0)</f>
        <v>0</v>
      </c>
      <c r="J530" s="232">
        <f>IFERROR(__xludf.DUMMYFUNCTION("IMPORTRANGE(""https://docs.google.com/spreadsheets/d/1IYY_tgx_IHuhSq3AJ5eI5OnqOPBNLWSHKh2a30DoXe8/edit?usp=sharing"",""ระนอง!J425"")"),0.0)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IFERROR(__xludf.DUMMYFUNCTION("IMPORTRANGE(""https://docs.google.com/spreadsheets/d/1IYY_tgx_IHuhSq3AJ5eI5OnqOPBNLWSHKh2a30DoXe8/edit?usp=sharing"",""ระนอง!I426"")"),0.0)</f>
        <v>0</v>
      </c>
      <c r="J531" s="232">
        <f>IFERROR(__xludf.DUMMYFUNCTION("IMPORTRANGE(""https://docs.google.com/spreadsheets/d/1IYY_tgx_IHuhSq3AJ5eI5OnqOPBNLWSHKh2a30DoXe8/edit?usp=sharing"",""ระนอง!J426"")"),0.0)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IFERROR(__xludf.DUMMYFUNCTION("IMPORTRANGE(""https://docs.google.com/spreadsheets/d/1IYY_tgx_IHuhSq3AJ5eI5OnqOPBNLWSHKh2a30DoXe8/edit?usp=sharing"",""ระนอง!I427"")"),0.0)</f>
        <v>0</v>
      </c>
      <c r="J532" s="499">
        <f>IFERROR(__xludf.DUMMYFUNCTION("IMPORTRANGE(""https://docs.google.com/spreadsheets/d/1IYY_tgx_IHuhSq3AJ5eI5OnqOPBNLWSHKh2a30DoXe8/edit?usp=sharing"",""ระนอง!J427"")"),0.0)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IFERROR(__xludf.DUMMYFUNCTION("IMPORTRANGE(""https://docs.google.com/spreadsheets/d/1IYY_tgx_IHuhSq3AJ5eI5OnqOPBNLWSHKh2a30DoXe8/edit?usp=sharing"",""ระนอง!I428"")"),20.0)</f>
        <v>20</v>
      </c>
      <c r="J533" s="443">
        <f>IFERROR(__xludf.DUMMYFUNCTION("IMPORTRANGE(""https://docs.google.com/spreadsheets/d/1IYY_tgx_IHuhSq3AJ5eI5OnqOPBNLWSHKh2a30DoXe8/edit?usp=sharing"",""ระนอง!J428"")"),0.0)</f>
        <v>0</v>
      </c>
      <c r="K533" s="444">
        <f>IF(I533&gt;0,J533*100/I533,0)</f>
        <v>0</v>
      </c>
      <c r="L533" s="445">
        <f>IFERROR(__xludf.DUMMYFUNCTION("IMPORTRANGE(""https://docs.google.com/spreadsheets/d/1IYY_tgx_IHuhSq3AJ5eI5OnqOPBNLWSHKh2a30DoXe8/edit?usp=sharing"",""ระนอง!L428"")"),32640.0)</f>
        <v>32640</v>
      </c>
      <c r="M533" s="445"/>
      <c r="N533" s="445">
        <f>IFERROR(__xludf.DUMMYFUNCTION("IMPORTRANGE(""https://docs.google.com/spreadsheets/d/1IYY_tgx_IHuhSq3AJ5eI5OnqOPBNLWSHKh2a30DoXe8/edit?usp=sharing"",""ระนอง!M428"")"),0.0)</f>
        <v>0</v>
      </c>
      <c r="O533" s="445">
        <f t="shared" ref="O533:O537" si="119">+IF(L533&gt;0,N533*100/L533,0)</f>
        <v>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IFERROR(__xludf.DUMMYFUNCTION("IMPORTRANGE(""https://docs.google.com/spreadsheets/d/1IYY_tgx_IHuhSq3AJ5eI5OnqOPBNLWSHKh2a30DoXe8/edit?usp=sharing"",""ระนอง!L429"")"),0.0)</f>
        <v>0</v>
      </c>
      <c r="M534" s="197"/>
      <c r="N534" s="203">
        <f>IFERROR(__xludf.DUMMYFUNCTION("IMPORTRANGE(""https://docs.google.com/spreadsheets/d/1IYY_tgx_IHuhSq3AJ5eI5OnqOPBNLWSHKh2a30DoXe8/edit?usp=sharing"",""ระนอง!M429"")"),0.0)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IFERROR(__xludf.DUMMYFUNCTION("IMPORTRANGE(""https://docs.google.com/spreadsheets/d/1IYY_tgx_IHuhSq3AJ5eI5OnqOPBNLWSHKh2a30DoXe8/edit?usp=sharing"",""ระนอง!L430"")"),32640.0)</f>
        <v>32640</v>
      </c>
      <c r="M535" s="198"/>
      <c r="N535" s="203">
        <f>IFERROR(__xludf.DUMMYFUNCTION("IMPORTRANGE(""https://docs.google.com/spreadsheets/d/1IYY_tgx_IHuhSq3AJ5eI5OnqOPBNLWSHKh2a30DoXe8/edit?usp=sharing"",""ระนอง!M430"")"),0.0)</f>
        <v>0</v>
      </c>
      <c r="O535" s="203">
        <f t="shared" si="119"/>
        <v>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IFERROR(__xludf.DUMMYFUNCTION("IMPORTRANGE(""https://docs.google.com/spreadsheets/d/1IYY_tgx_IHuhSq3AJ5eI5OnqOPBNLWSHKh2a30DoXe8/edit?usp=sharing"",""ระนอง!L431"")"),0.0)</f>
        <v>0</v>
      </c>
      <c r="M536" s="203"/>
      <c r="N536" s="203">
        <f>IFERROR(__xludf.DUMMYFUNCTION("IMPORTRANGE(""https://docs.google.com/spreadsheets/d/1IYY_tgx_IHuhSq3AJ5eI5OnqOPBNLWSHKh2a30DoXe8/edit?usp=sharing"",""ระนอง!M431"")"),0.0)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IFERROR(__xludf.DUMMYFUNCTION("IMPORTRANGE(""https://docs.google.com/spreadsheets/d/1IYY_tgx_IHuhSq3AJ5eI5OnqOPBNLWSHKh2a30DoXe8/edit?usp=sharing"",""ระนอง!L432"")"),32640.0)</f>
        <v>32640</v>
      </c>
      <c r="M537" s="203"/>
      <c r="N537" s="203">
        <f>IFERROR(__xludf.DUMMYFUNCTION("IMPORTRANGE(""https://docs.google.com/spreadsheets/d/1IYY_tgx_IHuhSq3AJ5eI5OnqOPBNLWSHKh2a30DoXe8/edit?usp=sharing"",""ระนอง!M432"")"),0.0)</f>
        <v>0</v>
      </c>
      <c r="O537" s="203">
        <f t="shared" si="119"/>
        <v>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IFERROR(__xludf.DUMMYFUNCTION("IMPORTRANGE(""https://docs.google.com/spreadsheets/d/1IYY_tgx_IHuhSq3AJ5eI5OnqOPBNLWSHKh2a30DoXe8/edit?usp=sharing"",""ระนอง!M433"")"),0.0)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IFERROR(__xludf.DUMMYFUNCTION("IMPORTRANGE(""https://docs.google.com/spreadsheets/d/1IYY_tgx_IHuhSq3AJ5eI5OnqOPBNLWSHKh2a30DoXe8/edit?usp=sharing"",""ระนอง!M434"")"),0.0)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IFERROR(__xludf.DUMMYFUNCTION("IMPORTRANGE(""https://docs.google.com/spreadsheets/d/1IYY_tgx_IHuhSq3AJ5eI5OnqOPBNLWSHKh2a30DoXe8/edit?usp=sharing"",""ระนอง!M435"")"),0.0)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IFERROR(__xludf.DUMMYFUNCTION("IMPORTRANGE(""https://docs.google.com/spreadsheets/d/1IYY_tgx_IHuhSq3AJ5eI5OnqOPBNLWSHKh2a30DoXe8/edit?usp=sharing"",""ระนอง!M436"")"),0.0)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IFERROR(__xludf.DUMMYFUNCTION("IMPORTRANGE(""https://docs.google.com/spreadsheets/d/1IYY_tgx_IHuhSq3AJ5eI5OnqOPBNLWSHKh2a30DoXe8/edit?usp=sharing"",""ระนอง!J438"")"),0.0)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IFERROR(__xludf.DUMMYFUNCTION("IMPORTRANGE(""https://docs.google.com/spreadsheets/d/1IYY_tgx_IHuhSq3AJ5eI5OnqOPBNLWSHKh2a30DoXe8/edit?usp=sharing"",""ระนอง!J439"")"),1.0)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IFERROR(__xludf.DUMMYFUNCTION("IMPORTRANGE(""https://docs.google.com/spreadsheets/d/1IYY_tgx_IHuhSq3AJ5eI5OnqOPBNLWSHKh2a30DoXe8/edit?usp=sharing"",""ระนอง!J440"")"),1.0)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IFERROR(__xludf.DUMMYFUNCTION("IMPORTRANGE(""https://docs.google.com/spreadsheets/d/1IYY_tgx_IHuhSq3AJ5eI5OnqOPBNLWSHKh2a30DoXe8/edit?usp=sharing"",""ระนอง!J441"")"),1.0)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IFERROR(__xludf.DUMMYFUNCTION("IMPORTRANGE(""https://docs.google.com/spreadsheets/d/1IYY_tgx_IHuhSq3AJ5eI5OnqOPBNLWSHKh2a30DoXe8/edit?usp=sharing"",""ระนอง!I442"")"),20.0)</f>
        <v>20</v>
      </c>
      <c r="J547" s="223">
        <f>IFERROR(__xludf.DUMMYFUNCTION("IMPORTRANGE(""https://docs.google.com/spreadsheets/d/1IYY_tgx_IHuhSq3AJ5eI5OnqOPBNLWSHKh2a30DoXe8/edit?usp=sharing"",""ระนอง!J442"")"),0.0)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IFERROR(__xludf.DUMMYFUNCTION("IMPORTRANGE(""https://docs.google.com/spreadsheets/d/1IYY_tgx_IHuhSq3AJ5eI5OnqOPBNLWSHKh2a30DoXe8/edit?usp=sharing"",""ระนอง!J166"")"),0.0)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IFERROR(__xludf.DUMMYFUNCTION("IMPORTRANGE(""https://docs.google.com/spreadsheets/d/1IYY_tgx_IHuhSq3AJ5eI5OnqOPBNLWSHKh2a30DoXe8/edit?usp=sharing"",""ระนอง!J444"")"),0.0)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IFERROR(__xludf.DUMMYFUNCTION("IMPORTRANGE(""https://docs.google.com/spreadsheets/d/1IYY_tgx_IHuhSq3AJ5eI5OnqOPBNLWSHKh2a30DoXe8/edit?usp=sharing"",""ระนอง!J445"")"),0.0)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IFERROR(__xludf.DUMMYFUNCTION("IMPORTRANGE(""https://docs.google.com/spreadsheets/d/1IYY_tgx_IHuhSq3AJ5eI5OnqOPBNLWSHKh2a30DoXe8/edit?usp=sharing"",""ระนอง!I446"")"),0.0)</f>
        <v>0</v>
      </c>
      <c r="J551" s="443">
        <f>IFERROR(__xludf.DUMMYFUNCTION("IMPORTRANGE(""https://docs.google.com/spreadsheets/d/1IYY_tgx_IHuhSq3AJ5eI5OnqOPBNLWSHKh2a30DoXe8/edit?usp=sharing"",""ระนอง!J446"")"),0.0)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IFERROR(__xludf.DUMMYFUNCTION("IMPORTRANGE(""https://docs.google.com/spreadsheets/d/1IYY_tgx_IHuhSq3AJ5eI5OnqOPBNLWSHKh2a30DoXe8/edit?usp=sharing"",""ระนอง!L446"")"),0.0)</f>
        <v>0</v>
      </c>
      <c r="M551" s="445"/>
      <c r="N551" s="445">
        <f>IFERROR(__xludf.DUMMYFUNCTION("IMPORTRANGE(""https://docs.google.com/spreadsheets/d/1IYY_tgx_IHuhSq3AJ5eI5OnqOPBNLWSHKh2a30DoXe8/edit?usp=sharing"",""ระนอง!M446"")"),0.0)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IFERROR(__xludf.DUMMYFUNCTION("IMPORTRANGE(""https://docs.google.com/spreadsheets/d/1IYY_tgx_IHuhSq3AJ5eI5OnqOPBNLWSHKh2a30DoXe8/edit?usp=sharing"",""ระนอง!L447"")"),0.0)</f>
        <v>0</v>
      </c>
      <c r="M552" s="197"/>
      <c r="N552" s="203">
        <f>IFERROR(__xludf.DUMMYFUNCTION("IMPORTRANGE(""https://docs.google.com/spreadsheets/d/1IYY_tgx_IHuhSq3AJ5eI5OnqOPBNLWSHKh2a30DoXe8/edit?usp=sharing"",""ระนอง!M447"")"),0.0)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IFERROR(__xludf.DUMMYFUNCTION("IMPORTRANGE(""https://docs.google.com/spreadsheets/d/1IYY_tgx_IHuhSq3AJ5eI5OnqOPBNLWSHKh2a30DoXe8/edit?usp=sharing"",""ระนอง!L448"")"),0.0)</f>
        <v>0</v>
      </c>
      <c r="M553" s="198"/>
      <c r="N553" s="203">
        <f>IFERROR(__xludf.DUMMYFUNCTION("IMPORTRANGE(""https://docs.google.com/spreadsheets/d/1IYY_tgx_IHuhSq3AJ5eI5OnqOPBNLWSHKh2a30DoXe8/edit?usp=sharing"",""ระนอง!M448"")"),0.0)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IFERROR(__xludf.DUMMYFUNCTION("IMPORTRANGE(""https://docs.google.com/spreadsheets/d/1IYY_tgx_IHuhSq3AJ5eI5OnqOPBNLWSHKh2a30DoXe8/edit?usp=sharing"",""ระนอง!L449"")"),0.0)</f>
        <v>0</v>
      </c>
      <c r="M554" s="203"/>
      <c r="N554" s="203">
        <f>IFERROR(__xludf.DUMMYFUNCTION("IMPORTRANGE(""https://docs.google.com/spreadsheets/d/1IYY_tgx_IHuhSq3AJ5eI5OnqOPBNLWSHKh2a30DoXe8/edit?usp=sharing"",""ระนอง!M449"")"),0.0)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IFERROR(__xludf.DUMMYFUNCTION("IMPORTRANGE(""https://docs.google.com/spreadsheets/d/1IYY_tgx_IHuhSq3AJ5eI5OnqOPBNLWSHKh2a30DoXe8/edit?usp=sharing"",""ระนอง!L450"")"),0.0)</f>
        <v>0</v>
      </c>
      <c r="M555" s="203"/>
      <c r="N555" s="203">
        <f>IFERROR(__xludf.DUMMYFUNCTION("IMPORTRANGE(""https://docs.google.com/spreadsheets/d/1IYY_tgx_IHuhSq3AJ5eI5OnqOPBNLWSHKh2a30DoXe8/edit?usp=sharing"",""ระนอง!M450"")"),0.0)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IFERROR(__xludf.DUMMYFUNCTION("IMPORTRANGE(""https://docs.google.com/spreadsheets/d/1IYY_tgx_IHuhSq3AJ5eI5OnqOPBNLWSHKh2a30DoXe8/edit?usp=sharing"",""ระนอง!M451"")"),0.0)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IFERROR(__xludf.DUMMYFUNCTION("IMPORTRANGE(""https://docs.google.com/spreadsheets/d/1IYY_tgx_IHuhSq3AJ5eI5OnqOPBNLWSHKh2a30DoXe8/edit?usp=sharing"",""ระนอง!M452"")"),0.0)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IFERROR(__xludf.DUMMYFUNCTION("IMPORTRANGE(""https://docs.google.com/spreadsheets/d/1IYY_tgx_IHuhSq3AJ5eI5OnqOPBNLWSHKh2a30DoXe8/edit?usp=sharing"",""ระนอง!M453"")"),0.0)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IFERROR(__xludf.DUMMYFUNCTION("IMPORTRANGE(""https://docs.google.com/spreadsheets/d/1IYY_tgx_IHuhSq3AJ5eI5OnqOPBNLWSHKh2a30DoXe8/edit?usp=sharing"",""ระนอง!M454"")"),0.0)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IFERROR(__xludf.DUMMYFUNCTION("IMPORTRANGE(""https://docs.google.com/spreadsheets/d/1IYY_tgx_IHuhSq3AJ5eI5OnqOPBNLWSHKh2a30DoXe8/edit?usp=sharing"",""ระนอง!I455"")"),0.0)</f>
        <v>0</v>
      </c>
      <c r="J560" s="195">
        <f>IFERROR(__xludf.DUMMYFUNCTION("IMPORTRANGE(""https://docs.google.com/spreadsheets/d/1IYY_tgx_IHuhSq3AJ5eI5OnqOPBNLWSHKh2a30DoXe8/edit?usp=sharing"",""ระนอง!J455"")"),0.0)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IFERROR(__xludf.DUMMYFUNCTION("IMPORTRANGE(""https://docs.google.com/spreadsheets/d/1IYY_tgx_IHuhSq3AJ5eI5OnqOPBNLWSHKh2a30DoXe8/edit?usp=sharing"",""ระนอง!I456"")"),0.0)</f>
        <v>0</v>
      </c>
      <c r="J561" s="238">
        <f>IFERROR(__xludf.DUMMYFUNCTION("IMPORTRANGE(""https://docs.google.com/spreadsheets/d/1IYY_tgx_IHuhSq3AJ5eI5OnqOPBNLWSHKh2a30DoXe8/edit?usp=sharing"",""ระนอง!J456"")"),0.0)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IFERROR(__xludf.DUMMYFUNCTION("IMPORTRANGE(""https://docs.google.com/spreadsheets/d/1IYY_tgx_IHuhSq3AJ5eI5OnqOPBNLWSHKh2a30DoXe8/edit?usp=sharing"",""ระนอง!I457"")"),"")</f>
        <v/>
      </c>
      <c r="J562" s="238" t="str">
        <f>IFERROR(__xludf.DUMMYFUNCTION("IMPORTRANGE(""https://docs.google.com/spreadsheets/d/1IYY_tgx_IHuhSq3AJ5eI5OnqOPBNLWSHKh2a30DoXe8/edit?usp=sharing"",""ระนอง!J457"")"),"")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IFERROR(__xludf.DUMMYFUNCTION("IMPORTRANGE(""https://docs.google.com/spreadsheets/d/1IYY_tgx_IHuhSq3AJ5eI5OnqOPBNLWSHKh2a30DoXe8/edit?usp=sharing"",""ระนอง!I458"")"),"")</f>
        <v/>
      </c>
      <c r="J563" s="222" t="str">
        <f>IFERROR(__xludf.DUMMYFUNCTION("IMPORTRANGE(""https://docs.google.com/spreadsheets/d/1IYY_tgx_IHuhSq3AJ5eI5OnqOPBNLWSHKh2a30DoXe8/edit?usp=sharing"",""ระนอง!J458"")"),"")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IFERROR(__xludf.DUMMYFUNCTION("IMPORTRANGE(""https://docs.google.com/spreadsheets/d/1IYY_tgx_IHuhSq3AJ5eI5OnqOPBNLWSHKh2a30DoXe8/edit?usp=sharing"",""ระนอง!I459"")"),400.0)</f>
        <v>400</v>
      </c>
      <c r="J564" s="404">
        <f>IFERROR(__xludf.DUMMYFUNCTION("IMPORTRANGE(""https://docs.google.com/spreadsheets/d/1IYY_tgx_IHuhSq3AJ5eI5OnqOPBNLWSHKh2a30DoXe8/edit?usp=sharing"",""ระนอง!J459"")"),116.0)</f>
        <v>116</v>
      </c>
      <c r="K564" s="405">
        <f t="shared" si="122"/>
        <v>29</v>
      </c>
      <c r="L564" s="406">
        <f>IFERROR(__xludf.DUMMYFUNCTION("IMPORTRANGE(""https://docs.google.com/spreadsheets/d/1IYY_tgx_IHuhSq3AJ5eI5OnqOPBNLWSHKh2a30DoXe8/edit?usp=sharing"",""ระนอง!L459"")"),125680.0)</f>
        <v>125680</v>
      </c>
      <c r="M564" s="406"/>
      <c r="N564" s="406">
        <f>IFERROR(__xludf.DUMMYFUNCTION("IMPORTRANGE(""https://docs.google.com/spreadsheets/d/1IYY_tgx_IHuhSq3AJ5eI5OnqOPBNLWSHKh2a30DoXe8/edit?usp=sharing"",""ระนอง!M459"")"),42532.0)</f>
        <v>42532</v>
      </c>
      <c r="O564" s="406">
        <f t="shared" ref="O564:O568" si="123">+IF(L564&gt;0,N564*100/L564,0)</f>
        <v>33.84150223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IFERROR(__xludf.DUMMYFUNCTION("IMPORTRANGE(""https://docs.google.com/spreadsheets/d/1IYY_tgx_IHuhSq3AJ5eI5OnqOPBNLWSHKh2a30DoXe8/edit?usp=sharing"",""ระนอง!L460"")"),0.0)</f>
        <v>0</v>
      </c>
      <c r="M565" s="197"/>
      <c r="N565" s="203">
        <f>IFERROR(__xludf.DUMMYFUNCTION("IMPORTRANGE(""https://docs.google.com/spreadsheets/d/1IYY_tgx_IHuhSq3AJ5eI5OnqOPBNLWSHKh2a30DoXe8/edit?usp=sharing"",""ระนอง!M460"")"),0.0)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IFERROR(__xludf.DUMMYFUNCTION("IMPORTRANGE(""https://docs.google.com/spreadsheets/d/1IYY_tgx_IHuhSq3AJ5eI5OnqOPBNLWSHKh2a30DoXe8/edit?usp=sharing"",""ระนอง!L461"")"),125680.0)</f>
        <v>125680</v>
      </c>
      <c r="M566" s="198"/>
      <c r="N566" s="203">
        <f>IFERROR(__xludf.DUMMYFUNCTION("IMPORTRANGE(""https://docs.google.com/spreadsheets/d/1IYY_tgx_IHuhSq3AJ5eI5OnqOPBNLWSHKh2a30DoXe8/edit?usp=sharing"",""ระนอง!M461"")"),42532.0)</f>
        <v>42532</v>
      </c>
      <c r="O566" s="203">
        <f t="shared" si="123"/>
        <v>33.84150223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IFERROR(__xludf.DUMMYFUNCTION("IMPORTRANGE(""https://docs.google.com/spreadsheets/d/1IYY_tgx_IHuhSq3AJ5eI5OnqOPBNLWSHKh2a30DoXe8/edit?usp=sharing"",""ระนอง!L462"")"),0.0)</f>
        <v>0</v>
      </c>
      <c r="M567" s="203"/>
      <c r="N567" s="203">
        <f>IFERROR(__xludf.DUMMYFUNCTION("IMPORTRANGE(""https://docs.google.com/spreadsheets/d/1IYY_tgx_IHuhSq3AJ5eI5OnqOPBNLWSHKh2a30DoXe8/edit?usp=sharing"",""ระนอง!M462"")"),0.0)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IFERROR(__xludf.DUMMYFUNCTION("IMPORTRANGE(""https://docs.google.com/spreadsheets/d/1IYY_tgx_IHuhSq3AJ5eI5OnqOPBNLWSHKh2a30DoXe8/edit?usp=sharing"",""ระนอง!L463"")"),125680.0)</f>
        <v>125680</v>
      </c>
      <c r="M568" s="203"/>
      <c r="N568" s="203">
        <f>IFERROR(__xludf.DUMMYFUNCTION("IMPORTRANGE(""https://docs.google.com/spreadsheets/d/1IYY_tgx_IHuhSq3AJ5eI5OnqOPBNLWSHKh2a30DoXe8/edit?usp=sharing"",""ระนอง!M463"")"),42532.0)</f>
        <v>42532</v>
      </c>
      <c r="O568" s="203">
        <f t="shared" si="123"/>
        <v>33.84150223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IFERROR(__xludf.DUMMYFUNCTION("IMPORTRANGE(""https://docs.google.com/spreadsheets/d/1IYY_tgx_IHuhSq3AJ5eI5OnqOPBNLWSHKh2a30DoXe8/edit?usp=sharing"",""ระนอง!M464"")"),0.0)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IFERROR(__xludf.DUMMYFUNCTION("IMPORTRANGE(""https://docs.google.com/spreadsheets/d/1IYY_tgx_IHuhSq3AJ5eI5OnqOPBNLWSHKh2a30DoXe8/edit?usp=sharing"",""ระนอง!M465"")"),0.0)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IFERROR(__xludf.DUMMYFUNCTION("IMPORTRANGE(""https://docs.google.com/spreadsheets/d/1IYY_tgx_IHuhSq3AJ5eI5OnqOPBNLWSHKh2a30DoXe8/edit?usp=sharing"",""ระนอง!M466"")"),42532.0)</f>
        <v>42532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IFERROR(__xludf.DUMMYFUNCTION("IMPORTRANGE(""https://docs.google.com/spreadsheets/d/1IYY_tgx_IHuhSq3AJ5eI5OnqOPBNLWSHKh2a30DoXe8/edit?usp=sharing"",""ระนอง!M467"")"),0.0)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IFERROR(__xludf.DUMMYFUNCTION("IMPORTRANGE(""https://docs.google.com/spreadsheets/d/1IYY_tgx_IHuhSq3AJ5eI5OnqOPBNLWSHKh2a30DoXe8/edit?usp=sharing"",""ระนอง!I468"")"),400.0)</f>
        <v>400</v>
      </c>
      <c r="J573" s="453">
        <f>IFERROR(__xludf.DUMMYFUNCTION("IMPORTRANGE(""https://docs.google.com/spreadsheets/d/1IYY_tgx_IHuhSq3AJ5eI5OnqOPBNLWSHKh2a30DoXe8/edit?usp=sharing"",""ระนอง!J468"")"),116.0)</f>
        <v>116</v>
      </c>
      <c r="K573" s="236">
        <f>IF(I573&gt;0,J573*100/I573,0)</f>
        <v>29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IFERROR(__xludf.DUMMYFUNCTION("IMPORTRANGE(""https://docs.google.com/spreadsheets/d/1IYY_tgx_IHuhSq3AJ5eI5OnqOPBNLWSHKh2a30DoXe8/edit?usp=sharing"",""ระนอง!I470"")"),0.0)</f>
        <v>0</v>
      </c>
      <c r="J575" s="232">
        <f>IFERROR(__xludf.DUMMYFUNCTION("IMPORTRANGE(""https://docs.google.com/spreadsheets/d/1IYY_tgx_IHuhSq3AJ5eI5OnqOPBNLWSHKh2a30DoXe8/edit?usp=sharing"",""ระนอง!J470"")"),1.0)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IFERROR(__xludf.DUMMYFUNCTION("IMPORTRANGE(""https://docs.google.com/spreadsheets/d/1IYY_tgx_IHuhSq3AJ5eI5OnqOPBNLWSHKh2a30DoXe8/edit?usp=sharing"",""ระนอง!I471"")"),0.0)</f>
        <v>0</v>
      </c>
      <c r="J576" s="232">
        <f>IFERROR(__xludf.DUMMYFUNCTION("IMPORTRANGE(""https://docs.google.com/spreadsheets/d/1IYY_tgx_IHuhSq3AJ5eI5OnqOPBNLWSHKh2a30DoXe8/edit?usp=sharing"",""ระนอง!J471"")"),24.0)</f>
        <v>24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IFERROR(__xludf.DUMMYFUNCTION("IMPORTRANGE(""https://docs.google.com/spreadsheets/d/1IYY_tgx_IHuhSq3AJ5eI5OnqOPBNLWSHKh2a30DoXe8/edit?usp=sharing"",""ระนอง!I472"")"),0.0)</f>
        <v>0</v>
      </c>
      <c r="J577" s="223">
        <f>IFERROR(__xludf.DUMMYFUNCTION("IMPORTRANGE(""https://docs.google.com/spreadsheets/d/1IYY_tgx_IHuhSq3AJ5eI5OnqOPBNLWSHKh2a30DoXe8/edit?usp=sharing"",""ระนอง!J472"")"),92.0)</f>
        <v>92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IFERROR(__xludf.DUMMYFUNCTION("IMPORTRANGE(""https://docs.google.com/spreadsheets/d/1IYY_tgx_IHuhSq3AJ5eI5OnqOPBNLWSHKh2a30DoXe8/edit?usp=sharing"",""ระนอง!I473"")"),0.0)</f>
        <v>0</v>
      </c>
      <c r="J578" s="232">
        <f>IFERROR(__xludf.DUMMYFUNCTION("IMPORTRANGE(""https://docs.google.com/spreadsheets/d/1IYY_tgx_IHuhSq3AJ5eI5OnqOPBNLWSHKh2a30DoXe8/edit?usp=sharing"",""ระนอง!J473"")"),0.0)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IFERROR(__xludf.DUMMYFUNCTION("IMPORTRANGE(""https://docs.google.com/spreadsheets/d/1IYY_tgx_IHuhSq3AJ5eI5OnqOPBNLWSHKh2a30DoXe8/edit?usp=sharing"",""ระนอง!I474"")"),0.0)</f>
        <v>0</v>
      </c>
      <c r="J579" s="232">
        <f>IFERROR(__xludf.DUMMYFUNCTION("IMPORTRANGE(""https://docs.google.com/spreadsheets/d/1IYY_tgx_IHuhSq3AJ5eI5OnqOPBNLWSHKh2a30DoXe8/edit?usp=sharing"",""ระนอง!J474"")"),0.0)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IFERROR(__xludf.DUMMYFUNCTION("IMPORTRANGE(""https://docs.google.com/spreadsheets/d/1IYY_tgx_IHuhSq3AJ5eI5OnqOPBNLWSHKh2a30DoXe8/edit?usp=sharing"",""ระนอง!I475"")"),0.0)</f>
        <v>0</v>
      </c>
      <c r="J580" s="404">
        <f>IFERROR(__xludf.DUMMYFUNCTION("IMPORTRANGE(""https://docs.google.com/spreadsheets/d/1IYY_tgx_IHuhSq3AJ5eI5OnqOPBNLWSHKh2a30DoXe8/edit?usp=sharing"",""ระนอง!J475"")"),0.0)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IFERROR(__xludf.DUMMYFUNCTION("IMPORTRANGE(""https://docs.google.com/spreadsheets/d/1IYY_tgx_IHuhSq3AJ5eI5OnqOPBNLWSHKh2a30DoXe8/edit?usp=sharing"",""ระนอง!L475"")"),0.0)</f>
        <v>0</v>
      </c>
      <c r="M580" s="406"/>
      <c r="N580" s="406">
        <f>IFERROR(__xludf.DUMMYFUNCTION("IMPORTRANGE(""https://docs.google.com/spreadsheets/d/1IYY_tgx_IHuhSq3AJ5eI5OnqOPBNLWSHKh2a30DoXe8/edit?usp=sharing"",""ระนอง!M475"")"),0.0)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IFERROR(__xludf.DUMMYFUNCTION("IMPORTRANGE(""https://docs.google.com/spreadsheets/d/1IYY_tgx_IHuhSq3AJ5eI5OnqOPBNLWSHKh2a30DoXe8/edit?usp=sharing"",""ระนอง!L476"")"),0.0)</f>
        <v>0</v>
      </c>
      <c r="M581" s="197"/>
      <c r="N581" s="203">
        <f>IFERROR(__xludf.DUMMYFUNCTION("IMPORTRANGE(""https://docs.google.com/spreadsheets/d/1IYY_tgx_IHuhSq3AJ5eI5OnqOPBNLWSHKh2a30DoXe8/edit?usp=sharing"",""ระนอง!M476"")"),0.0)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IFERROR(__xludf.DUMMYFUNCTION("IMPORTRANGE(""https://docs.google.com/spreadsheets/d/1IYY_tgx_IHuhSq3AJ5eI5OnqOPBNLWSHKh2a30DoXe8/edit?usp=sharing"",""ระนอง!L477"")"),0.0)</f>
        <v>0</v>
      </c>
      <c r="M582" s="198"/>
      <c r="N582" s="203">
        <f>IFERROR(__xludf.DUMMYFUNCTION("IMPORTRANGE(""https://docs.google.com/spreadsheets/d/1IYY_tgx_IHuhSq3AJ5eI5OnqOPBNLWSHKh2a30DoXe8/edit?usp=sharing"",""ระนอง!M477"")"),0.0)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IFERROR(__xludf.DUMMYFUNCTION("IMPORTRANGE(""https://docs.google.com/spreadsheets/d/1IYY_tgx_IHuhSq3AJ5eI5OnqOPBNLWSHKh2a30DoXe8/edit?usp=sharing"",""ระนอง!L478"")"),0.0)</f>
        <v>0</v>
      </c>
      <c r="M583" s="203"/>
      <c r="N583" s="203">
        <f>IFERROR(__xludf.DUMMYFUNCTION("IMPORTRANGE(""https://docs.google.com/spreadsheets/d/1IYY_tgx_IHuhSq3AJ5eI5OnqOPBNLWSHKh2a30DoXe8/edit?usp=sharing"",""ระนอง!M478"")"),0.0)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IFERROR(__xludf.DUMMYFUNCTION("IMPORTRANGE(""https://docs.google.com/spreadsheets/d/1IYY_tgx_IHuhSq3AJ5eI5OnqOPBNLWSHKh2a30DoXe8/edit?usp=sharing"",""ระนอง!L479"")"),0.0)</f>
        <v>0</v>
      </c>
      <c r="M584" s="203"/>
      <c r="N584" s="203">
        <f>IFERROR(__xludf.DUMMYFUNCTION("IMPORTRANGE(""https://docs.google.com/spreadsheets/d/1IYY_tgx_IHuhSq3AJ5eI5OnqOPBNLWSHKh2a30DoXe8/edit?usp=sharing"",""ระนอง!M479"")"),0.0)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IFERROR(__xludf.DUMMYFUNCTION("IMPORTRANGE(""https://docs.google.com/spreadsheets/d/1IYY_tgx_IHuhSq3AJ5eI5OnqOPBNLWSHKh2a30DoXe8/edit?usp=sharing"",""ระนอง!M480"")"),0.0)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IFERROR(__xludf.DUMMYFUNCTION("IMPORTRANGE(""https://docs.google.com/spreadsheets/d/1IYY_tgx_IHuhSq3AJ5eI5OnqOPBNLWSHKh2a30DoXe8/edit?usp=sharing"",""ระนอง!M481"")"),0.0)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IFERROR(__xludf.DUMMYFUNCTION("IMPORTRANGE(""https://docs.google.com/spreadsheets/d/1IYY_tgx_IHuhSq3AJ5eI5OnqOPBNLWSHKh2a30DoXe8/edit?usp=sharing"",""ระนอง!M482"")"),0.0)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IFERROR(__xludf.DUMMYFUNCTION("IMPORTRANGE(""https://docs.google.com/spreadsheets/d/1IYY_tgx_IHuhSq3AJ5eI5OnqOPBNLWSHKh2a30DoXe8/edit?usp=sharing"",""ระนอง!M483"")"),0.0)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IFERROR(__xludf.DUMMYFUNCTION("IMPORTRANGE(""https://docs.google.com/spreadsheets/d/1IYY_tgx_IHuhSq3AJ5eI5OnqOPBNLWSHKh2a30DoXe8/edit?usp=sharing"",""ระนอง!I484"")"),0.0)</f>
        <v>0</v>
      </c>
      <c r="J589" s="222">
        <f>IFERROR(__xludf.DUMMYFUNCTION("IMPORTRANGE(""https://docs.google.com/spreadsheets/d/1IYY_tgx_IHuhSq3AJ5eI5OnqOPBNLWSHKh2a30DoXe8/edit?usp=sharing"",""ระนอง!J484"")"),0.0)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IFERROR(__xludf.DUMMYFUNCTION("IMPORTRANGE(""https://docs.google.com/spreadsheets/d/1IYY_tgx_IHuhSq3AJ5eI5OnqOPBNLWSHKh2a30DoXe8/edit?usp=sharing"",""ระนอง!I485"")"),0.0)</f>
        <v>0</v>
      </c>
      <c r="J590" s="222">
        <f>IFERROR(__xludf.DUMMYFUNCTION("IMPORTRANGE(""https://docs.google.com/spreadsheets/d/1IYY_tgx_IHuhSq3AJ5eI5OnqOPBNLWSHKh2a30DoXe8/edit?usp=sharing"",""ระนอง!J485"")"),0.0)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IFERROR(__xludf.DUMMYFUNCTION("IMPORTRANGE(""https://docs.google.com/spreadsheets/d/1IYY_tgx_IHuhSq3AJ5eI5OnqOPBNLWSHKh2a30DoXe8/edit?usp=sharing"",""ระนอง!I486"")"),0.0)</f>
        <v>0</v>
      </c>
      <c r="J591" s="222">
        <f>IFERROR(__xludf.DUMMYFUNCTION("IMPORTRANGE(""https://docs.google.com/spreadsheets/d/1IYY_tgx_IHuhSq3AJ5eI5OnqOPBNLWSHKh2a30DoXe8/edit?usp=sharing"",""ระนอง!J486"")"),0.0)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IFERROR(__xludf.DUMMYFUNCTION("IMPORTRANGE(""https://docs.google.com/spreadsheets/d/1IYY_tgx_IHuhSq3AJ5eI5OnqOPBNLWSHKh2a30DoXe8/edit?usp=sharing"",""ระนอง!I487"")"),0.0)</f>
        <v>0</v>
      </c>
      <c r="J592" s="222">
        <f>IFERROR(__xludf.DUMMYFUNCTION("IMPORTRANGE(""https://docs.google.com/spreadsheets/d/1IYY_tgx_IHuhSq3AJ5eI5OnqOPBNLWSHKh2a30DoXe8/edit?usp=sharing"",""ระนอง!J487"")"),0.0)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IFERROR(__xludf.DUMMYFUNCTION("IMPORTRANGE(""https://docs.google.com/spreadsheets/d/1IYY_tgx_IHuhSq3AJ5eI5OnqOPBNLWSHKh2a30DoXe8/edit?usp=sharing"",""ระนอง!I488"")"),0.0)</f>
        <v>0</v>
      </c>
      <c r="J593" s="222">
        <f>IFERROR(__xludf.DUMMYFUNCTION("IMPORTRANGE(""https://docs.google.com/spreadsheets/d/1IYY_tgx_IHuhSq3AJ5eI5OnqOPBNLWSHKh2a30DoXe8/edit?usp=sharing"",""ระนอง!J488"")"),0.0)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IFERROR(__xludf.DUMMYFUNCTION("IMPORTRANGE(""https://docs.google.com/spreadsheets/d/1IYY_tgx_IHuhSq3AJ5eI5OnqOPBNLWSHKh2a30DoXe8/edit?usp=sharing"",""ระนอง!I489"")"),0.0)</f>
        <v>0</v>
      </c>
      <c r="J594" s="222">
        <f>IFERROR(__xludf.DUMMYFUNCTION("IMPORTRANGE(""https://docs.google.com/spreadsheets/d/1IYY_tgx_IHuhSq3AJ5eI5OnqOPBNLWSHKh2a30DoXe8/edit?usp=sharing"",""ระนอง!J489"")"),0.0)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IFERROR(__xludf.DUMMYFUNCTION("IMPORTRANGE(""https://docs.google.com/spreadsheets/d/1IYY_tgx_IHuhSq3AJ5eI5OnqOPBNLWSHKh2a30DoXe8/edit?usp=sharing"",""ระนอง!I490"")"),0.0)</f>
        <v>0</v>
      </c>
      <c r="J595" s="222">
        <f>IFERROR(__xludf.DUMMYFUNCTION("IMPORTRANGE(""https://docs.google.com/spreadsheets/d/1IYY_tgx_IHuhSq3AJ5eI5OnqOPBNLWSHKh2a30DoXe8/edit?usp=sharing"",""ระนอง!J490"")"),0.0)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IFERROR(__xludf.DUMMYFUNCTION("IMPORTRANGE(""https://docs.google.com/spreadsheets/d/1IYY_tgx_IHuhSq3AJ5eI5OnqOPBNLWSHKh2a30DoXe8/edit?usp=sharing"",""ระนอง!I491"")"),0.0)</f>
        <v>0</v>
      </c>
      <c r="J596" s="275">
        <f>IFERROR(__xludf.DUMMYFUNCTION("IMPORTRANGE(""https://docs.google.com/spreadsheets/d/1IYY_tgx_IHuhSq3AJ5eI5OnqOPBNLWSHKh2a30DoXe8/edit?usp=sharing"",""ระนอง!J491"")"),0.0)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IFERROR(__xludf.DUMMYFUNCTION("IMPORTRANGE(""https://docs.google.com/spreadsheets/d/1IYY_tgx_IHuhSq3AJ5eI5OnqOPBNLWSHKh2a30DoXe8/edit?usp=sharing"",""ระนอง!I492"")"),50.0)</f>
        <v>50</v>
      </c>
      <c r="J597" s="520">
        <f>IFERROR(__xludf.DUMMYFUNCTION("IMPORTRANGE(""https://docs.google.com/spreadsheets/d/1IYY_tgx_IHuhSq3AJ5eI5OnqOPBNLWSHKh2a30DoXe8/edit?usp=sharing"",""ระนอง!J492"")"),0.0)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IFERROR(__xludf.DUMMYFUNCTION("IMPORTRANGE(""https://docs.google.com/spreadsheets/d/1IYY_tgx_IHuhSq3AJ5eI5OnqOPBNLWSHKh2a30DoXe8/edit?usp=sharing"",""ระนอง!L492"")"),7750.0)</f>
        <v>7750</v>
      </c>
      <c r="M597" s="445"/>
      <c r="N597" s="445">
        <f>IFERROR(__xludf.DUMMYFUNCTION("IMPORTRANGE(""https://docs.google.com/spreadsheets/d/1IYY_tgx_IHuhSq3AJ5eI5OnqOPBNLWSHKh2a30DoXe8/edit?usp=sharing"",""ระนอง!M492"")"),3400.0)</f>
        <v>3400</v>
      </c>
      <c r="O597" s="445">
        <f t="shared" ref="O597:O601" si="127">+IF(L597&gt;0,N597*100/L597,0)</f>
        <v>43.87096774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IFERROR(__xludf.DUMMYFUNCTION("IMPORTRANGE(""https://docs.google.com/spreadsheets/d/1IYY_tgx_IHuhSq3AJ5eI5OnqOPBNLWSHKh2a30DoXe8/edit?usp=sharing"",""ระนอง!L493"")"),0.0)</f>
        <v>0</v>
      </c>
      <c r="M598" s="197"/>
      <c r="N598" s="203">
        <f>IFERROR(__xludf.DUMMYFUNCTION("IMPORTRANGE(""https://docs.google.com/spreadsheets/d/1IYY_tgx_IHuhSq3AJ5eI5OnqOPBNLWSHKh2a30DoXe8/edit?usp=sharing"",""ระนอง!M493"")"),0.0)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IFERROR(__xludf.DUMMYFUNCTION("IMPORTRANGE(""https://docs.google.com/spreadsheets/d/1IYY_tgx_IHuhSq3AJ5eI5OnqOPBNLWSHKh2a30DoXe8/edit?usp=sharing"",""ระนอง!L494"")"),7750.0)</f>
        <v>7750</v>
      </c>
      <c r="M599" s="198"/>
      <c r="N599" s="203">
        <f>IFERROR(__xludf.DUMMYFUNCTION("IMPORTRANGE(""https://docs.google.com/spreadsheets/d/1IYY_tgx_IHuhSq3AJ5eI5OnqOPBNLWSHKh2a30DoXe8/edit?usp=sharing"",""ระนอง!M494"")"),3400.0)</f>
        <v>3400</v>
      </c>
      <c r="O599" s="203">
        <f t="shared" si="127"/>
        <v>43.87096774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IFERROR(__xludf.DUMMYFUNCTION("IMPORTRANGE(""https://docs.google.com/spreadsheets/d/1IYY_tgx_IHuhSq3AJ5eI5OnqOPBNLWSHKh2a30DoXe8/edit?usp=sharing"",""ระนอง!L495"")"),0.0)</f>
        <v>0</v>
      </c>
      <c r="M600" s="203"/>
      <c r="N600" s="203">
        <f>IFERROR(__xludf.DUMMYFUNCTION("IMPORTRANGE(""https://docs.google.com/spreadsheets/d/1IYY_tgx_IHuhSq3AJ5eI5OnqOPBNLWSHKh2a30DoXe8/edit?usp=sharing"",""ระนอง!M495"")"),0.0)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IFERROR(__xludf.DUMMYFUNCTION("IMPORTRANGE(""https://docs.google.com/spreadsheets/d/1IYY_tgx_IHuhSq3AJ5eI5OnqOPBNLWSHKh2a30DoXe8/edit?usp=sharing"",""ระนอง!L496"")"),7750.0)</f>
        <v>7750</v>
      </c>
      <c r="M601" s="203"/>
      <c r="N601" s="203">
        <f>IFERROR(__xludf.DUMMYFUNCTION("IMPORTRANGE(""https://docs.google.com/spreadsheets/d/1IYY_tgx_IHuhSq3AJ5eI5OnqOPBNLWSHKh2a30DoXe8/edit?usp=sharing"",""ระนอง!M496"")"),3400.0)</f>
        <v>3400</v>
      </c>
      <c r="O601" s="203">
        <f t="shared" si="127"/>
        <v>43.87096774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IFERROR(__xludf.DUMMYFUNCTION("IMPORTRANGE(""https://docs.google.com/spreadsheets/d/1IYY_tgx_IHuhSq3AJ5eI5OnqOPBNLWSHKh2a30DoXe8/edit?usp=sharing"",""ระนอง!M497"")"),0.0)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IFERROR(__xludf.DUMMYFUNCTION("IMPORTRANGE(""https://docs.google.com/spreadsheets/d/1IYY_tgx_IHuhSq3AJ5eI5OnqOPBNLWSHKh2a30DoXe8/edit?usp=sharing"",""ระนอง!M498"")"),0.0)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IFERROR(__xludf.DUMMYFUNCTION("IMPORTRANGE(""https://docs.google.com/spreadsheets/d/1IYY_tgx_IHuhSq3AJ5eI5OnqOPBNLWSHKh2a30DoXe8/edit?usp=sharing"",""ระนอง!M499"")"),2400.0)</f>
        <v>2400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IFERROR(__xludf.DUMMYFUNCTION("IMPORTRANGE(""https://docs.google.com/spreadsheets/d/1IYY_tgx_IHuhSq3AJ5eI5OnqOPBNLWSHKh2a30DoXe8/edit?usp=sharing"",""ระนอง!M500"")"),1000.0)</f>
        <v>1000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IFERROR(__xludf.DUMMYFUNCTION("IMPORTRANGE(""https://docs.google.com/spreadsheets/d/1IYY_tgx_IHuhSq3AJ5eI5OnqOPBNLWSHKh2a30DoXe8/edit?usp=sharing"",""ระนอง!J502"")"),0.0)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IFERROR(__xludf.DUMMYFUNCTION("IMPORTRANGE(""https://docs.google.com/spreadsheets/d/1IYY_tgx_IHuhSq3AJ5eI5OnqOPBNLWSHKh2a30DoXe8/edit?usp=sharing"",""ระนอง!J503"")"),1.0)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IFERROR(__xludf.DUMMYFUNCTION("IMPORTRANGE(""https://docs.google.com/spreadsheets/d/1IYY_tgx_IHuhSq3AJ5eI5OnqOPBNLWSHKh2a30DoXe8/edit?usp=sharing"",""ระนอง!J166"")"),0.0)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IFERROR(__xludf.DUMMYFUNCTION("IMPORTRANGE(""https://docs.google.com/spreadsheets/d/1IYY_tgx_IHuhSq3AJ5eI5OnqOPBNLWSHKh2a30DoXe8/edit?usp=sharing"",""ระนอง!J166"")"),0.0)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IFERROR(__xludf.DUMMYFUNCTION("IMPORTRANGE(""https://docs.google.com/spreadsheets/d/1IYY_tgx_IHuhSq3AJ5eI5OnqOPBNLWSHKh2a30DoXe8/edit?usp=sharing"",""ระนอง!I506"")"),50.0)</f>
        <v>50</v>
      </c>
      <c r="J611" s="195">
        <f>IFERROR(__xludf.DUMMYFUNCTION("IMPORTRANGE(""https://docs.google.com/spreadsheets/d/1IYY_tgx_IHuhSq3AJ5eI5OnqOPBNLWSHKh2a30DoXe8/edit?usp=sharing"",""ระนอง!J506"")"),0.0)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IFERROR(__xludf.DUMMYFUNCTION("IMPORTRANGE(""https://docs.google.com/spreadsheets/d/1IYY_tgx_IHuhSq3AJ5eI5OnqOPBNLWSHKh2a30DoXe8/edit?usp=sharing"",""ระนอง!I507"")"),0.0)</f>
        <v>0</v>
      </c>
      <c r="J612" s="232">
        <f>IFERROR(__xludf.DUMMYFUNCTION("IMPORTRANGE(""https://docs.google.com/spreadsheets/d/1IYY_tgx_IHuhSq3AJ5eI5OnqOPBNLWSHKh2a30DoXe8/edit?usp=sharing"",""ระนอง!J507"")"),0.0)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IFERROR(__xludf.DUMMYFUNCTION("IMPORTRANGE(""https://docs.google.com/spreadsheets/d/1IYY_tgx_IHuhSq3AJ5eI5OnqOPBNLWSHKh2a30DoXe8/edit?usp=sharing"",""ระนอง!I508"")"),0.0)</f>
        <v>0</v>
      </c>
      <c r="J613" s="232">
        <f>IFERROR(__xludf.DUMMYFUNCTION("IMPORTRANGE(""https://docs.google.com/spreadsheets/d/1IYY_tgx_IHuhSq3AJ5eI5OnqOPBNLWSHKh2a30DoXe8/edit?usp=sharing"",""ระนอง!J508"")"),0.0)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IFERROR(__xludf.DUMMYFUNCTION("IMPORTRANGE(""https://docs.google.com/spreadsheets/d/1IYY_tgx_IHuhSq3AJ5eI5OnqOPBNLWSHKh2a30DoXe8/edit?usp=sharing"",""ระนอง!I509"")"),0.0)</f>
        <v>0</v>
      </c>
      <c r="J614" s="232">
        <f>IFERROR(__xludf.DUMMYFUNCTION("IMPORTRANGE(""https://docs.google.com/spreadsheets/d/1IYY_tgx_IHuhSq3AJ5eI5OnqOPBNLWSHKh2a30DoXe8/edit?usp=sharing"",""ระนอง!J509"")"),0.0)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IFERROR(__xludf.DUMMYFUNCTION("IMPORTRANGE(""https://docs.google.com/spreadsheets/d/1IYY_tgx_IHuhSq3AJ5eI5OnqOPBNLWSHKh2a30DoXe8/edit?usp=sharing"",""ระนอง!I510"")"),0.0)</f>
        <v>0</v>
      </c>
      <c r="J615" s="232">
        <f>IFERROR(__xludf.DUMMYFUNCTION("IMPORTRANGE(""https://docs.google.com/spreadsheets/d/1IYY_tgx_IHuhSq3AJ5eI5OnqOPBNLWSHKh2a30DoXe8/edit?usp=sharing"",""ระนอง!J510"")"),0.0)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IFERROR(__xludf.DUMMYFUNCTION("IMPORTRANGE(""https://docs.google.com/spreadsheets/d/1IYY_tgx_IHuhSq3AJ5eI5OnqOPBNLWSHKh2a30DoXe8/edit?usp=sharing"",""ระนอง!I511"")"),0.0)</f>
        <v>0</v>
      </c>
      <c r="J616" s="232">
        <f>IFERROR(__xludf.DUMMYFUNCTION("IMPORTRANGE(""https://docs.google.com/spreadsheets/d/1IYY_tgx_IHuhSq3AJ5eI5OnqOPBNLWSHKh2a30DoXe8/edit?usp=sharing"",""ระนอง!J511"")"),0.0)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IFERROR(__xludf.DUMMYFUNCTION("IMPORTRANGE(""https://docs.google.com/spreadsheets/d/1IYY_tgx_IHuhSq3AJ5eI5OnqOPBNLWSHKh2a30DoXe8/edit?usp=sharing"",""ระนอง!I512"")"),0.0)</f>
        <v>0</v>
      </c>
      <c r="J617" s="222">
        <f>IFERROR(__xludf.DUMMYFUNCTION("IMPORTRANGE(""https://docs.google.com/spreadsheets/d/1IYY_tgx_IHuhSq3AJ5eI5OnqOPBNLWSHKh2a30DoXe8/edit?usp=sharing"",""ระนอง!J512"")"),0.0)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IFERROR(__xludf.DUMMYFUNCTION("IMPORTRANGE(""https://docs.google.com/spreadsheets/d/1IYY_tgx_IHuhSq3AJ5eI5OnqOPBNLWSHKh2a30DoXe8/edit?usp=sharing"",""ระนอง!I513"")"),0.0)</f>
        <v>0</v>
      </c>
      <c r="J618" s="223">
        <f>IFERROR(__xludf.DUMMYFUNCTION("IMPORTRANGE(""https://docs.google.com/spreadsheets/d/1IYY_tgx_IHuhSq3AJ5eI5OnqOPBNLWSHKh2a30DoXe8/edit?usp=sharing"",""ระนอง!J513"")"),0.0)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IFERROR(__xludf.DUMMYFUNCTION("IMPORTRANGE(""https://docs.google.com/spreadsheets/d/1IYY_tgx_IHuhSq3AJ5eI5OnqOPBNLWSHKh2a30DoXe8/edit?usp=sharing"",""ระนอง!I514"")"),0.0)</f>
        <v>0</v>
      </c>
      <c r="J619" s="223">
        <f>IFERROR(__xludf.DUMMYFUNCTION("IMPORTRANGE(""https://docs.google.com/spreadsheets/d/1IYY_tgx_IHuhSq3AJ5eI5OnqOPBNLWSHKh2a30DoXe8/edit?usp=sharing"",""ระนอง!J514"")"),0.0)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IFERROR(__xludf.DUMMYFUNCTION("IMPORTRANGE(""https://docs.google.com/spreadsheets/d/1IYY_tgx_IHuhSq3AJ5eI5OnqOPBNLWSHKh2a30DoXe8/edit?usp=sharing"",""ระนอง!I515"")"),0.0)</f>
        <v>0</v>
      </c>
      <c r="J620" s="237">
        <f>IFERROR(__xludf.DUMMYFUNCTION("IMPORTRANGE(""https://docs.google.com/spreadsheets/d/1IYY_tgx_IHuhSq3AJ5eI5OnqOPBNLWSHKh2a30DoXe8/edit?usp=sharing"",""ระนอง!J515"")"),0.0)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IFERROR(__xludf.DUMMYFUNCTION("IMPORTRANGE(""https://docs.google.com/spreadsheets/d/1IYY_tgx_IHuhSq3AJ5eI5OnqOPBNLWSHKh2a30DoXe8/edit?usp=sharing"",""ระนอง!I516"")"),0.0)</f>
        <v>0</v>
      </c>
      <c r="J621" s="237">
        <f>IFERROR(__xludf.DUMMYFUNCTION("IMPORTRANGE(""https://docs.google.com/spreadsheets/d/1IYY_tgx_IHuhSq3AJ5eI5OnqOPBNLWSHKh2a30DoXe8/edit?usp=sharing"",""ระนอง!J516"")"),0.0)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IFERROR(__xludf.DUMMYFUNCTION("IMPORTRANGE(""https://docs.google.com/spreadsheets/d/1IYY_tgx_IHuhSq3AJ5eI5OnqOPBNLWSHKh2a30DoXe8/edit?usp=sharing"",""ระนอง!I517"")"),0.0)</f>
        <v>0</v>
      </c>
      <c r="J622" s="223">
        <f>IFERROR(__xludf.DUMMYFUNCTION("IMPORTRANGE(""https://docs.google.com/spreadsheets/d/1IYY_tgx_IHuhSq3AJ5eI5OnqOPBNLWSHKh2a30DoXe8/edit?usp=sharing"",""ระนอง!J517"")"),0.0)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IFERROR(__xludf.DUMMYFUNCTION("IMPORTRANGE(""https://docs.google.com/spreadsheets/d/1IYY_tgx_IHuhSq3AJ5eI5OnqOPBNLWSHKh2a30DoXe8/edit?usp=sharing"",""ระนอง!I518"")"),0.0)</f>
        <v>0</v>
      </c>
      <c r="J623" s="223">
        <f>IFERROR(__xludf.DUMMYFUNCTION("IMPORTRANGE(""https://docs.google.com/spreadsheets/d/1IYY_tgx_IHuhSq3AJ5eI5OnqOPBNLWSHKh2a30DoXe8/edit?usp=sharing"",""ระนอง!J518"")"),0.0)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IFERROR(__xludf.DUMMYFUNCTION("IMPORTRANGE(""https://docs.google.com/spreadsheets/d/1IYY_tgx_IHuhSq3AJ5eI5OnqOPBNLWSHKh2a30DoXe8/edit?usp=sharing"",""ระนอง!I519"")"),0.0)</f>
        <v>0</v>
      </c>
      <c r="J624" s="222">
        <f>IFERROR(__xludf.DUMMYFUNCTION("IMPORTRANGE(""https://docs.google.com/spreadsheets/d/1IYY_tgx_IHuhSq3AJ5eI5OnqOPBNLWSHKh2a30DoXe8/edit?usp=sharing"",""ระนอง!J519"")"),0.0)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IFERROR(__xludf.DUMMYFUNCTION("IMPORTRANGE(""https://docs.google.com/spreadsheets/d/1IYY_tgx_IHuhSq3AJ5eI5OnqOPBNLWSHKh2a30DoXe8/edit?usp=sharing"",""ระนอง!I520"")"),0.0)</f>
        <v>0</v>
      </c>
      <c r="J625" s="223">
        <f>IFERROR(__xludf.DUMMYFUNCTION("IMPORTRANGE(""https://docs.google.com/spreadsheets/d/1IYY_tgx_IHuhSq3AJ5eI5OnqOPBNLWSHKh2a30DoXe8/edit?usp=sharing"",""ระนอง!J520"")"),0.0)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IFERROR(__xludf.DUMMYFUNCTION("IMPORTRANGE(""https://docs.google.com/spreadsheets/d/1IYY_tgx_IHuhSq3AJ5eI5OnqOPBNLWSHKh2a30DoXe8/edit?usp=sharing"",""ระนอง!I521"")"),0.0)</f>
        <v>0</v>
      </c>
      <c r="J626" s="223">
        <f>IFERROR(__xludf.DUMMYFUNCTION("IMPORTRANGE(""https://docs.google.com/spreadsheets/d/1IYY_tgx_IHuhSq3AJ5eI5OnqOPBNLWSHKh2a30DoXe8/edit?usp=sharing"",""ระนอง!J521"")"),0.0)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IFERROR(__xludf.DUMMYFUNCTION("IMPORTRANGE(""https://docs.google.com/spreadsheets/d/1IYY_tgx_IHuhSq3AJ5eI5OnqOPBNLWSHKh2a30DoXe8/edit?usp=sharing"",""ระนอง!I523"")"),1209766.67)</f>
        <v>1209766.67</v>
      </c>
      <c r="J628" s="374">
        <f>IFERROR(__xludf.DUMMYFUNCTION("IMPORTRANGE(""https://docs.google.com/spreadsheets/d/1IYY_tgx_IHuhSq3AJ5eI5OnqOPBNLWSHKh2a30DoXe8/edit?usp=sharing"",""ระนอง!J523"")"),70752.87)</f>
        <v>70752.87</v>
      </c>
      <c r="K628" s="375">
        <f t="shared" ref="K628:K635" si="130">IF(I628&gt;0,J628*100/I628,0)</f>
        <v>5.848472417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IFERROR(__xludf.DUMMYFUNCTION("IMPORTRANGE(""https://docs.google.com/spreadsheets/d/1IYY_tgx_IHuhSq3AJ5eI5OnqOPBNLWSHKh2a30DoXe8/edit?usp=sharing"",""ระนอง!I524"")"),121.0)</f>
        <v>121</v>
      </c>
      <c r="J629" s="374">
        <f>IFERROR(__xludf.DUMMYFUNCTION("IMPORTRANGE(""https://docs.google.com/spreadsheets/d/1IYY_tgx_IHuhSq3AJ5eI5OnqOPBNLWSHKh2a30DoXe8/edit?usp=sharing"",""ระนอง!J524"")"),7.0)</f>
        <v>7</v>
      </c>
      <c r="K629" s="375">
        <f t="shared" si="130"/>
        <v>5.785123967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IFERROR(__xludf.DUMMYFUNCTION("IMPORTRANGE(""https://docs.google.com/spreadsheets/d/1IYY_tgx_IHuhSq3AJ5eI5OnqOPBNLWSHKh2a30DoXe8/edit?usp=sharing"",""ระนอง!I525"")"),2205098.43)</f>
        <v>2205098.43</v>
      </c>
      <c r="J630" s="374">
        <f>IFERROR(__xludf.DUMMYFUNCTION("IMPORTRANGE(""https://docs.google.com/spreadsheets/d/1IYY_tgx_IHuhSq3AJ5eI5OnqOPBNLWSHKh2a30DoXe8/edit?usp=sharing"",""ระนอง!J525"")"),40051.3)</f>
        <v>40051.3</v>
      </c>
      <c r="K630" s="375">
        <f t="shared" si="130"/>
        <v>1.816304409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IFERROR(__xludf.DUMMYFUNCTION("IMPORTRANGE(""https://docs.google.com/spreadsheets/d/1IYY_tgx_IHuhSq3AJ5eI5OnqOPBNLWSHKh2a30DoXe8/edit?usp=sharing"",""ระนอง!I526"")"),134.0)</f>
        <v>134</v>
      </c>
      <c r="J631" s="374">
        <f>IFERROR(__xludf.DUMMYFUNCTION("IMPORTRANGE(""https://docs.google.com/spreadsheets/d/1IYY_tgx_IHuhSq3AJ5eI5OnqOPBNLWSHKh2a30DoXe8/edit?usp=sharing"",""ระนอง!J526"")"),10.0)</f>
        <v>10</v>
      </c>
      <c r="K631" s="375">
        <f t="shared" si="130"/>
        <v>7.462686567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IFERROR(__xludf.DUMMYFUNCTION("IMPORTRANGE(""https://docs.google.com/spreadsheets/d/1IYY_tgx_IHuhSq3AJ5eI5OnqOPBNLWSHKh2a30DoXe8/edit?usp=sharing"",""ระนอง!I527"")"),0.0)</f>
        <v>0</v>
      </c>
      <c r="J632" s="374">
        <f>IFERROR(__xludf.DUMMYFUNCTION("IMPORTRANGE(""https://docs.google.com/spreadsheets/d/1IYY_tgx_IHuhSq3AJ5eI5OnqOPBNLWSHKh2a30DoXe8/edit?usp=sharing"",""ระนอง!J527"")"),0.0)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IFERROR(__xludf.DUMMYFUNCTION("IMPORTRANGE(""https://docs.google.com/spreadsheets/d/1IYY_tgx_IHuhSq3AJ5eI5OnqOPBNLWSHKh2a30DoXe8/edit?usp=sharing"",""ระนอง!I528"")"),0.0)</f>
        <v>0</v>
      </c>
      <c r="J633" s="374">
        <f>IFERROR(__xludf.DUMMYFUNCTION("IMPORTRANGE(""https://docs.google.com/spreadsheets/d/1IYY_tgx_IHuhSq3AJ5eI5OnqOPBNLWSHKh2a30DoXe8/edit?usp=sharing"",""ระนอง!J528"")"),0.0)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IFERROR(__xludf.DUMMYFUNCTION("IMPORTRANGE(""https://docs.google.com/spreadsheets/d/1IYY_tgx_IHuhSq3AJ5eI5OnqOPBNLWSHKh2a30DoXe8/edit?usp=sharing"",""ระนอง!I529"")"),900000.0)</f>
        <v>900000</v>
      </c>
      <c r="J634" s="374">
        <f>IFERROR(__xludf.DUMMYFUNCTION("IMPORTRANGE(""https://docs.google.com/spreadsheets/d/1IYY_tgx_IHuhSq3AJ5eI5OnqOPBNLWSHKh2a30DoXe8/edit?usp=sharing"",""ระนอง!J529"")"),0.0)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IFERROR(__xludf.DUMMYFUNCTION("IMPORTRANGE(""https://docs.google.com/spreadsheets/d/1IYY_tgx_IHuhSq3AJ5eI5OnqOPBNLWSHKh2a30DoXe8/edit?usp=sharing"",""ระนอง!I530"")"),30.0)</f>
        <v>30</v>
      </c>
      <c r="J635" s="544">
        <f>IFERROR(__xludf.DUMMYFUNCTION("IMPORTRANGE(""https://docs.google.com/spreadsheets/d/1IYY_tgx_IHuhSq3AJ5eI5OnqOPBNLWSHKh2a30DoXe8/edit?usp=sharing"",""ระนอง!J530"")"),0.0)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263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5782709</v>
      </c>
      <c r="M8" s="41">
        <f t="shared" si="1"/>
        <v>1755083</v>
      </c>
      <c r="N8" s="41">
        <f t="shared" si="1"/>
        <v>1264057</v>
      </c>
      <c r="O8" s="40">
        <f t="shared" ref="O8:O16" si="3">IF(L8&gt;0,N8*100/L8,0)</f>
        <v>21.85925316</v>
      </c>
      <c r="P8" s="40">
        <f t="shared" ref="P8:P16" si="4">IF(M8&gt;0,N8*100/M8,0)</f>
        <v>72.02263369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5782709</v>
      </c>
      <c r="M10" s="48">
        <f t="shared" si="5"/>
        <v>1755083</v>
      </c>
      <c r="N10" s="48">
        <f t="shared" si="5"/>
        <v>1264057</v>
      </c>
      <c r="O10" s="47">
        <f t="shared" si="3"/>
        <v>21.85925316</v>
      </c>
      <c r="P10" s="47">
        <f t="shared" si="4"/>
        <v>72.02263369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4715709</v>
      </c>
      <c r="M12" s="58">
        <f t="shared" si="7"/>
        <v>1755083</v>
      </c>
      <c r="N12" s="58">
        <f t="shared" si="7"/>
        <v>1247057</v>
      </c>
      <c r="O12" s="58">
        <f t="shared" si="3"/>
        <v>26.44474033</v>
      </c>
      <c r="P12" s="58">
        <f t="shared" si="4"/>
        <v>71.05401853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2079100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2636609</v>
      </c>
      <c r="M14" s="58">
        <f t="shared" si="9"/>
        <v>0</v>
      </c>
      <c r="N14" s="58">
        <f t="shared" si="9"/>
        <v>74895</v>
      </c>
      <c r="O14" s="61">
        <f t="shared" si="3"/>
        <v>2.840580458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1067000</v>
      </c>
      <c r="M16" s="58">
        <f t="shared" si="11"/>
        <v>0</v>
      </c>
      <c r="N16" s="58">
        <f t="shared" si="11"/>
        <v>17000</v>
      </c>
      <c r="O16" s="70">
        <f t="shared" si="3"/>
        <v>1.593252109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4145245</v>
      </c>
      <c r="M18" s="41">
        <f t="shared" si="12"/>
        <v>1755083</v>
      </c>
      <c r="N18" s="41">
        <f t="shared" si="12"/>
        <v>1189162</v>
      </c>
      <c r="O18" s="40">
        <f t="shared" ref="O18:O20" si="14">IF(L18&gt;0,N18*100/L18,0)</f>
        <v>28.68737554</v>
      </c>
      <c r="P18" s="40">
        <f t="shared" ref="P18:P26" si="15">IF(M18&gt;0,N18*100/M18,0)</f>
        <v>67.75531414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4145245</v>
      </c>
      <c r="M20" s="48">
        <f t="shared" si="16"/>
        <v>1755083</v>
      </c>
      <c r="N20" s="48">
        <f t="shared" si="16"/>
        <v>1189162</v>
      </c>
      <c r="O20" s="47">
        <f t="shared" si="14"/>
        <v>28.68737554</v>
      </c>
      <c r="P20" s="47">
        <f t="shared" si="15"/>
        <v>67.75531414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3078245</v>
      </c>
      <c r="M22" s="62">
        <f t="shared" si="18"/>
        <v>1755083</v>
      </c>
      <c r="N22" s="61">
        <f t="shared" si="18"/>
        <v>1172162</v>
      </c>
      <c r="O22" s="61">
        <f t="shared" si="19"/>
        <v>38.07890535</v>
      </c>
      <c r="P22" s="61">
        <f t="shared" si="15"/>
        <v>66.78669898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2079100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999145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1067000</v>
      </c>
      <c r="M26" s="70">
        <f t="shared" si="23"/>
        <v>0</v>
      </c>
      <c r="N26" s="70">
        <f t="shared" si="23"/>
        <v>17000</v>
      </c>
      <c r="O26" s="70">
        <f t="shared" si="19"/>
        <v>1.593252109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1637464</v>
      </c>
      <c r="M28" s="41">
        <f t="shared" si="24"/>
        <v>0</v>
      </c>
      <c r="N28" s="41">
        <f t="shared" si="24"/>
        <v>74895</v>
      </c>
      <c r="O28" s="40">
        <f t="shared" ref="O28:O30" si="26">IF(L28&gt;0,N28*100/L28,0)</f>
        <v>4.573841013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1637464</v>
      </c>
      <c r="M30" s="48">
        <f t="shared" si="28"/>
        <v>0</v>
      </c>
      <c r="N30" s="48">
        <f t="shared" si="28"/>
        <v>74895</v>
      </c>
      <c r="O30" s="47">
        <f t="shared" si="26"/>
        <v>4.573841013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1637464</v>
      </c>
      <c r="M32" s="61">
        <f t="shared" si="30"/>
        <v>0</v>
      </c>
      <c r="N32" s="61">
        <f t="shared" si="30"/>
        <v>74895</v>
      </c>
      <c r="O32" s="61">
        <f t="shared" si="31"/>
        <v>4.573841013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1637464</v>
      </c>
      <c r="M34" s="61">
        <f t="shared" si="33"/>
        <v>0</v>
      </c>
      <c r="N34" s="61">
        <f t="shared" si="33"/>
        <v>74895</v>
      </c>
      <c r="O34" s="61">
        <f t="shared" si="31"/>
        <v>4.573841013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4145245</v>
      </c>
      <c r="M37" s="75">
        <f t="shared" si="34"/>
        <v>1755083</v>
      </c>
      <c r="N37" s="75">
        <f t="shared" si="34"/>
        <v>1189162</v>
      </c>
      <c r="O37" s="76">
        <f t="shared" si="31"/>
        <v>28.68737554</v>
      </c>
      <c r="P37" s="76">
        <f t="shared" si="27"/>
        <v>67.75531414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674100</v>
      </c>
      <c r="M41" s="102">
        <f t="shared" si="35"/>
        <v>337000</v>
      </c>
      <c r="N41" s="102">
        <f t="shared" si="35"/>
        <v>267306</v>
      </c>
      <c r="O41" s="101">
        <f t="shared" ref="O41:O43" si="37">IF(L41&gt;0,N41*100/L41,0)</f>
        <v>39.65376057</v>
      </c>
      <c r="P41" s="101">
        <f t="shared" ref="P41:P43" si="38">IF(M41&gt;0,N41*100/M41,0)</f>
        <v>79.31928783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674100</v>
      </c>
      <c r="M43" s="102">
        <f t="shared" si="39"/>
        <v>337000</v>
      </c>
      <c r="N43" s="102">
        <f t="shared" si="39"/>
        <v>267306</v>
      </c>
      <c r="O43" s="101">
        <f t="shared" si="37"/>
        <v>39.65376057</v>
      </c>
      <c r="P43" s="101">
        <f t="shared" si="38"/>
        <v>79.31928783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674100</v>
      </c>
      <c r="M45" s="115">
        <f>IFERROR(__xludf.DUMMYFUNCTION("IMPORTRANGE(""https://docs.google.com/spreadsheets/d/1Yj_ptqi66GCucihVvJfMjLAmec39IyEx_6qawtMGysU/edit?usp=sharing"",""สบก!Q92"")"),337000.0)</f>
        <v>337000</v>
      </c>
      <c r="N45" s="115">
        <f>IFERROR(__xludf.DUMMYFUNCTION("IMPORTRANGE(""https://docs.google.com/spreadsheets/d/1Yj_ptqi66GCucihVvJfMjLAmec39IyEx_6qawtMGysU/edit?usp=sharing"",""สบก!R92"")"),267306.0)</f>
        <v>267306</v>
      </c>
      <c r="O45" s="116">
        <f>IF(L45&gt;0,N45*100/L45,0)</f>
        <v>39.65376057</v>
      </c>
      <c r="P45" s="116">
        <f>IF(M45&gt;0,N45*100/M45,0)</f>
        <v>79.31928783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IFERROR(__xludf.DUMMYFUNCTION("IMPORTRANGE(""https://docs.google.com/spreadsheets/d/1Yj_ptqi66GCucihVvJfMjLAmec39IyEx_6qawtMGysU/edit?usp=sharing"",""สบก!M92"")"),674100.0)</f>
        <v>674100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IFERROR(__xludf.DUMMYFUNCTION("IMPORTRANGE(""https://docs.google.com/spreadsheets/d/1Yj_ptqi66GCucihVvJfMjLAmec39IyEx_6qawtMGysU/edit?usp=sharing"",""สบก!N92"")"),0.0)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IFERROR(__xludf.DUMMYFUNCTION("IMPORTRANGE(""https://docs.google.com/spreadsheets/d/1Yj_ptqi66GCucihVvJfMjLAmec39IyEx_6qawtMGysU/edit?usp=sharing"",""สบก!O92"")"),0.0)</f>
        <v>0</v>
      </c>
      <c r="M49" s="125"/>
      <c r="N49" s="115">
        <f>IFERROR(__xludf.DUMMYFUNCTION("IMPORTRANGE(""https://docs.google.com/spreadsheets/d/1Yj_ptqi66GCucihVvJfMjLAmec39IyEx_6qawtMGysU/edit?usp=sharing"",""สบก!S92"")"),0.0)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500000</v>
      </c>
      <c r="M53" s="151">
        <f t="shared" si="40"/>
        <v>352918</v>
      </c>
      <c r="N53" s="151">
        <f t="shared" si="40"/>
        <v>236359</v>
      </c>
      <c r="O53" s="150">
        <f t="shared" ref="O53:O55" si="42">IF(L53&gt;0,N53*100/L53,0)</f>
        <v>47.2718</v>
      </c>
      <c r="P53" s="150">
        <f t="shared" ref="P53:P55" si="43">IF(M53&gt;0,N53*100/M53,0)</f>
        <v>66.97278121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500000</v>
      </c>
      <c r="M55" s="151">
        <f t="shared" si="44"/>
        <v>352918</v>
      </c>
      <c r="N55" s="151">
        <f t="shared" si="44"/>
        <v>236359</v>
      </c>
      <c r="O55" s="150">
        <f t="shared" si="42"/>
        <v>47.2718</v>
      </c>
      <c r="P55" s="150">
        <f t="shared" si="43"/>
        <v>66.97278121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500000</v>
      </c>
      <c r="M57" s="115">
        <f>IFERROR(__xludf.DUMMYFUNCTION("IMPORTRANGE(""https://docs.google.com/spreadsheets/d/1Yj_ptqi66GCucihVvJfMjLAmec39IyEx_6qawtMGysU/edit?usp=sharing"",""สบก!Z92"")"),352918.0)</f>
        <v>352918</v>
      </c>
      <c r="N57" s="115">
        <f>IFERROR(__xludf.DUMMYFUNCTION("IMPORTRANGE(""https://docs.google.com/spreadsheets/d/1Yj_ptqi66GCucihVvJfMjLAmec39IyEx_6qawtMGysU/edit?usp=sharing"",""สบก!AA92"")"),236359.0)</f>
        <v>236359</v>
      </c>
      <c r="O57" s="116">
        <f>IF(L57&gt;0,N57*100/L57,0)</f>
        <v>47.2718</v>
      </c>
      <c r="P57" s="116">
        <f>IF(M57&gt;0,N57*100/M57,0)</f>
        <v>66.97278121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IFERROR(__xludf.DUMMYFUNCTION("IMPORTRANGE(""https://docs.google.com/spreadsheets/d/1Yj_ptqi66GCucihVvJfMjLAmec39IyEx_6qawtMGysU/edit?usp=sharing"",""สบก!V92"")"),500000.0)</f>
        <v>500000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IFERROR(__xludf.DUMMYFUNCTION("IMPORTRANGE(""https://docs.google.com/spreadsheets/d/1Yj_ptqi66GCucihVvJfMjLAmec39IyEx_6qawtMGysU/edit?usp=sharing"",""สบก!W92"")"),0.0)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IFERROR(__xludf.DUMMYFUNCTION("IMPORTRANGE(""https://docs.google.com/spreadsheets/d/1Yj_ptqi66GCucihVvJfMjLAmec39IyEx_6qawtMGysU/edit?usp=sharing"",""สบก!X92"")"),0.0)</f>
        <v>0</v>
      </c>
      <c r="M61" s="125"/>
      <c r="N61" s="115">
        <f>IFERROR(__xludf.DUMMYFUNCTION("IMPORTRANGE(""https://docs.google.com/spreadsheets/d/1Yj_ptqi66GCucihVvJfMjLAmec39IyEx_6qawtMGysU/edit?usp=sharing"",""สบก!AB92"")"),0.0)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IFERROR(__xludf.DUMMYFUNCTION("IMPORTRANGE(""https://docs.google.com/spreadsheets/d/1IYY_tgx_IHuhSq3AJ5eI5OnqOPBNLWSHKh2a30DoXe8/edit?usp=sharing"",""สงขลา!I9"")"),0.0)</f>
        <v>0</v>
      </c>
      <c r="J64" s="172">
        <f>IFERROR(__xludf.DUMMYFUNCTION("IMPORTRANGE(""https://docs.google.com/spreadsheets/d/1IYY_tgx_IHuhSq3AJ5eI5OnqOPBNLWSHKh2a30DoXe8/edit?usp=sharing"",""สงขลา!J9"")"),0.0)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IFERROR(__xludf.DUMMYFUNCTION("IMPORTRANGE(""https://docs.google.com/spreadsheets/d/1IYY_tgx_IHuhSq3AJ5eI5OnqOPBNLWSHKh2a30DoXe8/edit?usp=sharing"",""สงขลา!I10"")"),0.0)</f>
        <v>0</v>
      </c>
      <c r="J65" s="172">
        <f>IFERROR(__xludf.DUMMYFUNCTION("IMPORTRANGE(""https://docs.google.com/spreadsheets/d/1IYY_tgx_IHuhSq3AJ5eI5OnqOPBNLWSHKh2a30DoXe8/edit?usp=sharing"",""สงขลา!J10"")"),0.0)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IFERROR(__xludf.DUMMYFUNCTION("IMPORTRANGE(""https://docs.google.com/spreadsheets/d/1Yj_ptqi66GCucihVvJfMjLAmec39IyEx_6qawtMGysU/edit?usp=sharing"",""สบก!AI92"")"),0.0)</f>
        <v>0</v>
      </c>
      <c r="N70" s="202">
        <f>IFERROR(__xludf.DUMMYFUNCTION("IMPORTRANGE(""https://docs.google.com/spreadsheets/d/1Yj_ptqi66GCucihVvJfMjLAmec39IyEx_6qawtMGysU/edit?usp=sharing"",""สบก!AJ92"")"),0.0)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IFERROR(__xludf.DUMMYFUNCTION("IMPORTRANGE(""https://docs.google.com/spreadsheets/d/1Yj_ptqi66GCucihVvJfMjLAmec39IyEx_6qawtMGysU/edit?usp=sharing"",""สบก!AE92"")"),0.0)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IFERROR(__xludf.DUMMYFUNCTION("IMPORTRANGE(""https://docs.google.com/spreadsheets/d/1Yj_ptqi66GCucihVvJfMjLAmec39IyEx_6qawtMGysU/edit?usp=sharing"",""สบก!AF92"")"),0.0)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IFERROR(__xludf.DUMMYFUNCTION("IMPORTRANGE(""https://docs.google.com/spreadsheets/d/1Yj_ptqi66GCucihVvJfMjLAmec39IyEx_6qawtMGysU/edit?usp=sharing"",""สบก!AG92"")"),0.0)</f>
        <v>0</v>
      </c>
      <c r="M74" s="125"/>
      <c r="N74" s="115">
        <f>IFERROR(__xludf.DUMMYFUNCTION("IMPORTRANGE(""https://docs.google.com/spreadsheets/d/1Yj_ptqi66GCucihVvJfMjLAmec39IyEx_6qawtMGysU/edit?usp=sharing"",""สบก!AK92"")"),0.0)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IFERROR(__xludf.DUMMYFUNCTION("IMPORTRANGE(""https://docs.google.com/spreadsheets/d/1IYY_tgx_IHuhSq3AJ5eI5OnqOPBNLWSHKh2a30DoXe8/edit?usp=sharing"",""สงขลา!J16"")"),0.0)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IFERROR(__xludf.DUMMYFUNCTION("IMPORTRANGE(""https://docs.google.com/spreadsheets/d/1IYY_tgx_IHuhSq3AJ5eI5OnqOPBNLWSHKh2a30DoXe8/edit?usp=sharing"",""สงขลา!J17"")"),0.0)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IFERROR(__xludf.DUMMYFUNCTION("IMPORTRANGE(""https://docs.google.com/spreadsheets/d/1IYY_tgx_IHuhSq3AJ5eI5OnqOPBNLWSHKh2a30DoXe8/edit?usp=sharing"",""สงขลา!J18"")"),0.0)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IFERROR(__xludf.DUMMYFUNCTION("IMPORTRANGE(""https://docs.google.com/spreadsheets/d/1IYY_tgx_IHuhSq3AJ5eI5OnqOPBNLWSHKh2a30DoXe8/edit?usp=sharing"",""สงขลา!J19"")"),0.0)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IFERROR(__xludf.DUMMYFUNCTION("IMPORTRANGE(""https://docs.google.com/spreadsheets/d/1IYY_tgx_IHuhSq3AJ5eI5OnqOPBNLWSHKh2a30DoXe8/edit?usp=sharing"",""สงขลา!I20"")"),0.0)</f>
        <v>0</v>
      </c>
      <c r="J80" s="235">
        <f>IFERROR(__xludf.DUMMYFUNCTION("IMPORTRANGE(""https://docs.google.com/spreadsheets/d/1IYY_tgx_IHuhSq3AJ5eI5OnqOPBNLWSHKh2a30DoXe8/edit?usp=sharing"",""สงขลา!J20"")"),0.0)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IFERROR(__xludf.DUMMYFUNCTION("IMPORTRANGE(""https://docs.google.com/spreadsheets/d/1IYY_tgx_IHuhSq3AJ5eI5OnqOPBNLWSHKh2a30DoXe8/edit?usp=sharing"",""สงขลา!I21"")"),0.0)</f>
        <v>0</v>
      </c>
      <c r="J81" s="235">
        <f>IFERROR(__xludf.DUMMYFUNCTION("IMPORTRANGE(""https://docs.google.com/spreadsheets/d/1IYY_tgx_IHuhSq3AJ5eI5OnqOPBNLWSHKh2a30DoXe8/edit?usp=sharing"",""สงขลา!J21"")"),0.0)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IFERROR(__xludf.DUMMYFUNCTION("IMPORTRANGE(""https://docs.google.com/spreadsheets/d/1IYY_tgx_IHuhSq3AJ5eI5OnqOPBNLWSHKh2a30DoXe8/edit?usp=sharing"",""สงขลา!I22"")"),0.0)</f>
        <v>0</v>
      </c>
      <c r="J82" s="238">
        <f>IFERROR(__xludf.DUMMYFUNCTION("IMPORTRANGE(""https://docs.google.com/spreadsheets/d/1IYY_tgx_IHuhSq3AJ5eI5OnqOPBNLWSHKh2a30DoXe8/edit?usp=sharing"",""สงขลา!J22"")"),0.0)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IFERROR(__xludf.DUMMYFUNCTION("IMPORTRANGE(""https://docs.google.com/spreadsheets/d/1IYY_tgx_IHuhSq3AJ5eI5OnqOPBNLWSHKh2a30DoXe8/edit?usp=sharing"",""สงขลา!I23"")"),0.0)</f>
        <v>0</v>
      </c>
      <c r="J83" s="238">
        <f>IFERROR(__xludf.DUMMYFUNCTION("IMPORTRANGE(""https://docs.google.com/spreadsheets/d/1IYY_tgx_IHuhSq3AJ5eI5OnqOPBNLWSHKh2a30DoXe8/edit?usp=sharing"",""สงขลา!J23"")"),0.0)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IFERROR(__xludf.DUMMYFUNCTION("IMPORTRANGE(""https://docs.google.com/spreadsheets/d/1IYY_tgx_IHuhSq3AJ5eI5OnqOPBNLWSHKh2a30DoXe8/edit?usp=sharing"",""สงขลา!I24"")"),0.0)</f>
        <v>0</v>
      </c>
      <c r="J84" s="223">
        <f>IFERROR(__xludf.DUMMYFUNCTION("IMPORTRANGE(""https://docs.google.com/spreadsheets/d/1IYY_tgx_IHuhSq3AJ5eI5OnqOPBNLWSHKh2a30DoXe8/edit?usp=sharing"",""สงขลา!J24"")"),0.0)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IFERROR(__xludf.DUMMYFUNCTION("IMPORTRANGE(""https://docs.google.com/spreadsheets/d/1IYY_tgx_IHuhSq3AJ5eI5OnqOPBNLWSHKh2a30DoXe8/edit?usp=sharing"",""สงขลา!I25"")"),0.0)</f>
        <v>0</v>
      </c>
      <c r="J85" s="223">
        <f>IFERROR(__xludf.DUMMYFUNCTION("IMPORTRANGE(""https://docs.google.com/spreadsheets/d/1IYY_tgx_IHuhSq3AJ5eI5OnqOPBNLWSHKh2a30DoXe8/edit?usp=sharing"",""สงขลา!J25"")"),0.0)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IFERROR(__xludf.DUMMYFUNCTION("IMPORTRANGE(""https://docs.google.com/spreadsheets/d/1IYY_tgx_IHuhSq3AJ5eI5OnqOPBNLWSHKh2a30DoXe8/edit?usp=sharing"",""สงขลา!I26"")"),0.0)</f>
        <v>0</v>
      </c>
      <c r="J86" s="238">
        <f>IFERROR(__xludf.DUMMYFUNCTION("IMPORTRANGE(""https://docs.google.com/spreadsheets/d/1IYY_tgx_IHuhSq3AJ5eI5OnqOPBNLWSHKh2a30DoXe8/edit?usp=sharing"",""สงขลา!J26"")"),0.0)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IFERROR(__xludf.DUMMYFUNCTION("IMPORTRANGE(""https://docs.google.com/spreadsheets/d/1IYY_tgx_IHuhSq3AJ5eI5OnqOPBNLWSHKh2a30DoXe8/edit?usp=sharing"",""สงขลา!I27"")"),0.0)</f>
        <v>0</v>
      </c>
      <c r="J87" s="238">
        <f>IFERROR(__xludf.DUMMYFUNCTION("IMPORTRANGE(""https://docs.google.com/spreadsheets/d/1IYY_tgx_IHuhSq3AJ5eI5OnqOPBNLWSHKh2a30DoXe8/edit?usp=sharing"",""สงขลา!J27"")"),0.0)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IFERROR(__xludf.DUMMYFUNCTION("IMPORTRANGE(""https://docs.google.com/spreadsheets/d/1IYY_tgx_IHuhSq3AJ5eI5OnqOPBNLWSHKh2a30DoXe8/edit?usp=sharing"",""สงขลา!I28"")"),0.0)</f>
        <v>0</v>
      </c>
      <c r="J88" s="238">
        <f>IFERROR(__xludf.DUMMYFUNCTION("IMPORTRANGE(""https://docs.google.com/spreadsheets/d/1IYY_tgx_IHuhSq3AJ5eI5OnqOPBNLWSHKh2a30DoXe8/edit?usp=sharing"",""สงขลา!J28"")"),0.0)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IFERROR(__xludf.DUMMYFUNCTION("IMPORTRANGE(""https://docs.google.com/spreadsheets/d/1IYY_tgx_IHuhSq3AJ5eI5OnqOPBNLWSHKh2a30DoXe8/edit?usp=sharing"",""สงขลา!J29"")"),0.0)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IFERROR(__xludf.DUMMYFUNCTION("IMPORTRANGE(""https://docs.google.com/spreadsheets/d/1IYY_tgx_IHuhSq3AJ5eI5OnqOPBNLWSHKh2a30DoXe8/edit?usp=sharing"",""สงขลา!J30"")"),0.0)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IFERROR(__xludf.DUMMYFUNCTION("IMPORTRANGE(""https://docs.google.com/spreadsheets/d/1IYY_tgx_IHuhSq3AJ5eI5OnqOPBNLWSHKh2a30DoXe8/edit?usp=sharing"",""สงขลา!I32"")"),0.0)</f>
        <v>0</v>
      </c>
      <c r="J92" s="172">
        <f>IFERROR(__xludf.DUMMYFUNCTION("IMPORTRANGE(""https://docs.google.com/spreadsheets/d/1IYY_tgx_IHuhSq3AJ5eI5OnqOPBNLWSHKh2a30DoXe8/edit?usp=sharing"",""สงขลา!J32"")"),0.0)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IFERROR(__xludf.DUMMYFUNCTION("IMPORTRANGE(""https://docs.google.com/spreadsheets/d/1IYY_tgx_IHuhSq3AJ5eI5OnqOPBNLWSHKh2a30DoXe8/edit?usp=sharing"",""สงขลา!I33"")"),0.0)</f>
        <v>0</v>
      </c>
      <c r="J93" s="172">
        <f>IFERROR(__xludf.DUMMYFUNCTION("IMPORTRANGE(""https://docs.google.com/spreadsheets/d/1IYY_tgx_IHuhSq3AJ5eI5OnqOPBNLWSHKh2a30DoXe8/edit?usp=sharing"",""สงขลา!J33"")"),0.0)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IFERROR(__xludf.DUMMYFUNCTION("IMPORTRANGE(""https://docs.google.com/spreadsheets/d/1Yj_ptqi66GCucihVvJfMjLAmec39IyEx_6qawtMGysU/edit?usp=sharing"",""สบก!AR92"")"),0.0)</f>
        <v>0</v>
      </c>
      <c r="N98" s="202">
        <f>IFERROR(__xludf.DUMMYFUNCTION("IMPORTRANGE(""https://docs.google.com/spreadsheets/d/1Yj_ptqi66GCucihVvJfMjLAmec39IyEx_6qawtMGysU/edit?usp=sharing"",""สบก!AS92"")"),0.0)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IFERROR(__xludf.DUMMYFUNCTION("IMPORTRANGE(""https://docs.google.com/spreadsheets/d/1Yj_ptqi66GCucihVvJfMjLAmec39IyEx_6qawtMGysU/edit?usp=sharing"",""สบก!AN92"")"),0.0)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IFERROR(__xludf.DUMMYFUNCTION("IMPORTRANGE(""https://docs.google.com/spreadsheets/d/1Yj_ptqi66GCucihVvJfMjLAmec39IyEx_6qawtMGysU/edit?usp=sharing"",""สบก!AO92"")"),0.0)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IFERROR(__xludf.DUMMYFUNCTION("IMPORTRANGE(""https://docs.google.com/spreadsheets/d/1Yj_ptqi66GCucihVvJfMjLAmec39IyEx_6qawtMGysU/edit?usp=sharing"",""สบก!AP92"")"),0.0)</f>
        <v>0</v>
      </c>
      <c r="M102" s="125"/>
      <c r="N102" s="115">
        <f>IFERROR(__xludf.DUMMYFUNCTION("IMPORTRANGE(""https://docs.google.com/spreadsheets/d/1Yj_ptqi66GCucihVvJfMjLAmec39IyEx_6qawtMGysU/edit?usp=sharing"",""สบก!AT92"")"),0.0)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IFERROR(__xludf.DUMMYFUNCTION("IMPORTRANGE(""https://docs.google.com/spreadsheets/d/1IYY_tgx_IHuhSq3AJ5eI5OnqOPBNLWSHKh2a30DoXe8/edit?usp=sharing"",""สงขลา!J39"")"),0.0)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IFERROR(__xludf.DUMMYFUNCTION("IMPORTRANGE(""https://docs.google.com/spreadsheets/d/1IYY_tgx_IHuhSq3AJ5eI5OnqOPBNLWSHKh2a30DoXe8/edit?usp=sharing"",""สงขลา!J40"")"),0.0)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IFERROR(__xludf.DUMMYFUNCTION("IMPORTRANGE(""https://docs.google.com/spreadsheets/d/1IYY_tgx_IHuhSq3AJ5eI5OnqOPBNLWSHKh2a30DoXe8/edit?usp=sharing"",""สงขลา!J41"")"),0.0)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IFERROR(__xludf.DUMMYFUNCTION("IMPORTRANGE(""https://docs.google.com/spreadsheets/d/1IYY_tgx_IHuhSq3AJ5eI5OnqOPBNLWSHKh2a30DoXe8/edit?usp=sharing"",""สงขลา!J42"")"),0.0)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IFERROR(__xludf.DUMMYFUNCTION("IMPORTRANGE(""https://docs.google.com/spreadsheets/d/1IYY_tgx_IHuhSq3AJ5eI5OnqOPBNLWSHKh2a30DoXe8/edit?usp=sharing"",""สงขลา!I43"")"),0.0)</f>
        <v>0</v>
      </c>
      <c r="J108" s="238">
        <f>IFERROR(__xludf.DUMMYFUNCTION("IMPORTRANGE(""https://docs.google.com/spreadsheets/d/1IYY_tgx_IHuhSq3AJ5eI5OnqOPBNLWSHKh2a30DoXe8/edit?usp=sharing"",""สงขลา!J43"")"),0.0)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IFERROR(__xludf.DUMMYFUNCTION("IMPORTRANGE(""https://docs.google.com/spreadsheets/d/1IYY_tgx_IHuhSq3AJ5eI5OnqOPBNLWSHKh2a30DoXe8/edit?usp=sharing"",""สงขลา!I44"")"),0.0)</f>
        <v>0</v>
      </c>
      <c r="J109" s="238">
        <f>IFERROR(__xludf.DUMMYFUNCTION("IMPORTRANGE(""https://docs.google.com/spreadsheets/d/1IYY_tgx_IHuhSq3AJ5eI5OnqOPBNLWSHKh2a30DoXe8/edit?usp=sharing"",""สงขลา!J44"")"),0.0)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IFERROR(__xludf.DUMMYFUNCTION("IMPORTRANGE(""https://docs.google.com/spreadsheets/d/1IYY_tgx_IHuhSq3AJ5eI5OnqOPBNLWSHKh2a30DoXe8/edit?usp=sharing"",""สงขลา!I45"")"),0.0)</f>
        <v>0</v>
      </c>
      <c r="J110" s="238">
        <f>IFERROR(__xludf.DUMMYFUNCTION("IMPORTRANGE(""https://docs.google.com/spreadsheets/d/1IYY_tgx_IHuhSq3AJ5eI5OnqOPBNLWSHKh2a30DoXe8/edit?usp=sharing"",""สงขลา!J45"")"),0.0)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IFERROR(__xludf.DUMMYFUNCTION("IMPORTRANGE(""https://docs.google.com/spreadsheets/d/1IYY_tgx_IHuhSq3AJ5eI5OnqOPBNLWSHKh2a30DoXe8/edit?usp=sharing"",""สงขลา!I46"")"),0.0)</f>
        <v>0</v>
      </c>
      <c r="J111" s="238">
        <f>IFERROR(__xludf.DUMMYFUNCTION("IMPORTRANGE(""https://docs.google.com/spreadsheets/d/1IYY_tgx_IHuhSq3AJ5eI5OnqOPBNLWSHKh2a30DoXe8/edit?usp=sharing"",""สงขลา!J46"")"),0.0)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IFERROR(__xludf.DUMMYFUNCTION("IMPORTRANGE(""https://docs.google.com/spreadsheets/d/1IYY_tgx_IHuhSq3AJ5eI5OnqOPBNLWSHKh2a30DoXe8/edit?usp=sharing"",""สงขลา!I47"")"),0.0)</f>
        <v>0</v>
      </c>
      <c r="J112" s="238">
        <f>IFERROR(__xludf.DUMMYFUNCTION("IMPORTRANGE(""https://docs.google.com/spreadsheets/d/1IYY_tgx_IHuhSq3AJ5eI5OnqOPBNLWSHKh2a30DoXe8/edit?usp=sharing"",""สงขลา!J47"")"),0.0)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IFERROR(__xludf.DUMMYFUNCTION("IMPORTRANGE(""https://docs.google.com/spreadsheets/d/1IYY_tgx_IHuhSq3AJ5eI5OnqOPBNLWSHKh2a30DoXe8/edit?usp=sharing"",""สงขลา!I48"")"),0.0)</f>
        <v>0</v>
      </c>
      <c r="J113" s="238">
        <f>IFERROR(__xludf.DUMMYFUNCTION("IMPORTRANGE(""https://docs.google.com/spreadsheets/d/1IYY_tgx_IHuhSq3AJ5eI5OnqOPBNLWSHKh2a30DoXe8/edit?usp=sharing"",""สงขลา!J48"")"),0.0)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IFERROR(__xludf.DUMMYFUNCTION("IMPORTRANGE(""https://docs.google.com/spreadsheets/d/1IYY_tgx_IHuhSq3AJ5eI5OnqOPBNLWSHKh2a30DoXe8/edit?usp=sharing"",""สงขลา!J49"")"),0.0)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IFERROR(__xludf.DUMMYFUNCTION("IMPORTRANGE(""https://docs.google.com/spreadsheets/d/1IYY_tgx_IHuhSq3AJ5eI5OnqOPBNLWSHKh2a30DoXe8/edit?usp=sharing"",""สงขลา!J50"")"),0.0)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IFERROR(__xludf.DUMMYFUNCTION("IMPORTRANGE(""https://docs.google.com/spreadsheets/d/1IYY_tgx_IHuhSq3AJ5eI5OnqOPBNLWSHKh2a30DoXe8/edit?usp=sharing"",""สงขลา!I52"")"),15.0)</f>
        <v>15</v>
      </c>
      <c r="J117" s="172">
        <f>IFERROR(__xludf.DUMMYFUNCTION("IMPORTRANGE(""https://docs.google.com/spreadsheets/d/1IYY_tgx_IHuhSq3AJ5eI5OnqOPBNLWSHKh2a30DoXe8/edit?usp=sharing"",""สงขลา!J52"")"),15.0)</f>
        <v>15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64890</v>
      </c>
      <c r="M118" s="183">
        <f t="shared" si="59"/>
        <v>52890</v>
      </c>
      <c r="N118" s="183">
        <f t="shared" si="59"/>
        <v>43985</v>
      </c>
      <c r="O118" s="182">
        <f t="shared" ref="O118:O120" si="61">IF(L118&gt;0,N118*100/L118,0)</f>
        <v>67.78394206</v>
      </c>
      <c r="P118" s="182">
        <f t="shared" ref="P118:P120" si="62">IF(M118&gt;0,N118*100/M118,0)</f>
        <v>83.16316884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64890</v>
      </c>
      <c r="M120" s="188">
        <f t="shared" si="63"/>
        <v>52890</v>
      </c>
      <c r="N120" s="188">
        <f t="shared" si="63"/>
        <v>43985</v>
      </c>
      <c r="O120" s="187">
        <f t="shared" si="61"/>
        <v>67.78394206</v>
      </c>
      <c r="P120" s="187">
        <f t="shared" si="62"/>
        <v>83.16316884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64890</v>
      </c>
      <c r="M122" s="201">
        <f>IFERROR(__xludf.DUMMYFUNCTION("IMPORTRANGE(""https://docs.google.com/spreadsheets/d/1Yj_ptqi66GCucihVvJfMjLAmec39IyEx_6qawtMGysU/edit?usp=sharing"",""สบก!BA92"")"),52890.0)</f>
        <v>52890</v>
      </c>
      <c r="N122" s="202">
        <f>IFERROR(__xludf.DUMMYFUNCTION("IMPORTRANGE(""https://docs.google.com/spreadsheets/d/1Yj_ptqi66GCucihVvJfMjLAmec39IyEx_6qawtMGysU/edit?usp=sharing"",""สบก!BB92"")"),43985.0)</f>
        <v>43985</v>
      </c>
      <c r="O122" s="203">
        <f>IF(L122&gt;0,N122*100/L122,0)</f>
        <v>67.78394206</v>
      </c>
      <c r="P122" s="203">
        <f>IF(M122&gt;0,N122*100/M122,0)</f>
        <v>83.16316884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IFERROR(__xludf.DUMMYFUNCTION("IMPORTRANGE(""https://docs.google.com/spreadsheets/d/1Yj_ptqi66GCucihVvJfMjLAmec39IyEx_6qawtMGysU/edit?usp=sharing"",""สบก!AW92"")"),0.0)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IFERROR(__xludf.DUMMYFUNCTION("IMPORTRANGE(""https://docs.google.com/spreadsheets/d/1Yj_ptqi66GCucihVvJfMjLAmec39IyEx_6qawtMGysU/edit?usp=sharing"",""สบก!AX92"")"),64890.0)</f>
        <v>64890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IFERROR(__xludf.DUMMYFUNCTION("IMPORTRANGE(""https://docs.google.com/spreadsheets/d/1Yj_ptqi66GCucihVvJfMjLAmec39IyEx_6qawtMGysU/edit?usp=sharing"",""สบก!AY92"")"),0.0)</f>
        <v>0</v>
      </c>
      <c r="M126" s="125"/>
      <c r="N126" s="115">
        <f>IFERROR(__xludf.DUMMYFUNCTION("IMPORTRANGE(""https://docs.google.com/spreadsheets/d/1Yj_ptqi66GCucihVvJfMjLAmec39IyEx_6qawtMGysU/edit?usp=sharing"",""สบก!BC92"")"),0.0)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IFERROR(__xludf.DUMMYFUNCTION("IMPORTRANGE(""https://docs.google.com/spreadsheets/d/1IYY_tgx_IHuhSq3AJ5eI5OnqOPBNLWSHKh2a30DoXe8/edit?usp=sharing"",""สงขลา!J58"")"),0.0)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IFERROR(__xludf.DUMMYFUNCTION("IMPORTRANGE(""https://docs.google.com/spreadsheets/d/1IYY_tgx_IHuhSq3AJ5eI5OnqOPBNLWSHKh2a30DoXe8/edit?usp=sharing"",""สงขลา!J59"")"),1.0)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IFERROR(__xludf.DUMMYFUNCTION("IMPORTRANGE(""https://docs.google.com/spreadsheets/d/1IYY_tgx_IHuhSq3AJ5eI5OnqOPBNLWSHKh2a30DoXe8/edit?usp=sharing"",""สงขลา!J60"")"),0.0)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IFERROR(__xludf.DUMMYFUNCTION("IMPORTRANGE(""https://docs.google.com/spreadsheets/d/1IYY_tgx_IHuhSq3AJ5eI5OnqOPBNLWSHKh2a30DoXe8/edit?usp=sharing"",""สงขลา!J61"")"),0.0)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IFERROR(__xludf.DUMMYFUNCTION("IMPORTRANGE(""https://docs.google.com/spreadsheets/d/1IYY_tgx_IHuhSq3AJ5eI5OnqOPBNLWSHKh2a30DoXe8/edit?usp=sharing"",""สงขลา!I62"")"),15.0)</f>
        <v>15</v>
      </c>
      <c r="J132" s="238">
        <f>IFERROR(__xludf.DUMMYFUNCTION("IMPORTRANGE(""https://docs.google.com/spreadsheets/d/1IYY_tgx_IHuhSq3AJ5eI5OnqOPBNLWSHKh2a30DoXe8/edit?usp=sharing"",""สงขลา!J62"")"),15.0)</f>
        <v>15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IFERROR(__xludf.DUMMYFUNCTION("IMPORTRANGE(""https://docs.google.com/spreadsheets/d/1IYY_tgx_IHuhSq3AJ5eI5OnqOPBNLWSHKh2a30DoXe8/edit?usp=sharing"",""สงขลา!I63"")"),15.0)</f>
        <v>15</v>
      </c>
      <c r="J133" s="238">
        <f>IFERROR(__xludf.DUMMYFUNCTION("IMPORTRANGE(""https://docs.google.com/spreadsheets/d/1IYY_tgx_IHuhSq3AJ5eI5OnqOPBNLWSHKh2a30DoXe8/edit?usp=sharing"",""สงขลา!J63"")"),0.0)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IFERROR(__xludf.DUMMYFUNCTION("IMPORTRANGE(""https://docs.google.com/spreadsheets/d/1IYY_tgx_IHuhSq3AJ5eI5OnqOPBNLWSHKh2a30DoXe8/edit?usp=sharing"",""สงขลา!J64"")"),0.0)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IFERROR(__xludf.DUMMYFUNCTION("IMPORTRANGE(""https://docs.google.com/spreadsheets/d/1IYY_tgx_IHuhSq3AJ5eI5OnqOPBNLWSHKh2a30DoXe8/edit?usp=sharing"",""สงขลา!J65"")"),0.0)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IFERROR(__xludf.DUMMYFUNCTION("IMPORTRANGE(""https://docs.google.com/spreadsheets/d/1IYY_tgx_IHuhSq3AJ5eI5OnqOPBNLWSHKh2a30DoXe8/edit?usp=sharing"",""สงขลา!I68"")"),0.0)</f>
        <v>0</v>
      </c>
      <c r="J138" s="301">
        <f>IFERROR(__xludf.DUMMYFUNCTION("IMPORTRANGE(""https://docs.google.com/spreadsheets/d/1IYY_tgx_IHuhSq3AJ5eI5OnqOPBNLWSHKh2a30DoXe8/edit?usp=sharing"",""สงขลา!J68"")"),0.0)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204900</v>
      </c>
      <c r="M140" s="183">
        <f t="shared" si="65"/>
        <v>157750</v>
      </c>
      <c r="N140" s="183">
        <f t="shared" si="65"/>
        <v>1980</v>
      </c>
      <c r="O140" s="182">
        <f t="shared" ref="O140:O142" si="67">IF(L140&gt;0,N140*100/L140,0)</f>
        <v>0.9663250366</v>
      </c>
      <c r="P140" s="182">
        <f t="shared" ref="P140:P142" si="68">IF(M140&gt;0,N140*100/M140,0)</f>
        <v>1.255150555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204900</v>
      </c>
      <c r="M142" s="188">
        <f t="shared" si="69"/>
        <v>157750</v>
      </c>
      <c r="N142" s="188">
        <f t="shared" si="69"/>
        <v>1980</v>
      </c>
      <c r="O142" s="187">
        <f t="shared" si="67"/>
        <v>0.9663250366</v>
      </c>
      <c r="P142" s="187">
        <f t="shared" si="68"/>
        <v>1.255150555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204900</v>
      </c>
      <c r="M144" s="201">
        <f>IFERROR(__xludf.DUMMYFUNCTION("IMPORTRANGE(""https://docs.google.com/spreadsheets/d/1Yj_ptqi66GCucihVvJfMjLAmec39IyEx_6qawtMGysU/edit?usp=sharing"",""สบก!BJ92"")"),157750.0)</f>
        <v>157750</v>
      </c>
      <c r="N144" s="202">
        <f>IFERROR(__xludf.DUMMYFUNCTION("IMPORTRANGE(""https://docs.google.com/spreadsheets/d/1Yj_ptqi66GCucihVvJfMjLAmec39IyEx_6qawtMGysU/edit?usp=sharing"",""สบก!BK92"")"),1980.0)</f>
        <v>1980</v>
      </c>
      <c r="O144" s="203">
        <f>IF(L144&gt;0,N144*100/L144,0)</f>
        <v>0.9663250366</v>
      </c>
      <c r="P144" s="203">
        <f>IF(M144&gt;0,N144*100/M144,0)</f>
        <v>1.255150555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IFERROR(__xludf.DUMMYFUNCTION("IMPORTRANGE(""https://docs.google.com/spreadsheets/d/1Yj_ptqi66GCucihVvJfMjLAmec39IyEx_6qawtMGysU/edit?usp=sharing"",""สบก!BF92"")"),0.0)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IFERROR(__xludf.DUMMYFUNCTION("IMPORTRANGE(""https://docs.google.com/spreadsheets/d/1Yj_ptqi66GCucihVvJfMjLAmec39IyEx_6qawtMGysU/edit?usp=sharing"",""สบก!BG92"")"),204900.0)</f>
        <v>204900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IFERROR(__xludf.DUMMYFUNCTION("IMPORTRANGE(""https://docs.google.com/spreadsheets/d/1Yj_ptqi66GCucihVvJfMjLAmec39IyEx_6qawtMGysU/edit?usp=sharing"",""สบก!BH92"")"),0.0)</f>
        <v>0</v>
      </c>
      <c r="M148" s="125"/>
      <c r="N148" s="115">
        <f>IFERROR(__xludf.DUMMYFUNCTION("IMPORTRANGE(""https://docs.google.com/spreadsheets/d/1Yj_ptqi66GCucihVvJfMjLAmec39IyEx_6qawtMGysU/edit?usp=sharing"",""สบก!BL92"")"),0.0)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IFERROR(__xludf.DUMMYFUNCTION("IMPORTRANGE(""https://docs.google.com/spreadsheets/d/1IYY_tgx_IHuhSq3AJ5eI5OnqOPBNLWSHKh2a30DoXe8/edit?usp=sharing"",""สงขลา!I74"")"),4.0)</f>
        <v>4</v>
      </c>
      <c r="J149" s="309">
        <f>IFERROR(__xludf.DUMMYFUNCTION("IMPORTRANGE(""https://docs.google.com/spreadsheets/d/1IYY_tgx_IHuhSq3AJ5eI5OnqOPBNLWSHKh2a30DoXe8/edit?usp=sharing"",""สงขลา!J74"")"),0.0)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IFERROR(__xludf.DUMMYFUNCTION("IMPORTRANGE(""https://docs.google.com/spreadsheets/d/1IYY_tgx_IHuhSq3AJ5eI5OnqOPBNLWSHKh2a30DoXe8/edit?usp=sharing"",""สงขลา!J79"")"),0.0)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IFERROR(__xludf.DUMMYFUNCTION("IMPORTRANGE(""https://docs.google.com/spreadsheets/d/1IYY_tgx_IHuhSq3AJ5eI5OnqOPBNLWSHKh2a30DoXe8/edit?usp=sharing"",""สงขลา!J80"")"),1.0)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IFERROR(__xludf.DUMMYFUNCTION("IMPORTRANGE(""https://docs.google.com/spreadsheets/d/1IYY_tgx_IHuhSq3AJ5eI5OnqOPBNLWSHKh2a30DoXe8/edit?usp=sharing"",""สงขลา!J81"")"),1.0)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IFERROR(__xludf.DUMMYFUNCTION("IMPORTRANGE(""https://docs.google.com/spreadsheets/d/1IYY_tgx_IHuhSq3AJ5eI5OnqOPBNLWSHKh2a30DoXe8/edit?usp=sharing"",""สงขลา!J82"")"),0.0)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IFERROR(__xludf.DUMMYFUNCTION("IMPORTRANGE(""https://docs.google.com/spreadsheets/d/1IYY_tgx_IHuhSq3AJ5eI5OnqOPBNLWSHKh2a30DoXe8/edit?usp=sharing"",""สงขลา!I83"")"),4.0)</f>
        <v>4</v>
      </c>
      <c r="J158" s="223">
        <f>IFERROR(__xludf.DUMMYFUNCTION("IMPORTRANGE(""https://docs.google.com/spreadsheets/d/1IYY_tgx_IHuhSq3AJ5eI5OnqOPBNLWSHKh2a30DoXe8/edit?usp=sharing"",""สงขลา!J83"")"),0.0)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IFERROR(__xludf.DUMMYFUNCTION("IMPORTRANGE(""https://docs.google.com/spreadsheets/d/1IYY_tgx_IHuhSq3AJ5eI5OnqOPBNLWSHKh2a30DoXe8/edit?usp=sharing"",""สงขลา!J84"")"),0.0)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IFERROR(__xludf.DUMMYFUNCTION("IMPORTRANGE(""https://docs.google.com/spreadsheets/d/1IYY_tgx_IHuhSq3AJ5eI5OnqOPBNLWSHKh2a30DoXe8/edit?usp=sharing"",""สงขลา!J85"")"),0.0)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IFERROR(__xludf.DUMMYFUNCTION("IMPORTRANGE(""https://docs.google.com/spreadsheets/d/1IYY_tgx_IHuhSq3AJ5eI5OnqOPBNLWSHKh2a30DoXe8/edit?usp=sharing"",""สงขลา!J86"")"),0.0)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IFERROR(__xludf.DUMMYFUNCTION("IMPORTRANGE(""https://docs.google.com/spreadsheets/d/1IYY_tgx_IHuhSq3AJ5eI5OnqOPBNLWSHKh2a30DoXe8/edit?usp=sharing"",""สงขลา!J87"")"),0.0)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IFERROR(__xludf.DUMMYFUNCTION("IMPORTRANGE(""https://docs.google.com/spreadsheets/d/1IYY_tgx_IHuhSq3AJ5eI5OnqOPBNLWSHKh2a30DoXe8/edit?usp=sharing"",""สงขลา!J88"")"),0.0)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IFERROR(__xludf.DUMMYFUNCTION("IMPORTRANGE(""https://docs.google.com/spreadsheets/d/1IYY_tgx_IHuhSq3AJ5eI5OnqOPBNLWSHKh2a30DoXe8/edit?usp=sharing"",""สงขลา!I89"")"),6.0)</f>
        <v>6</v>
      </c>
      <c r="J164" s="317">
        <f>IFERROR(__xludf.DUMMYFUNCTION("IMPORTRANGE(""https://docs.google.com/spreadsheets/d/1IYY_tgx_IHuhSq3AJ5eI5OnqOPBNLWSHKh2a30DoXe8/edit?usp=sharing"",""สงขลา!J89"")"),0.0)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IFERROR(__xludf.DUMMYFUNCTION("IMPORTRANGE(""https://docs.google.com/spreadsheets/d/1IYY_tgx_IHuhSq3AJ5eI5OnqOPBNLWSHKh2a30DoXe8/edit?usp=sharing"",""สงขลา!J94"")"),0.0)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IFERROR(__xludf.DUMMYFUNCTION("IMPORTRANGE(""https://docs.google.com/spreadsheets/d/1IYY_tgx_IHuhSq3AJ5eI5OnqOPBNLWSHKh2a30DoXe8/edit?usp=sharing"",""สงขลา!J95"")"),1.0)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IFERROR(__xludf.DUMMYFUNCTION("IMPORTRANGE(""https://docs.google.com/spreadsheets/d/1IYY_tgx_IHuhSq3AJ5eI5OnqOPBNLWSHKh2a30DoXe8/edit?usp=sharing"",""สงขลา!J96"")"),0.0)</f>
        <v>0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IFERROR(__xludf.DUMMYFUNCTION("IMPORTRANGE(""https://docs.google.com/spreadsheets/d/1IYY_tgx_IHuhSq3AJ5eI5OnqOPBNLWSHKh2a30DoXe8/edit?usp=sharing"",""สงขลา!J97"")"),0.0)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IFERROR(__xludf.DUMMYFUNCTION("IMPORTRANGE(""https://docs.google.com/spreadsheets/d/1IYY_tgx_IHuhSq3AJ5eI5OnqOPBNLWSHKh2a30DoXe8/edit?usp=sharing"",""สงขลา!I98"")"),6.0)</f>
        <v>6</v>
      </c>
      <c r="J173" s="223">
        <f>IFERROR(__xludf.DUMMYFUNCTION("IMPORTRANGE(""https://docs.google.com/spreadsheets/d/1IYY_tgx_IHuhSq3AJ5eI5OnqOPBNLWSHKh2a30DoXe8/edit?usp=sharing"",""สงขลา!J98"")"),0.0)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IFERROR(__xludf.DUMMYFUNCTION("IMPORTRANGE(""https://docs.google.com/spreadsheets/d/1IYY_tgx_IHuhSq3AJ5eI5OnqOPBNLWSHKh2a30DoXe8/edit?usp=sharing"",""สงขลา!J99"")"),0.0)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IFERROR(__xludf.DUMMYFUNCTION("IMPORTRANGE(""https://docs.google.com/spreadsheets/d/1IYY_tgx_IHuhSq3AJ5eI5OnqOPBNLWSHKh2a30DoXe8/edit?usp=sharing"",""สงขลา!J100"")"),0.0)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IFERROR(__xludf.DUMMYFUNCTION("IMPORTRANGE(""https://docs.google.com/spreadsheets/d/1IYY_tgx_IHuhSq3AJ5eI5OnqOPBNLWSHKh2a30DoXe8/edit?usp=sharing"",""สงขลา!I101"")"),7.0)</f>
        <v>7</v>
      </c>
      <c r="J176" s="317">
        <f>IFERROR(__xludf.DUMMYFUNCTION("IMPORTRANGE(""https://docs.google.com/spreadsheets/d/1IYY_tgx_IHuhSq3AJ5eI5OnqOPBNLWSHKh2a30DoXe8/edit?usp=sharing"",""สงขลา!J101"")"),0.0)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IFERROR(__xludf.DUMMYFUNCTION("IMPORTRANGE(""https://docs.google.com/spreadsheets/d/1IYY_tgx_IHuhSq3AJ5eI5OnqOPBNLWSHKh2a30DoXe8/edit?usp=sharing"",""สงขลา!J106"")"),0.0)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IFERROR(__xludf.DUMMYFUNCTION("IMPORTRANGE(""https://docs.google.com/spreadsheets/d/1IYY_tgx_IHuhSq3AJ5eI5OnqOPBNLWSHKh2a30DoXe8/edit?usp=sharing"",""สงขลา!J107"")"),1.0)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IFERROR(__xludf.DUMMYFUNCTION("IMPORTRANGE(""https://docs.google.com/spreadsheets/d/1IYY_tgx_IHuhSq3AJ5eI5OnqOPBNLWSHKh2a30DoXe8/edit?usp=sharing"",""สงขลา!J108"")"),0.0)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IFERROR(__xludf.DUMMYFUNCTION("IMPORTRANGE(""https://docs.google.com/spreadsheets/d/1IYY_tgx_IHuhSq3AJ5eI5OnqOPBNLWSHKh2a30DoXe8/edit?usp=sharing"",""สงขลา!J109"")"),0.0)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IFERROR(__xludf.DUMMYFUNCTION("IMPORTRANGE(""https://docs.google.com/spreadsheets/d/1IYY_tgx_IHuhSq3AJ5eI5OnqOPBNLWSHKh2a30DoXe8/edit?usp=sharing"",""สงขลา!I110"")"),7.0)</f>
        <v>7</v>
      </c>
      <c r="J185" s="238">
        <f>IFERROR(__xludf.DUMMYFUNCTION("IMPORTRANGE(""https://docs.google.com/spreadsheets/d/1IYY_tgx_IHuhSq3AJ5eI5OnqOPBNLWSHKh2a30DoXe8/edit?usp=sharing"",""สงขลา!J110"")"),0.0)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IFERROR(__xludf.DUMMYFUNCTION("IMPORTRANGE(""https://docs.google.com/spreadsheets/d/1IYY_tgx_IHuhSq3AJ5eI5OnqOPBNLWSHKh2a30DoXe8/edit?usp=sharing"",""สงขลา!I111"")"),7.0)</f>
        <v>7</v>
      </c>
      <c r="J186" s="238">
        <f>IFERROR(__xludf.DUMMYFUNCTION("IMPORTRANGE(""https://docs.google.com/spreadsheets/d/1IYY_tgx_IHuhSq3AJ5eI5OnqOPBNLWSHKh2a30DoXe8/edit?usp=sharing"",""สงขลา!J111"")"),0.0)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IFERROR(__xludf.DUMMYFUNCTION("IMPORTRANGE(""https://docs.google.com/spreadsheets/d/1IYY_tgx_IHuhSq3AJ5eI5OnqOPBNLWSHKh2a30DoXe8/edit?usp=sharing"",""สงขลา!J112"")"),0.0)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IFERROR(__xludf.DUMMYFUNCTION("IMPORTRANGE(""https://docs.google.com/spreadsheets/d/1IYY_tgx_IHuhSq3AJ5eI5OnqOPBNLWSHKh2a30DoXe8/edit?usp=sharing"",""สงขลา!J113"")"),0.0)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IFERROR(__xludf.DUMMYFUNCTION("IMPORTRANGE(""https://docs.google.com/spreadsheets/d/1IYY_tgx_IHuhSq3AJ5eI5OnqOPBNLWSHKh2a30DoXe8/edit?usp=sharing"",""สงขลา!I114"")"),15000.0)</f>
        <v>15000</v>
      </c>
      <c r="J189" s="317">
        <f>IFERROR(__xludf.DUMMYFUNCTION("IMPORTRANGE(""https://docs.google.com/spreadsheets/d/1IYY_tgx_IHuhSq3AJ5eI5OnqOPBNLWSHKh2a30DoXe8/edit?usp=sharing"",""สงขลา!J114"")"),0.0)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IFERROR(__xludf.DUMMYFUNCTION("IMPORTRANGE(""https://docs.google.com/spreadsheets/d/1IYY_tgx_IHuhSq3AJ5eI5OnqOPBNLWSHKh2a30DoXe8/edit?usp=sharing"",""สงขลา!J119"")"),0.0)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IFERROR(__xludf.DUMMYFUNCTION("IMPORTRANGE(""https://docs.google.com/spreadsheets/d/1IYY_tgx_IHuhSq3AJ5eI5OnqOPBNLWSHKh2a30DoXe8/edit?usp=sharing"",""สงขลา!J120"")"),1.0)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IFERROR(__xludf.DUMMYFUNCTION("IMPORTRANGE(""https://docs.google.com/spreadsheets/d/1IYY_tgx_IHuhSq3AJ5eI5OnqOPBNLWSHKh2a30DoXe8/edit?usp=sharing"",""สงขลา!J121"")"),0.0)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IFERROR(__xludf.DUMMYFUNCTION("IMPORTRANGE(""https://docs.google.com/spreadsheets/d/1IYY_tgx_IHuhSq3AJ5eI5OnqOPBNLWSHKh2a30DoXe8/edit?usp=sharing"",""สงขลา!J122"")"),0.0)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IFERROR(__xludf.DUMMYFUNCTION("IMPORTRANGE(""https://docs.google.com/spreadsheets/d/1IYY_tgx_IHuhSq3AJ5eI5OnqOPBNLWSHKh2a30DoXe8/edit?usp=sharing"",""สงขลา!I124"")"),15000.0)</f>
        <v>15000</v>
      </c>
      <c r="J199" s="223">
        <f>IFERROR(__xludf.DUMMYFUNCTION("IMPORTRANGE(""https://docs.google.com/spreadsheets/d/1IYY_tgx_IHuhSq3AJ5eI5OnqOPBNLWSHKh2a30DoXe8/edit?usp=sharing"",""สงขลา!J124"")"),0.0)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IFERROR(__xludf.DUMMYFUNCTION("IMPORTRANGE(""https://docs.google.com/spreadsheets/d/1IYY_tgx_IHuhSq3AJ5eI5OnqOPBNLWSHKh2a30DoXe8/edit?usp=sharing"",""สงขลา!I125"")"),15000.0)</f>
        <v>15000</v>
      </c>
      <c r="J200" s="223">
        <f>IFERROR(__xludf.DUMMYFUNCTION("IMPORTRANGE(""https://docs.google.com/spreadsheets/d/1IYY_tgx_IHuhSq3AJ5eI5OnqOPBNLWSHKh2a30DoXe8/edit?usp=sharing"",""สงขลา!J125"")"),0.0)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IFERROR(__xludf.DUMMYFUNCTION("IMPORTRANGE(""https://docs.google.com/spreadsheets/d/1IYY_tgx_IHuhSq3AJ5eI5OnqOPBNLWSHKh2a30DoXe8/edit?usp=sharing"",""สงขลา!I126"")"),0.0)</f>
        <v>0</v>
      </c>
      <c r="J201" s="223">
        <f>IFERROR(__xludf.DUMMYFUNCTION("IMPORTRANGE(""https://docs.google.com/spreadsheets/d/1IYY_tgx_IHuhSq3AJ5eI5OnqOPBNLWSHKh2a30DoXe8/edit?usp=sharing"",""สงขลา!J126"")"),0.0)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IFERROR(__xludf.DUMMYFUNCTION("IMPORTRANGE(""https://docs.google.com/spreadsheets/d/1IYY_tgx_IHuhSq3AJ5eI5OnqOPBNLWSHKh2a30DoXe8/edit?usp=sharing"",""สงขลา!J127"")"),0.0)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IFERROR(__xludf.DUMMYFUNCTION("IMPORTRANGE(""https://docs.google.com/spreadsheets/d/1IYY_tgx_IHuhSq3AJ5eI5OnqOPBNLWSHKh2a30DoXe8/edit?usp=sharing"",""สงขลา!J128"")"),0.0)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IFERROR(__xludf.DUMMYFUNCTION("IMPORTRANGE(""https://docs.google.com/spreadsheets/d/1IYY_tgx_IHuhSq3AJ5eI5OnqOPBNLWSHKh2a30DoXe8/edit?usp=sharing"",""สงขลา!I129"")"),0.0)</f>
        <v>0</v>
      </c>
      <c r="J204" s="317">
        <f>IFERROR(__xludf.DUMMYFUNCTION("IMPORTRANGE(""https://docs.google.com/spreadsheets/d/1IYY_tgx_IHuhSq3AJ5eI5OnqOPBNLWSHKh2a30DoXe8/edit?usp=sharing"",""สงขลา!J129"")"),0.0)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IFERROR(__xludf.DUMMYFUNCTION("IMPORTRANGE(""https://docs.google.com/spreadsheets/d/1IYY_tgx_IHuhSq3AJ5eI5OnqOPBNLWSHKh2a30DoXe8/edit?usp=sharing"",""สงขลา!J134"")"),0.0)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IFERROR(__xludf.DUMMYFUNCTION("IMPORTRANGE(""https://docs.google.com/spreadsheets/d/1IYY_tgx_IHuhSq3AJ5eI5OnqOPBNLWSHKh2a30DoXe8/edit?usp=sharing"",""สงขลา!J135"")"),0.0)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IFERROR(__xludf.DUMMYFUNCTION("IMPORTRANGE(""https://docs.google.com/spreadsheets/d/1IYY_tgx_IHuhSq3AJ5eI5OnqOPBNLWSHKh2a30DoXe8/edit?usp=sharing"",""สงขลา!J136"")"),0.0)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IFERROR(__xludf.DUMMYFUNCTION("IMPORTRANGE(""https://docs.google.com/spreadsheets/d/1IYY_tgx_IHuhSq3AJ5eI5OnqOPBNLWSHKh2a30DoXe8/edit?usp=sharing"",""สงขลา!J137"")"),0.0)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IFERROR(__xludf.DUMMYFUNCTION("IMPORTRANGE(""https://docs.google.com/spreadsheets/d/1IYY_tgx_IHuhSq3AJ5eI5OnqOPBNLWSHKh2a30DoXe8/edit?usp=sharing"",""สงขลา!I138"")"),0.0)</f>
        <v>0</v>
      </c>
      <c r="J213" s="238">
        <f>IFERROR(__xludf.DUMMYFUNCTION("IMPORTRANGE(""https://docs.google.com/spreadsheets/d/1IYY_tgx_IHuhSq3AJ5eI5OnqOPBNLWSHKh2a30DoXe8/edit?usp=sharing"",""สงขลา!J138"")"),0.0)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IFERROR(__xludf.DUMMYFUNCTION("IMPORTRANGE(""https://docs.google.com/spreadsheets/d/1IYY_tgx_IHuhSq3AJ5eI5OnqOPBNLWSHKh2a30DoXe8/edit?usp=sharing"",""สงขลา!I140"")"),0.0)</f>
        <v>0</v>
      </c>
      <c r="J215" s="238">
        <f>IFERROR(__xludf.DUMMYFUNCTION("IMPORTRANGE(""https://docs.google.com/spreadsheets/d/1IYY_tgx_IHuhSq3AJ5eI5OnqOPBNLWSHKh2a30DoXe8/edit?usp=sharing"",""สงขลา!J140"")"),0.0)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IFERROR(__xludf.DUMMYFUNCTION("IMPORTRANGE(""https://docs.google.com/spreadsheets/d/1IYY_tgx_IHuhSq3AJ5eI5OnqOPBNLWSHKh2a30DoXe8/edit?usp=sharing"",""สงขลา!I141"")"),0.0)</f>
        <v>0</v>
      </c>
      <c r="J216" s="238">
        <f>IFERROR(__xludf.DUMMYFUNCTION("IMPORTRANGE(""https://docs.google.com/spreadsheets/d/1IYY_tgx_IHuhSq3AJ5eI5OnqOPBNLWSHKh2a30DoXe8/edit?usp=sharing"",""สงขลา!J141"")"),0.0)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IFERROR(__xludf.DUMMYFUNCTION("IMPORTRANGE(""https://docs.google.com/spreadsheets/d/1IYY_tgx_IHuhSq3AJ5eI5OnqOPBNLWSHKh2a30DoXe8/edit?usp=sharing"",""สงขลา!J142"")"),0.0)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IFERROR(__xludf.DUMMYFUNCTION("IMPORTRANGE(""https://docs.google.com/spreadsheets/d/1IYY_tgx_IHuhSq3AJ5eI5OnqOPBNLWSHKh2a30DoXe8/edit?usp=sharing"",""สงขลา!J143"")"),0.0)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IFERROR(__xludf.DUMMYFUNCTION("IMPORTRANGE(""https://docs.google.com/spreadsheets/d/1IYY_tgx_IHuhSq3AJ5eI5OnqOPBNLWSHKh2a30DoXe8/edit?usp=sharing"",""สงขลา!I144"")"),15.0)</f>
        <v>15</v>
      </c>
      <c r="J219" s="301">
        <f>IFERROR(__xludf.DUMMYFUNCTION("IMPORTRANGE(""https://docs.google.com/spreadsheets/d/1IYY_tgx_IHuhSq3AJ5eI5OnqOPBNLWSHKh2a30DoXe8/edit?usp=sharing"",""สงขลา!J144"")"),15.0)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IFERROR(__xludf.DUMMYFUNCTION("IMPORTRANGE(""https://docs.google.com/spreadsheets/d/1Yj_ptqi66GCucihVvJfMjLAmec39IyEx_6qawtMGysU/edit?usp=sharing"",""สบก!BS92"")"),21125.0)</f>
        <v>21125</v>
      </c>
      <c r="N224" s="202">
        <f>IFERROR(__xludf.DUMMYFUNCTION("IMPORTRANGE(""https://docs.google.com/spreadsheets/d/1Yj_ptqi66GCucihVvJfMjLAmec39IyEx_6qawtMGysU/edit?usp=sharing"",""สบก!BT92"")"),21125.0)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IFERROR(__xludf.DUMMYFUNCTION("IMPORTRANGE(""https://docs.google.com/spreadsheets/d/1Yj_ptqi66GCucihVvJfMjLAmec39IyEx_6qawtMGysU/edit?usp=sharing"",""สบก!BO92"")"),0.0)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IFERROR(__xludf.DUMMYFUNCTION("IMPORTRANGE(""https://docs.google.com/spreadsheets/d/1Yj_ptqi66GCucihVvJfMjLAmec39IyEx_6qawtMGysU/edit?usp=sharing"",""สบก!BP92"")"),21125.0)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IFERROR(__xludf.DUMMYFUNCTION("IMPORTRANGE(""https://docs.google.com/spreadsheets/d/1Yj_ptqi66GCucihVvJfMjLAmec39IyEx_6qawtMGysU/edit?usp=sharing"",""สบก!BQ92"")"),0.0)</f>
        <v>0</v>
      </c>
      <c r="M228" s="125"/>
      <c r="N228" s="115">
        <f>IFERROR(__xludf.DUMMYFUNCTION("IMPORTRANGE(""https://docs.google.com/spreadsheets/d/1Yj_ptqi66GCucihVvJfMjLAmec39IyEx_6qawtMGysU/edit?usp=sharing"",""สบก!BU92"")"),0.0)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IFERROR(__xludf.DUMMYFUNCTION("IMPORTRANGE(""https://docs.google.com/spreadsheets/d/1IYY_tgx_IHuhSq3AJ5eI5OnqOPBNLWSHKh2a30DoXe8/edit?usp=sharing"",""สงขลา!I149"")"),15.0)</f>
        <v>15</v>
      </c>
      <c r="J229" s="301">
        <f>IFERROR(__xludf.DUMMYFUNCTION("IMPORTRANGE(""https://docs.google.com/spreadsheets/d/1IYY_tgx_IHuhSq3AJ5eI5OnqOPBNLWSHKh2a30DoXe8/edit?usp=sharing"",""สงขลา!J149"")"),15.0)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IFERROR(__xludf.DUMMYFUNCTION("IMPORTRANGE(""https://docs.google.com/spreadsheets/d/1IYY_tgx_IHuhSq3AJ5eI5OnqOPBNLWSHKh2a30DoXe8/edit?usp=sharing"",""สงขลา!J151"")"),0.0)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IFERROR(__xludf.DUMMYFUNCTION("IMPORTRANGE(""https://docs.google.com/spreadsheets/d/1IYY_tgx_IHuhSq3AJ5eI5OnqOPBNLWSHKh2a30DoXe8/edit?usp=sharing"",""สงขลา!J152"")"),1.0)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IFERROR(__xludf.DUMMYFUNCTION("IMPORTRANGE(""https://docs.google.com/spreadsheets/d/1IYY_tgx_IHuhSq3AJ5eI5OnqOPBNLWSHKh2a30DoXe8/edit?usp=sharing"",""สงขลา!J153"")"),1.0)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IFERROR(__xludf.DUMMYFUNCTION("IMPORTRANGE(""https://docs.google.com/spreadsheets/d/1IYY_tgx_IHuhSq3AJ5eI5OnqOPBNLWSHKh2a30DoXe8/edit?usp=sharing"",""สงขลา!J154"")"),1.0)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IFERROR(__xludf.DUMMYFUNCTION("IMPORTRANGE(""https://docs.google.com/spreadsheets/d/1IYY_tgx_IHuhSq3AJ5eI5OnqOPBNLWSHKh2a30DoXe8/edit?usp=sharing"",""สงขลา!I155"")"),15.0)</f>
        <v>15</v>
      </c>
      <c r="J235" s="223">
        <f>IFERROR(__xludf.DUMMYFUNCTION("IMPORTRANGE(""https://docs.google.com/spreadsheets/d/1IYY_tgx_IHuhSq3AJ5eI5OnqOPBNLWSHKh2a30DoXe8/edit?usp=sharing"",""สงขลา!J155"")"),15.0)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IFERROR(__xludf.DUMMYFUNCTION("IMPORTRANGE(""https://docs.google.com/spreadsheets/d/1IYY_tgx_IHuhSq3AJ5eI5OnqOPBNLWSHKh2a30DoXe8/edit?usp=sharing"",""สงขลา!J156"")"),0.0)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IFERROR(__xludf.DUMMYFUNCTION("IMPORTRANGE(""https://docs.google.com/spreadsheets/d/1IYY_tgx_IHuhSq3AJ5eI5OnqOPBNLWSHKh2a30DoXe8/edit?usp=sharing"",""สงขลา!J157"")"),0.0)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IFERROR(__xludf.DUMMYFUNCTION("IMPORTRANGE(""https://docs.google.com/spreadsheets/d/1IYY_tgx_IHuhSq3AJ5eI5OnqOPBNLWSHKh2a30DoXe8/edit?usp=sharing"",""สงขลา!I158"")"),0.0)</f>
        <v>0</v>
      </c>
      <c r="J238" s="301">
        <f>IFERROR(__xludf.DUMMYFUNCTION("IMPORTRANGE(""https://docs.google.com/spreadsheets/d/1IYY_tgx_IHuhSq3AJ5eI5OnqOPBNLWSHKh2a30DoXe8/edit?usp=sharing"",""สงขลา!J158"")"),0.0)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IFERROR(__xludf.DUMMYFUNCTION("IMPORTRANGE(""https://docs.google.com/spreadsheets/d/1IYY_tgx_IHuhSq3AJ5eI5OnqOPBNLWSHKh2a30DoXe8/edit?usp=sharing"",""สงขลา!J159"")"),"")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IFERROR(__xludf.DUMMYFUNCTION("IMPORTRANGE(""https://docs.google.com/spreadsheets/d/1IYY_tgx_IHuhSq3AJ5eI5OnqOPBNLWSHKh2a30DoXe8/edit?usp=sharing"",""สงขลา!J161"")"),0.0)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IFERROR(__xludf.DUMMYFUNCTION("IMPORTRANGE(""https://docs.google.com/spreadsheets/d/1IYY_tgx_IHuhSq3AJ5eI5OnqOPBNLWSHKh2a30DoXe8/edit?usp=sharing"",""สงขลา!J162"")"),0.0)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IFERROR(__xludf.DUMMYFUNCTION("IMPORTRANGE(""https://docs.google.com/spreadsheets/d/1IYY_tgx_IHuhSq3AJ5eI5OnqOPBNLWSHKh2a30DoXe8/edit?usp=sharing"",""สงขลา!J163"")"),0.0)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IFERROR(__xludf.DUMMYFUNCTION("IMPORTRANGE(""https://docs.google.com/spreadsheets/d/1IYY_tgx_IHuhSq3AJ5eI5OnqOPBNLWSHKh2a30DoXe8/edit?usp=sharing"",""สงขลา!I164"")"),0.0)</f>
        <v>0</v>
      </c>
      <c r="J244" s="222">
        <f>IFERROR(__xludf.DUMMYFUNCTION("IMPORTRANGE(""https://docs.google.com/spreadsheets/d/1IYY_tgx_IHuhSq3AJ5eI5OnqOPBNLWSHKh2a30DoXe8/edit?usp=sharing"",""สงขลา!J164"")"),0.0)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IFERROR(__xludf.DUMMYFUNCTION("IMPORTRANGE(""https://docs.google.com/spreadsheets/d/1IYY_tgx_IHuhSq3AJ5eI5OnqOPBNLWSHKh2a30DoXe8/edit?usp=sharing"",""สงขลา!J165"")"),0.0)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IFERROR(__xludf.DUMMYFUNCTION("IMPORTRANGE(""https://docs.google.com/spreadsheets/d/1IYY_tgx_IHuhSq3AJ5eI5OnqOPBNLWSHKh2a30DoXe8/edit?usp=sharing"",""สงขลา!J166"")"),0.0)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IFERROR(__xludf.DUMMYFUNCTION("IMPORTRANGE(""https://docs.google.com/spreadsheets/d/1IYY_tgx_IHuhSq3AJ5eI5OnqOPBNLWSHKh2a30DoXe8/edit?usp=sharing"",""สงขลา!I169"")"),0.0)</f>
        <v>0</v>
      </c>
      <c r="J249" s="349">
        <f>IFERROR(__xludf.DUMMYFUNCTION("IMPORTRANGE(""https://docs.google.com/spreadsheets/d/1IYY_tgx_IHuhSq3AJ5eI5OnqOPBNLWSHKh2a30DoXe8/edit?usp=sharing"",""สงขลา!J169"")"),0.0)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IFERROR(__xludf.DUMMYFUNCTION("IMPORTRANGE(""https://docs.google.com/spreadsheets/d/1Yj_ptqi66GCucihVvJfMjLAmec39IyEx_6qawtMGysU/edit?usp=sharing"",""สบก!CB92"")"),0.0)</f>
        <v>0</v>
      </c>
      <c r="N254" s="202">
        <f>IFERROR(__xludf.DUMMYFUNCTION("IMPORTRANGE(""https://docs.google.com/spreadsheets/d/1Yj_ptqi66GCucihVvJfMjLAmec39IyEx_6qawtMGysU/edit?usp=sharing"",""สบก!CC92"")"),0.0)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IFERROR(__xludf.DUMMYFUNCTION("IMPORTRANGE(""https://docs.google.com/spreadsheets/d/1Yj_ptqi66GCucihVvJfMjLAmec39IyEx_6qawtMGysU/edit?usp=sharing"",""สบก!BX92"")"),0.0)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IFERROR(__xludf.DUMMYFUNCTION("IMPORTRANGE(""https://docs.google.com/spreadsheets/d/1Yj_ptqi66GCucihVvJfMjLAmec39IyEx_6qawtMGysU/edit?usp=sharing"",""สบก!BY92"")"),0.0)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IFERROR(__xludf.DUMMYFUNCTION("IMPORTRANGE(""https://docs.google.com/spreadsheets/d/1Yj_ptqi66GCucihVvJfMjLAmec39IyEx_6qawtMGysU/edit?usp=sharing"",""สบก!BZ92"")"),0.0)</f>
        <v>0</v>
      </c>
      <c r="M258" s="125"/>
      <c r="N258" s="115">
        <f>IFERROR(__xludf.DUMMYFUNCTION("IMPORTRANGE(""https://docs.google.com/spreadsheets/d/1Yj_ptqi66GCucihVvJfMjLAmec39IyEx_6qawtMGysU/edit?usp=sharing"",""สบก!CD92"")"),0.0)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IFERROR(__xludf.DUMMYFUNCTION("IMPORTRANGE(""https://docs.google.com/spreadsheets/d/1IYY_tgx_IHuhSq3AJ5eI5OnqOPBNLWSHKh2a30DoXe8/edit?usp=sharing"",""สงขลา!J175"")"),0.0)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IFERROR(__xludf.DUMMYFUNCTION("IMPORTRANGE(""https://docs.google.com/spreadsheets/d/1IYY_tgx_IHuhSq3AJ5eI5OnqOPBNLWSHKh2a30DoXe8/edit?usp=sharing"",""สงขลา!J176"")"),0.0)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IFERROR(__xludf.DUMMYFUNCTION("IMPORTRANGE(""https://docs.google.com/spreadsheets/d/1IYY_tgx_IHuhSq3AJ5eI5OnqOPBNLWSHKh2a30DoXe8/edit?usp=sharing"",""สงขลา!J177"")"),0.0)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IFERROR(__xludf.DUMMYFUNCTION("IMPORTRANGE(""https://docs.google.com/spreadsheets/d/1IYY_tgx_IHuhSq3AJ5eI5OnqOPBNLWSHKh2a30DoXe8/edit?usp=sharing"",""สงขลา!J178"")"),0.0)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IFERROR(__xludf.DUMMYFUNCTION("IMPORTRANGE(""https://docs.google.com/spreadsheets/d/1IYY_tgx_IHuhSq3AJ5eI5OnqOPBNLWSHKh2a30DoXe8/edit?usp=sharing"",""สงขลา!I179"")"),0.0)</f>
        <v>0</v>
      </c>
      <c r="J264" s="223">
        <f>IFERROR(__xludf.DUMMYFUNCTION("IMPORTRANGE(""https://docs.google.com/spreadsheets/d/1IYY_tgx_IHuhSq3AJ5eI5OnqOPBNLWSHKh2a30DoXe8/edit?usp=sharing"",""สงขลา!J179"")"),0.0)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IFERROR(__xludf.DUMMYFUNCTION("IMPORTRANGE(""https://docs.google.com/spreadsheets/d/1IYY_tgx_IHuhSq3AJ5eI5OnqOPBNLWSHKh2a30DoXe8/edit?usp=sharing"",""สงขลา!I180"")"),0.0)</f>
        <v>0</v>
      </c>
      <c r="J265" s="223">
        <f>IFERROR(__xludf.DUMMYFUNCTION("IMPORTRANGE(""https://docs.google.com/spreadsheets/d/1IYY_tgx_IHuhSq3AJ5eI5OnqOPBNLWSHKh2a30DoXe8/edit?usp=sharing"",""สงขลา!J180"")"),0.0)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IFERROR(__xludf.DUMMYFUNCTION("IMPORTRANGE(""https://docs.google.com/spreadsheets/d/1IYY_tgx_IHuhSq3AJ5eI5OnqOPBNLWSHKh2a30DoXe8/edit?usp=sharing"",""สงขลา!I181"")"),0.0)</f>
        <v>0</v>
      </c>
      <c r="J266" s="223">
        <f>IFERROR(__xludf.DUMMYFUNCTION("IMPORTRANGE(""https://docs.google.com/spreadsheets/d/1IYY_tgx_IHuhSq3AJ5eI5OnqOPBNLWSHKh2a30DoXe8/edit?usp=sharing"",""สงขลา!J181"")"),0.0)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IFERROR(__xludf.DUMMYFUNCTION("IMPORTRANGE(""https://docs.google.com/spreadsheets/d/1IYY_tgx_IHuhSq3AJ5eI5OnqOPBNLWSHKh2a30DoXe8/edit?usp=sharing"",""สงขลา!I182"")"),0.0)</f>
        <v>0</v>
      </c>
      <c r="J267" s="223">
        <f>IFERROR(__xludf.DUMMYFUNCTION("IMPORTRANGE(""https://docs.google.com/spreadsheets/d/1IYY_tgx_IHuhSq3AJ5eI5OnqOPBNLWSHKh2a30DoXe8/edit?usp=sharing"",""สงขลา!J182"")"),0.0)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IFERROR(__xludf.DUMMYFUNCTION("IMPORTRANGE(""https://docs.google.com/spreadsheets/d/1IYY_tgx_IHuhSq3AJ5eI5OnqOPBNLWSHKh2a30DoXe8/edit?usp=sharing"",""สงขลา!J183"")"),0.0)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IFERROR(__xludf.DUMMYFUNCTION("IMPORTRANGE(""https://docs.google.com/spreadsheets/d/1IYY_tgx_IHuhSq3AJ5eI5OnqOPBNLWSHKh2a30DoXe8/edit?usp=sharing"",""สงขลา!J184"")"),0.0)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IFERROR(__xludf.DUMMYFUNCTION("IMPORTRANGE(""https://docs.google.com/spreadsheets/d/1IYY_tgx_IHuhSq3AJ5eI5OnqOPBNLWSHKh2a30DoXe8/edit?usp=sharing"",""สงขลา!I185"")"),15.0)</f>
        <v>15</v>
      </c>
      <c r="J270" s="349">
        <f>IFERROR(__xludf.DUMMYFUNCTION("IMPORTRANGE(""https://docs.google.com/spreadsheets/d/1IYY_tgx_IHuhSq3AJ5eI5OnqOPBNLWSHKh2a30DoXe8/edit?usp=sharing"",""สงขลา!J185"")"),15.0)</f>
        <v>15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187200</v>
      </c>
      <c r="M271" s="183">
        <f t="shared" si="84"/>
        <v>98250</v>
      </c>
      <c r="N271" s="183">
        <f t="shared" si="84"/>
        <v>75580</v>
      </c>
      <c r="O271" s="182">
        <f t="shared" ref="O271:O273" si="86">IF(L271&gt;0,N271*100/L271,0)</f>
        <v>40.37393162</v>
      </c>
      <c r="P271" s="182">
        <f t="shared" ref="P271:P273" si="87">IF(M271&gt;0,N271*100/M271,0)</f>
        <v>76.92620865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187200</v>
      </c>
      <c r="M273" s="188">
        <f t="shared" si="88"/>
        <v>98250</v>
      </c>
      <c r="N273" s="188">
        <f t="shared" si="88"/>
        <v>75580</v>
      </c>
      <c r="O273" s="187">
        <f t="shared" si="86"/>
        <v>40.37393162</v>
      </c>
      <c r="P273" s="187">
        <f t="shared" si="87"/>
        <v>76.92620865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187200</v>
      </c>
      <c r="M275" s="201">
        <f>IFERROR(__xludf.DUMMYFUNCTION("IMPORTRANGE(""https://docs.google.com/spreadsheets/d/1Yj_ptqi66GCucihVvJfMjLAmec39IyEx_6qawtMGysU/edit?usp=sharing"",""สบก!CK92"")"),98250.0)</f>
        <v>98250</v>
      </c>
      <c r="N275" s="202">
        <f>IFERROR(__xludf.DUMMYFUNCTION("IMPORTRANGE(""https://docs.google.com/spreadsheets/d/1Yj_ptqi66GCucihVvJfMjLAmec39IyEx_6qawtMGysU/edit?usp=sharing"",""สบก!CL92"")"),75580.0)</f>
        <v>75580</v>
      </c>
      <c r="O275" s="203">
        <f>IF(L275&gt;0,N275*100/L275,0)</f>
        <v>40.37393162</v>
      </c>
      <c r="P275" s="203">
        <f>IF(M275&gt;0,N275*100/M275,0)</f>
        <v>76.92620865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IFERROR(__xludf.DUMMYFUNCTION("IMPORTRANGE(""https://docs.google.com/spreadsheets/d/1Yj_ptqi66GCucihVvJfMjLAmec39IyEx_6qawtMGysU/edit?usp=sharing"",""สบก!CG92"")"),132000.0)</f>
        <v>132000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IFERROR(__xludf.DUMMYFUNCTION("IMPORTRANGE(""https://docs.google.com/spreadsheets/d/1Yj_ptqi66GCucihVvJfMjLAmec39IyEx_6qawtMGysU/edit?usp=sharing"",""สบก!CH92"")"),55200.0)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IFERROR(__xludf.DUMMYFUNCTION("IMPORTRANGE(""https://docs.google.com/spreadsheets/d/1Yj_ptqi66GCucihVvJfMjLAmec39IyEx_6qawtMGysU/edit?usp=sharing"",""สบก!CI92"")"),0.0)</f>
        <v>0</v>
      </c>
      <c r="M279" s="125"/>
      <c r="N279" s="115">
        <f>IFERROR(__xludf.DUMMYFUNCTION("IMPORTRANGE(""https://docs.google.com/spreadsheets/d/1Yj_ptqi66GCucihVvJfMjLAmec39IyEx_6qawtMGysU/edit?usp=sharing"",""สบก!CM92"")"),0.0)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IFERROR(__xludf.DUMMYFUNCTION("IMPORTRANGE(""https://docs.google.com/spreadsheets/d/1IYY_tgx_IHuhSq3AJ5eI5OnqOPBNLWSHKh2a30DoXe8/edit?usp=sharing"",""สงขลา!J191"")"),0.0)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IFERROR(__xludf.DUMMYFUNCTION("IMPORTRANGE(""https://docs.google.com/spreadsheets/d/1IYY_tgx_IHuhSq3AJ5eI5OnqOPBNLWSHKh2a30DoXe8/edit?usp=sharing"",""สงขลา!J192"")"),1.0)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IFERROR(__xludf.DUMMYFUNCTION("IMPORTRANGE(""https://docs.google.com/spreadsheets/d/1IYY_tgx_IHuhSq3AJ5eI5OnqOPBNLWSHKh2a30DoXe8/edit?usp=sharing"",""สงขลา!J193"")"),1.0)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IFERROR(__xludf.DUMMYFUNCTION("IMPORTRANGE(""https://docs.google.com/spreadsheets/d/1IYY_tgx_IHuhSq3AJ5eI5OnqOPBNLWSHKh2a30DoXe8/edit?usp=sharing"",""สงขลา!J194"")"),1.0)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IFERROR(__xludf.DUMMYFUNCTION("IMPORTRANGE(""https://docs.google.com/spreadsheets/d/1IYY_tgx_IHuhSq3AJ5eI5OnqOPBNLWSHKh2a30DoXe8/edit?usp=sharing"",""สงขลา!I195"")"),15.0)</f>
        <v>15</v>
      </c>
      <c r="J285" s="223">
        <f>IFERROR(__xludf.DUMMYFUNCTION("IMPORTRANGE(""https://docs.google.com/spreadsheets/d/1IYY_tgx_IHuhSq3AJ5eI5OnqOPBNLWSHKh2a30DoXe8/edit?usp=sharing"",""สงขลา!J195"")"),15.0)</f>
        <v>15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IFERROR(__xludf.DUMMYFUNCTION("IMPORTRANGE(""https://docs.google.com/spreadsheets/d/1IYY_tgx_IHuhSq3AJ5eI5OnqOPBNLWSHKh2a30DoXe8/edit?usp=sharing"",""สงขลา!J196"")"),0.0)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IFERROR(__xludf.DUMMYFUNCTION("IMPORTRANGE(""https://docs.google.com/spreadsheets/d/1IYY_tgx_IHuhSq3AJ5eI5OnqOPBNLWSHKh2a30DoXe8/edit?usp=sharing"",""สงขลา!J197"")"),0.0)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IFERROR(__xludf.DUMMYFUNCTION("IMPORTRANGE(""https://docs.google.com/spreadsheets/d/1IYY_tgx_IHuhSq3AJ5eI5OnqOPBNLWSHKh2a30DoXe8/edit?usp=sharing"",""สงขลา!I199"")"),15.0)</f>
        <v>15</v>
      </c>
      <c r="J289" s="349">
        <f>IFERROR(__xludf.DUMMYFUNCTION("IMPORTRANGE(""https://docs.google.com/spreadsheets/d/1IYY_tgx_IHuhSq3AJ5eI5OnqOPBNLWSHKh2a30DoXe8/edit?usp=sharing"",""สงขลา!J199"")"),0.0)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81820</v>
      </c>
      <c r="M290" s="183">
        <f t="shared" si="89"/>
        <v>34760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81820</v>
      </c>
      <c r="M292" s="188">
        <f t="shared" si="93"/>
        <v>34760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81820</v>
      </c>
      <c r="M294" s="201">
        <f>IFERROR(__xludf.DUMMYFUNCTION("IMPORTRANGE(""https://docs.google.com/spreadsheets/d/1Yj_ptqi66GCucihVvJfMjLAmec39IyEx_6qawtMGysU/edit?usp=sharing"",""สบก!CT92"")"),34760.0)</f>
        <v>34760</v>
      </c>
      <c r="N294" s="202">
        <f>IFERROR(__xludf.DUMMYFUNCTION("IMPORTRANGE(""https://docs.google.com/spreadsheets/d/1Yj_ptqi66GCucihVvJfMjLAmec39IyEx_6qawtMGysU/edit?usp=sharing"",""สบก!CU92"")"),0.0)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IFERROR(__xludf.DUMMYFUNCTION("IMPORTRANGE(""https://docs.google.com/spreadsheets/d/1Yj_ptqi66GCucihVvJfMjLAmec39IyEx_6qawtMGysU/edit?usp=sharing"",""สบก!CP92"")"),0.0)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IFERROR(__xludf.DUMMYFUNCTION("IMPORTRANGE(""https://docs.google.com/spreadsheets/d/1Yj_ptqi66GCucihVvJfMjLAmec39IyEx_6qawtMGysU/edit?usp=sharing"",""สบก!CQ92"")"),81820.0)</f>
        <v>81820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IFERROR(__xludf.DUMMYFUNCTION("IMPORTRANGE(""https://docs.google.com/spreadsheets/d/1Yj_ptqi66GCucihVvJfMjLAmec39IyEx_6qawtMGysU/edit?usp=sharing"",""สบก!CR92"")"),0.0)</f>
        <v>0</v>
      </c>
      <c r="M298" s="125"/>
      <c r="N298" s="115">
        <f>IFERROR(__xludf.DUMMYFUNCTION("IMPORTRANGE(""https://docs.google.com/spreadsheets/d/1Yj_ptqi66GCucihVvJfMjLAmec39IyEx_6qawtMGysU/edit?usp=sharing"",""สบก!CV92"")"),0.0)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IFERROR(__xludf.DUMMYFUNCTION("IMPORTRANGE(""https://docs.google.com/spreadsheets/d/1IYY_tgx_IHuhSq3AJ5eI5OnqOPBNLWSHKh2a30DoXe8/edit?usp=sharing"",""สงขลา!J205"")"),0.0)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IFERROR(__xludf.DUMMYFUNCTION("IMPORTRANGE(""https://docs.google.com/spreadsheets/d/1IYY_tgx_IHuhSq3AJ5eI5OnqOPBNLWSHKh2a30DoXe8/edit?usp=sharing"",""สงขลา!J206"")"),1.0)</f>
        <v>1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IFERROR(__xludf.DUMMYFUNCTION("IMPORTRANGE(""https://docs.google.com/spreadsheets/d/1IYY_tgx_IHuhSq3AJ5eI5OnqOPBNLWSHKh2a30DoXe8/edit?usp=sharing"",""สงขลา!J207"")"),1.0)</f>
        <v>1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IFERROR(__xludf.DUMMYFUNCTION("IMPORTRANGE(""https://docs.google.com/spreadsheets/d/1IYY_tgx_IHuhSq3AJ5eI5OnqOPBNLWSHKh2a30DoXe8/edit?usp=sharing"",""สงขลา!J208"")"),1.0)</f>
        <v>1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IFERROR(__xludf.DUMMYFUNCTION("IMPORTRANGE(""https://docs.google.com/spreadsheets/d/1IYY_tgx_IHuhSq3AJ5eI5OnqOPBNLWSHKh2a30DoXe8/edit?usp=sharing"",""สงขลา!I209"")"),15.0)</f>
        <v>15</v>
      </c>
      <c r="J304" s="238">
        <f>IFERROR(__xludf.DUMMYFUNCTION("IMPORTRANGE(""https://docs.google.com/spreadsheets/d/1IYY_tgx_IHuhSq3AJ5eI5OnqOPBNLWSHKh2a30DoXe8/edit?usp=sharing"",""สงขลา!J209"")"),0.0)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IFERROR(__xludf.DUMMYFUNCTION("IMPORTRANGE(""https://docs.google.com/spreadsheets/d/1IYY_tgx_IHuhSq3AJ5eI5OnqOPBNLWSHKh2a30DoXe8/edit?usp=sharing"",""สงขลา!I211"")"),15.0)</f>
        <v>15</v>
      </c>
      <c r="J306" s="238">
        <f>IFERROR(__xludf.DUMMYFUNCTION("IMPORTRANGE(""https://docs.google.com/spreadsheets/d/1IYY_tgx_IHuhSq3AJ5eI5OnqOPBNLWSHKh2a30DoXe8/edit?usp=sharing"",""สงขลา!J211"")"),0.0)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IFERROR(__xludf.DUMMYFUNCTION("IMPORTRANGE(""https://docs.google.com/spreadsheets/d/1IYY_tgx_IHuhSq3AJ5eI5OnqOPBNLWSHKh2a30DoXe8/edit?usp=sharing"",""สงขลา!J212"")"),0.0)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IFERROR(__xludf.DUMMYFUNCTION("IMPORTRANGE(""https://docs.google.com/spreadsheets/d/1IYY_tgx_IHuhSq3AJ5eI5OnqOPBNLWSHKh2a30DoXe8/edit?usp=sharing"",""สงขลา!J213"")"),0.0)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IFERROR(__xludf.DUMMYFUNCTION("IMPORTRANGE(""https://docs.google.com/spreadsheets/d/1IYY_tgx_IHuhSq3AJ5eI5OnqOPBNLWSHKh2a30DoXe8/edit?usp=sharing"",""สงขลา!I214"")"),1.0)</f>
        <v>1</v>
      </c>
      <c r="J309" s="366">
        <f>IFERROR(__xludf.DUMMYFUNCTION("IMPORTRANGE(""https://docs.google.com/spreadsheets/d/1IYY_tgx_IHuhSq3AJ5eI5OnqOPBNLWSHKh2a30DoXe8/edit?usp=sharing"",""สงขลา!J214"")"),0.0)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1267600</v>
      </c>
      <c r="M310" s="183">
        <f t="shared" si="94"/>
        <v>108800</v>
      </c>
      <c r="N310" s="183">
        <f t="shared" si="94"/>
        <v>74370</v>
      </c>
      <c r="O310" s="182">
        <f t="shared" ref="O310:O312" si="96">IF(L310&gt;0,N310*100/L310,0)</f>
        <v>5.866992742</v>
      </c>
      <c r="P310" s="182">
        <f t="shared" ref="P310:P312" si="97">IF(M310&gt;0,N310*100/M310,0)</f>
        <v>68.35477941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1267600</v>
      </c>
      <c r="M312" s="188">
        <f t="shared" si="98"/>
        <v>108800</v>
      </c>
      <c r="N312" s="188">
        <f t="shared" si="98"/>
        <v>74370</v>
      </c>
      <c r="O312" s="187">
        <f t="shared" si="96"/>
        <v>5.866992742</v>
      </c>
      <c r="P312" s="187">
        <f t="shared" si="97"/>
        <v>68.35477941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217600</v>
      </c>
      <c r="M314" s="201">
        <f>IFERROR(__xludf.DUMMYFUNCTION("IMPORTRANGE(""https://docs.google.com/spreadsheets/d/1Yj_ptqi66GCucihVvJfMjLAmec39IyEx_6qawtMGysU/edit?usp=sharing"",""สบก!DC92"")"),108800.0)</f>
        <v>108800</v>
      </c>
      <c r="N314" s="202">
        <f>IFERROR(__xludf.DUMMYFUNCTION("IMPORTRANGE(""https://docs.google.com/spreadsheets/d/1Yj_ptqi66GCucihVvJfMjLAmec39IyEx_6qawtMGysU/edit?usp=sharing"",""สบก!DD92"")"),74370.0)</f>
        <v>74370</v>
      </c>
      <c r="O314" s="203">
        <f>IF(L314&gt;0,N314*100/L314,0)</f>
        <v>34.17738971</v>
      </c>
      <c r="P314" s="203">
        <f>IF(M314&gt;0,N314*100/M314,0)</f>
        <v>68.35477941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IFERROR(__xludf.DUMMYFUNCTION("IMPORTRANGE(""https://docs.google.com/spreadsheets/d/1Yj_ptqi66GCucihVvJfMjLAmec39IyEx_6qawtMGysU/edit?usp=sharing"",""สบก!CY92"")"),0.0)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IFERROR(__xludf.DUMMYFUNCTION("IMPORTRANGE(""https://docs.google.com/spreadsheets/d/1Yj_ptqi66GCucihVvJfMjLAmec39IyEx_6qawtMGysU/edit?usp=sharing"",""สบก!CZ92"")"),217600.0)</f>
        <v>217600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IFERROR(__xludf.DUMMYFUNCTION("IMPORTRANGE(""https://docs.google.com/spreadsheets/d/1Yj_ptqi66GCucihVvJfMjLAmec39IyEx_6qawtMGysU/edit?usp=sharing"",""สบก!DA92"")"),1050000.0)</f>
        <v>1050000</v>
      </c>
      <c r="M318" s="125"/>
      <c r="N318" s="115">
        <f>IFERROR(__xludf.DUMMYFUNCTION("IMPORTRANGE(""https://docs.google.com/spreadsheets/d/1Yj_ptqi66GCucihVvJfMjLAmec39IyEx_6qawtMGysU/edit?usp=sharing"",""สบก!DE92"")"),0.0)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IFERROR(__xludf.DUMMYFUNCTION("IMPORTRANGE(""https://docs.google.com/spreadsheets/d/1IYY_tgx_IHuhSq3AJ5eI5OnqOPBNLWSHKh2a30DoXe8/edit?usp=sharing"",""สงขลา!J220"")"),0.0)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IFERROR(__xludf.DUMMYFUNCTION("IMPORTRANGE(""https://docs.google.com/spreadsheets/d/1IYY_tgx_IHuhSq3AJ5eI5OnqOPBNLWSHKh2a30DoXe8/edit?usp=sharing"",""สงขลา!J221"")"),1.0)</f>
        <v>1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IFERROR(__xludf.DUMMYFUNCTION("IMPORTRANGE(""https://docs.google.com/spreadsheets/d/1IYY_tgx_IHuhSq3AJ5eI5OnqOPBNLWSHKh2a30DoXe8/edit?usp=sharing"",""สงขลา!J222"")"),1.0)</f>
        <v>1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IFERROR(__xludf.DUMMYFUNCTION("IMPORTRANGE(""https://docs.google.com/spreadsheets/d/1IYY_tgx_IHuhSq3AJ5eI5OnqOPBNLWSHKh2a30DoXe8/edit?usp=sharing"",""สงขลา!J223"")"),0.0)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IFERROR(__xludf.DUMMYFUNCTION("IMPORTRANGE(""https://docs.google.com/spreadsheets/d/1IYY_tgx_IHuhSq3AJ5eI5OnqOPBNLWSHKh2a30DoXe8/edit?usp=sharing"",""สงขลา!I224"")"),1.0)</f>
        <v>1</v>
      </c>
      <c r="J324" s="238">
        <f>IFERROR(__xludf.DUMMYFUNCTION("IMPORTRANGE(""https://docs.google.com/spreadsheets/d/1IYY_tgx_IHuhSq3AJ5eI5OnqOPBNLWSHKh2a30DoXe8/edit?usp=sharing"",""สงขลา!J224"")"),0.0)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IFERROR(__xludf.DUMMYFUNCTION("IMPORTRANGE(""https://docs.google.com/spreadsheets/d/1IYY_tgx_IHuhSq3AJ5eI5OnqOPBNLWSHKh2a30DoXe8/edit?usp=sharing"",""สงขลา!J225"")"),0.0)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IFERROR(__xludf.DUMMYFUNCTION("IMPORTRANGE(""https://docs.google.com/spreadsheets/d/1IYY_tgx_IHuhSq3AJ5eI5OnqOPBNLWSHKh2a30DoXe8/edit?usp=sharing"",""สงขลา!J226"")"),0.0)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IFERROR(__xludf.DUMMYFUNCTION("IMPORTRANGE(""https://docs.google.com/spreadsheets/d/1IYY_tgx_IHuhSq3AJ5eI5OnqOPBNLWSHKh2a30DoXe8/edit?usp=sharing"",""สงขลา!I228"")"),210.0)</f>
        <v>210</v>
      </c>
      <c r="J328" s="372">
        <f>IFERROR(__xludf.DUMMYFUNCTION("IMPORTRANGE(""https://docs.google.com/spreadsheets/d/1IYY_tgx_IHuhSq3AJ5eI5OnqOPBNLWSHKh2a30DoXe8/edit?usp=sharing"",""สงขลา!J228"")"),0.0)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1143610</v>
      </c>
      <c r="M329" s="183">
        <f t="shared" si="99"/>
        <v>591590</v>
      </c>
      <c r="N329" s="183">
        <f t="shared" si="99"/>
        <v>468457</v>
      </c>
      <c r="O329" s="182">
        <f t="shared" ref="O329:O331" si="101">IF(L329&gt;0,N329*100/L329,0)</f>
        <v>40.96300312</v>
      </c>
      <c r="P329" s="182">
        <f t="shared" ref="P329:P331" si="102">IF(M329&gt;0,N329*100/M329,0)</f>
        <v>79.18609172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1143610</v>
      </c>
      <c r="M331" s="188">
        <f t="shared" si="103"/>
        <v>591590</v>
      </c>
      <c r="N331" s="188">
        <f t="shared" si="103"/>
        <v>468457</v>
      </c>
      <c r="O331" s="187">
        <f t="shared" si="101"/>
        <v>40.96300312</v>
      </c>
      <c r="P331" s="187">
        <f t="shared" si="102"/>
        <v>79.18609172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1126610</v>
      </c>
      <c r="M333" s="201">
        <f>IFERROR(__xludf.DUMMYFUNCTION("IMPORTRANGE(""https://docs.google.com/spreadsheets/d/1Yj_ptqi66GCucihVvJfMjLAmec39IyEx_6qawtMGysU/edit?usp=sharing"",""สบก!DL92"")"),591590.0)</f>
        <v>591590</v>
      </c>
      <c r="N333" s="202">
        <f>IFERROR(__xludf.DUMMYFUNCTION("IMPORTRANGE(""https://docs.google.com/spreadsheets/d/1Yj_ptqi66GCucihVvJfMjLAmec39IyEx_6qawtMGysU/edit?usp=sharing"",""สบก!DM92"")"),451457.0)</f>
        <v>451457</v>
      </c>
      <c r="O333" s="203">
        <f>IF(L333&gt;0,N333*100/L333,0)</f>
        <v>40.07216339</v>
      </c>
      <c r="P333" s="203">
        <f>IF(M333&gt;0,N333*100/M333,0)</f>
        <v>76.31247993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IFERROR(__xludf.DUMMYFUNCTION("IMPORTRANGE(""https://docs.google.com/spreadsheets/d/1Yj_ptqi66GCucihVvJfMjLAmec39IyEx_6qawtMGysU/edit?usp=sharing"",""สบก!DH92"")"),773000.0)</f>
        <v>773000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IFERROR(__xludf.DUMMYFUNCTION("IMPORTRANGE(""https://docs.google.com/spreadsheets/d/1Yj_ptqi66GCucihVvJfMjLAmec39IyEx_6qawtMGysU/edit?usp=sharing"",""สบก!DI92"")"),353610.0)</f>
        <v>353610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IFERROR(__xludf.DUMMYFUNCTION("IMPORTRANGE(""https://docs.google.com/spreadsheets/d/1Yj_ptqi66GCucihVvJfMjLAmec39IyEx_6qawtMGysU/edit?usp=sharing"",""สบก!DJ92"")"),17000.0)</f>
        <v>17000</v>
      </c>
      <c r="M337" s="125"/>
      <c r="N337" s="115">
        <f>IFERROR(__xludf.DUMMYFUNCTION("IMPORTRANGE(""https://docs.google.com/spreadsheets/d/1Yj_ptqi66GCucihVvJfMjLAmec39IyEx_6qawtMGysU/edit?usp=sharing"",""สบก!DN92"")"),17000.0)</f>
        <v>17000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IFERROR(__xludf.DUMMYFUNCTION("IMPORTRANGE(""https://docs.google.com/spreadsheets/d/1IYY_tgx_IHuhSq3AJ5eI5OnqOPBNLWSHKh2a30DoXe8/edit?usp=sharing"",""สงขลา!I234"")"),0.0)</f>
        <v>0</v>
      </c>
      <c r="J339" s="222">
        <f>IFERROR(__xludf.DUMMYFUNCTION("IMPORTRANGE(""https://docs.google.com/spreadsheets/d/1IYY_tgx_IHuhSq3AJ5eI5OnqOPBNLWSHKh2a30DoXe8/edit?usp=sharing"",""สงขลา!J234"")"),96.0)</f>
        <v>96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IFERROR(__xludf.DUMMYFUNCTION("IMPORTRANGE(""https://docs.google.com/spreadsheets/d/1IYY_tgx_IHuhSq3AJ5eI5OnqOPBNLWSHKh2a30DoXe8/edit?usp=sharing"",""สงขลา!I235"")"),1720.0)</f>
        <v>1720</v>
      </c>
      <c r="J340" s="222">
        <f>IFERROR(__xludf.DUMMYFUNCTION("IMPORTRANGE(""https://docs.google.com/spreadsheets/d/1IYY_tgx_IHuhSq3AJ5eI5OnqOPBNLWSHKh2a30DoXe8/edit?usp=sharing"",""สงขลา!J235"")"),1120.4)</f>
        <v>1120.4</v>
      </c>
      <c r="K340" s="375">
        <f t="shared" si="104"/>
        <v>65.13953488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IFERROR(__xludf.DUMMYFUNCTION("IMPORTRANGE(""https://docs.google.com/spreadsheets/d/1IYY_tgx_IHuhSq3AJ5eI5OnqOPBNLWSHKh2a30DoXe8/edit?usp=sharing"",""สงขลา!I236"")"),210.0)</f>
        <v>210</v>
      </c>
      <c r="J341" s="222">
        <f>IFERROR(__xludf.DUMMYFUNCTION("IMPORTRANGE(""https://docs.google.com/spreadsheets/d/1IYY_tgx_IHuhSq3AJ5eI5OnqOPBNLWSHKh2a30DoXe8/edit?usp=sharing"",""สงขลา!J236"")"),144.0)</f>
        <v>144</v>
      </c>
      <c r="K341" s="375">
        <f t="shared" si="104"/>
        <v>68.57142857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IFERROR(__xludf.DUMMYFUNCTION("IMPORTRANGE(""https://docs.google.com/spreadsheets/d/1IYY_tgx_IHuhSq3AJ5eI5OnqOPBNLWSHKh2a30DoXe8/edit?usp=sharing"",""สงขลา!I237"")"),0.0)</f>
        <v>0</v>
      </c>
      <c r="J342" s="222">
        <f>IFERROR(__xludf.DUMMYFUNCTION("IMPORTRANGE(""https://docs.google.com/spreadsheets/d/1IYY_tgx_IHuhSq3AJ5eI5OnqOPBNLWSHKh2a30DoXe8/edit?usp=sharing"",""สงขลา!J237"")"),1780.52)</f>
        <v>1780.52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IFERROR(__xludf.DUMMYFUNCTION("IMPORTRANGE(""https://docs.google.com/spreadsheets/d/1IYY_tgx_IHuhSq3AJ5eI5OnqOPBNLWSHKh2a30DoXe8/edit?usp=sharing"",""สงขลา!I238"")"),210.0)</f>
        <v>210</v>
      </c>
      <c r="J343" s="222">
        <f>IFERROR(__xludf.DUMMYFUNCTION("IMPORTRANGE(""https://docs.google.com/spreadsheets/d/1IYY_tgx_IHuhSq3AJ5eI5OnqOPBNLWSHKh2a30DoXe8/edit?usp=sharing"",""สงขลา!J238"")"),0.0)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IFERROR(__xludf.DUMMYFUNCTION("IMPORTRANGE(""https://docs.google.com/spreadsheets/d/1IYY_tgx_IHuhSq3AJ5eI5OnqOPBNLWSHKh2a30DoXe8/edit?usp=sharing"",""สงขลา!I239"")"),0.0)</f>
        <v>0</v>
      </c>
      <c r="J344" s="222">
        <f>IFERROR(__xludf.DUMMYFUNCTION("IMPORTRANGE(""https://docs.google.com/spreadsheets/d/1IYY_tgx_IHuhSq3AJ5eI5OnqOPBNLWSHKh2a30DoXe8/edit?usp=sharing"",""สงขลา!J239"")"),0.0)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IFERROR(__xludf.DUMMYFUNCTION("IMPORTRANGE(""https://docs.google.com/spreadsheets/d/1IYY_tgx_IHuhSq3AJ5eI5OnqOPBNLWSHKh2a30DoXe8/edit?usp=sharing"",""สงขลา!I240"")"),210.0)</f>
        <v>210</v>
      </c>
      <c r="J345" s="222">
        <f>IFERROR(__xludf.DUMMYFUNCTION("IMPORTRANGE(""https://docs.google.com/spreadsheets/d/1IYY_tgx_IHuhSq3AJ5eI5OnqOPBNLWSHKh2a30DoXe8/edit?usp=sharing"",""สงขลา!J240"")"),0.0)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IFERROR(__xludf.DUMMYFUNCTION("IMPORTRANGE(""https://docs.google.com/spreadsheets/d/1IYY_tgx_IHuhSq3AJ5eI5OnqOPBNLWSHKh2a30DoXe8/edit?usp=sharing"",""สงขลา!I241"")"),0.0)</f>
        <v>0</v>
      </c>
      <c r="J346" s="222">
        <f>IFERROR(__xludf.DUMMYFUNCTION("IMPORTRANGE(""https://docs.google.com/spreadsheets/d/1IYY_tgx_IHuhSq3AJ5eI5OnqOPBNLWSHKh2a30DoXe8/edit?usp=sharing"",""สงขลา!J241"")"),0.0)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IFERROR(__xludf.DUMMYFUNCTION("IMPORTRANGE(""https://docs.google.com/spreadsheets/d/1IYY_tgx_IHuhSq3AJ5eI5OnqOPBNLWSHKh2a30DoXe8/edit?usp=sharing"",""สงขลา!L242"")"),1637464.0)</f>
        <v>1637464</v>
      </c>
      <c r="M347" s="391"/>
      <c r="N347" s="391">
        <f>IFERROR(__xludf.DUMMYFUNCTION("IMPORTRANGE(""https://docs.google.com/spreadsheets/d/1IYY_tgx_IHuhSq3AJ5eI5OnqOPBNLWSHKh2a30DoXe8/edit?usp=sharing"",""สงขลา!M242"")"),74895.0)</f>
        <v>74895</v>
      </c>
      <c r="O347" s="391">
        <f>+IF(L347&gt;0,N347*100/L347,0)</f>
        <v>4.573841013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IFERROR(__xludf.DUMMYFUNCTION("IMPORTRANGE(""https://docs.google.com/spreadsheets/d/1IYY_tgx_IHuhSq3AJ5eI5OnqOPBNLWSHKh2a30DoXe8/edit?usp=sharing"",""สงขลา!I244"")"),230.0)</f>
        <v>230</v>
      </c>
      <c r="J349" s="404">
        <f>IFERROR(__xludf.DUMMYFUNCTION("IMPORTRANGE(""https://docs.google.com/spreadsheets/d/1IYY_tgx_IHuhSq3AJ5eI5OnqOPBNLWSHKh2a30DoXe8/edit?usp=sharing"",""สงขลา!J244"")"),0.0)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IFERROR(__xludf.DUMMYFUNCTION("IMPORTRANGE(""https://docs.google.com/spreadsheets/d/1IYY_tgx_IHuhSq3AJ5eI5OnqOPBNLWSHKh2a30DoXe8/edit?usp=sharing"",""สงขลา!L244"")"),461480.0)</f>
        <v>461480</v>
      </c>
      <c r="M349" s="406"/>
      <c r="N349" s="406">
        <f>IFERROR(__xludf.DUMMYFUNCTION("IMPORTRANGE(""https://docs.google.com/spreadsheets/d/1IYY_tgx_IHuhSq3AJ5eI5OnqOPBNLWSHKh2a30DoXe8/edit?usp=sharing"",""สงขลา!M244"")"),25855.0)</f>
        <v>25855</v>
      </c>
      <c r="O349" s="406">
        <f>+IF(L349&gt;0,N349*100/L349,0)</f>
        <v>5.602626333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IFERROR(__xludf.DUMMYFUNCTION("IMPORTRANGE(""https://docs.google.com/spreadsheets/d/1IYY_tgx_IHuhSq3AJ5eI5OnqOPBNLWSHKh2a30DoXe8/edit?usp=sharing"",""สงขลา!I245"")"),60.0)</f>
        <v>60</v>
      </c>
      <c r="J350" s="404">
        <f>IFERROR(__xludf.DUMMYFUNCTION("IMPORTRANGE(""https://docs.google.com/spreadsheets/d/1IYY_tgx_IHuhSq3AJ5eI5OnqOPBNLWSHKh2a30DoXe8/edit?usp=sharing"",""สงขลา!J245"")"),0.0)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IFERROR(__xludf.DUMMYFUNCTION("IMPORTRANGE(""https://docs.google.com/spreadsheets/d/1IYY_tgx_IHuhSq3AJ5eI5OnqOPBNLWSHKh2a30DoXe8/edit?usp=sharing"",""สงขลา!L246"")"),0.0)</f>
        <v>0</v>
      </c>
      <c r="M351" s="197"/>
      <c r="N351" s="197">
        <f>IFERROR(__xludf.DUMMYFUNCTION("IMPORTRANGE(""https://docs.google.com/spreadsheets/d/1IYY_tgx_IHuhSq3AJ5eI5OnqOPBNLWSHKh2a30DoXe8/edit?usp=sharing"",""สงขลา!M246"")"),0.0)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IFERROR(__xludf.DUMMYFUNCTION("IMPORTRANGE(""https://docs.google.com/spreadsheets/d/1IYY_tgx_IHuhSq3AJ5eI5OnqOPBNLWSHKh2a30DoXe8/edit?usp=sharing"",""สงขลา!L247"")"),461480.0)</f>
        <v>461480</v>
      </c>
      <c r="M352" s="198"/>
      <c r="N352" s="197">
        <f>IFERROR(__xludf.DUMMYFUNCTION("IMPORTRANGE(""https://docs.google.com/spreadsheets/d/1IYY_tgx_IHuhSq3AJ5eI5OnqOPBNLWSHKh2a30DoXe8/edit?usp=sharing"",""สงขลา!M247"")"),25855.0)</f>
        <v>25855</v>
      </c>
      <c r="O352" s="198">
        <f t="shared" si="106"/>
        <v>5.602626333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IFERROR(__xludf.DUMMYFUNCTION("IMPORTRANGE(""https://docs.google.com/spreadsheets/d/1IYY_tgx_IHuhSq3AJ5eI5OnqOPBNLWSHKh2a30DoXe8/edit?usp=sharing"",""สงขลา!L248"")"),0.0)</f>
        <v>0</v>
      </c>
      <c r="M353" s="203"/>
      <c r="N353" s="203">
        <f>IFERROR(__xludf.DUMMYFUNCTION("IMPORTRANGE(""https://docs.google.com/spreadsheets/d/1IYY_tgx_IHuhSq3AJ5eI5OnqOPBNLWSHKh2a30DoXe8/edit?usp=sharing"",""สงขลา!M248"")"),0.0)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IFERROR(__xludf.DUMMYFUNCTION("IMPORTRANGE(""https://docs.google.com/spreadsheets/d/1IYY_tgx_IHuhSq3AJ5eI5OnqOPBNLWSHKh2a30DoXe8/edit?usp=sharing"",""สงขลา!L249"")"),461480.0)</f>
        <v>461480</v>
      </c>
      <c r="M354" s="203"/>
      <c r="N354" s="200">
        <f>IFERROR(__xludf.DUMMYFUNCTION("IMPORTRANGE(""https://docs.google.com/spreadsheets/d/1IYY_tgx_IHuhSq3AJ5eI5OnqOPBNLWSHKh2a30DoXe8/edit?usp=sharing"",""สงขลา!M249"")"),25855.0)</f>
        <v>25855</v>
      </c>
      <c r="O354" s="203">
        <f t="shared" si="106"/>
        <v>5.602626333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IFERROR(__xludf.DUMMYFUNCTION("IMPORTRANGE(""https://docs.google.com/spreadsheets/d/1IYY_tgx_IHuhSq3AJ5eI5OnqOPBNLWSHKh2a30DoXe8/edit?usp=sharing"",""สงขลา!M250"")"),0.0)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IFERROR(__xludf.DUMMYFUNCTION("IMPORTRANGE(""https://docs.google.com/spreadsheets/d/1IYY_tgx_IHuhSq3AJ5eI5OnqOPBNLWSHKh2a30DoXe8/edit?usp=sharing"",""สงขลา!M251"")"),0.0)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IFERROR(__xludf.DUMMYFUNCTION("IMPORTRANGE(""https://docs.google.com/spreadsheets/d/1IYY_tgx_IHuhSq3AJ5eI5OnqOPBNLWSHKh2a30DoXe8/edit?usp=sharing"",""สงขลา!M252"")"),9935.0)</f>
        <v>9935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IFERROR(__xludf.DUMMYFUNCTION("IMPORTRANGE(""https://docs.google.com/spreadsheets/d/1IYY_tgx_IHuhSq3AJ5eI5OnqOPBNLWSHKh2a30DoXe8/edit?usp=sharing"",""สงขลา!M253"")"),15920.0)</f>
        <v>15920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IFERROR(__xludf.DUMMYFUNCTION("IMPORTRANGE(""https://docs.google.com/spreadsheets/d/1IYY_tgx_IHuhSq3AJ5eI5OnqOPBNLWSHKh2a30DoXe8/edit?usp=sharing"",""สงขลา!J255"")"),0.0)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IFERROR(__xludf.DUMMYFUNCTION("IMPORTRANGE(""https://docs.google.com/spreadsheets/d/1IYY_tgx_IHuhSq3AJ5eI5OnqOPBNLWSHKh2a30DoXe8/edit?usp=sharing"",""สงขลา!J256"")"),1.0)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IFERROR(__xludf.DUMMYFUNCTION("IMPORTRANGE(""https://docs.google.com/spreadsheets/d/1IYY_tgx_IHuhSq3AJ5eI5OnqOPBNLWSHKh2a30DoXe8/edit?usp=sharing"",""สงขลา!J257"")"),0.0)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IFERROR(__xludf.DUMMYFUNCTION("IMPORTRANGE(""https://docs.google.com/spreadsheets/d/1IYY_tgx_IHuhSq3AJ5eI5OnqOPBNLWSHKh2a30DoXe8/edit?usp=sharing"",""สงขลา!J258"")"),0.0)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IFERROR(__xludf.DUMMYFUNCTION("IMPORTRANGE(""https://docs.google.com/spreadsheets/d/1IYY_tgx_IHuhSq3AJ5eI5OnqOPBNLWSHKh2a30DoXe8/edit?usp=sharing"",""สงขลา!J166"")"),0.0)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IFERROR(__xludf.DUMMYFUNCTION("IMPORTRANGE(""https://docs.google.com/spreadsheets/d/1IYY_tgx_IHuhSq3AJ5eI5OnqOPBNLWSHKh2a30DoXe8/edit?usp=sharing"",""สงขลา!J166"")"),0.0)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IFERROR(__xludf.DUMMYFUNCTION("IMPORTRANGE(""https://docs.google.com/spreadsheets/d/1IYY_tgx_IHuhSq3AJ5eI5OnqOPBNLWSHKh2a30DoXe8/edit?usp=sharing"",""สงขลา!J166"")"),0.0)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IFERROR(__xludf.DUMMYFUNCTION("IMPORTRANGE(""https://docs.google.com/spreadsheets/d/1IYY_tgx_IHuhSq3AJ5eI5OnqOPBNLWSHKh2a30DoXe8/edit?usp=sharing"",""สงขลา!J166"")"),0.0)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IFERROR(__xludf.DUMMYFUNCTION("IMPORTRANGE(""https://docs.google.com/spreadsheets/d/1IYY_tgx_IHuhSq3AJ5eI5OnqOPBNLWSHKh2a30DoXe8/edit?usp=sharing"",""สงขลา!I263"")"),60.0)</f>
        <v>60</v>
      </c>
      <c r="J368" s="222">
        <f>IFERROR(__xludf.DUMMYFUNCTION("IMPORTRANGE(""https://docs.google.com/spreadsheets/d/1IYY_tgx_IHuhSq3AJ5eI5OnqOPBNLWSHKh2a30DoXe8/edit?usp=sharing"",""สงขลา!J263"")"),0.0)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IFERROR(__xludf.DUMMYFUNCTION("IMPORTRANGE(""https://docs.google.com/spreadsheets/d/1IYY_tgx_IHuhSq3AJ5eI5OnqOPBNLWSHKh2a30DoXe8/edit?usp=sharing"",""สงขลา!I164"")"),0.0)</f>
        <v>0</v>
      </c>
      <c r="J369" s="238">
        <f>IFERROR(__xludf.DUMMYFUNCTION("IMPORTRANGE(""https://docs.google.com/spreadsheets/d/1IYY_tgx_IHuhSq3AJ5eI5OnqOPBNLWSHKh2a30DoXe8/edit?usp=sharing"",""สงขลา!J164"")"),0.0)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IFERROR(__xludf.DUMMYFUNCTION("IMPORTRANGE(""https://docs.google.com/spreadsheets/d/1IYY_tgx_IHuhSq3AJ5eI5OnqOPBNLWSHKh2a30DoXe8/edit?usp=sharing"",""สงขลา!I265"")"),60.0)</f>
        <v>60</v>
      </c>
      <c r="J370" s="238">
        <f>IFERROR(__xludf.DUMMYFUNCTION("IMPORTRANGE(""https://docs.google.com/spreadsheets/d/1IYY_tgx_IHuhSq3AJ5eI5OnqOPBNLWSHKh2a30DoXe8/edit?usp=sharing"",""สงขลา!J265"")"),0.0)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IFERROR(__xludf.DUMMYFUNCTION("IMPORTRANGE(""https://docs.google.com/spreadsheets/d/1IYY_tgx_IHuhSq3AJ5eI5OnqOPBNLWSHKh2a30DoXe8/edit?usp=sharing"",""สงขลา!I164"")"),0.0)</f>
        <v>0</v>
      </c>
      <c r="J371" s="223">
        <f>IFERROR(__xludf.DUMMYFUNCTION("IMPORTRANGE(""https://docs.google.com/spreadsheets/d/1IYY_tgx_IHuhSq3AJ5eI5OnqOPBNLWSHKh2a30DoXe8/edit?usp=sharing"",""สงขลา!J164"")"),0.0)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IFERROR(__xludf.DUMMYFUNCTION("IMPORTRANGE(""https://docs.google.com/spreadsheets/d/1IYY_tgx_IHuhSq3AJ5eI5OnqOPBNLWSHKh2a30DoXe8/edit?usp=sharing"",""สงขลา!I267"")"),60.0)</f>
        <v>60</v>
      </c>
      <c r="J372" s="223">
        <f>IFERROR(__xludf.DUMMYFUNCTION("IMPORTRANGE(""https://docs.google.com/spreadsheets/d/1IYY_tgx_IHuhSq3AJ5eI5OnqOPBNLWSHKh2a30DoXe8/edit?usp=sharing"",""สงขลา!J267"")"),0.0)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IFERROR(__xludf.DUMMYFUNCTION("IMPORTRANGE(""https://docs.google.com/spreadsheets/d/1IYY_tgx_IHuhSq3AJ5eI5OnqOPBNLWSHKh2a30DoXe8/edit?usp=sharing"",""สงขลา!I164"")"),0.0)</f>
        <v>0</v>
      </c>
      <c r="J373" s="238">
        <f>IFERROR(__xludf.DUMMYFUNCTION("IMPORTRANGE(""https://docs.google.com/spreadsheets/d/1IYY_tgx_IHuhSq3AJ5eI5OnqOPBNLWSHKh2a30DoXe8/edit?usp=sharing"",""สงขลา!J164"")"),0.0)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IFERROR(__xludf.DUMMYFUNCTION("IMPORTRANGE(""https://docs.google.com/spreadsheets/d/1IYY_tgx_IHuhSq3AJ5eI5OnqOPBNLWSHKh2a30DoXe8/edit?usp=sharing"",""สงขลา!I164"")"),0.0)</f>
        <v>0</v>
      </c>
      <c r="J374" s="222">
        <f>IFERROR(__xludf.DUMMYFUNCTION("IMPORTRANGE(""https://docs.google.com/spreadsheets/d/1IYY_tgx_IHuhSq3AJ5eI5OnqOPBNLWSHKh2a30DoXe8/edit?usp=sharing"",""สงขลา!J164"")"),0.0)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IFERROR(__xludf.DUMMYFUNCTION("IMPORTRANGE(""https://docs.google.com/spreadsheets/d/1IYY_tgx_IHuhSq3AJ5eI5OnqOPBNLWSHKh2a30DoXe8/edit?usp=sharing"",""สงขลา!I270"")"),230.0)</f>
        <v>230</v>
      </c>
      <c r="J375" s="222">
        <f>IFERROR(__xludf.DUMMYFUNCTION("IMPORTRANGE(""https://docs.google.com/spreadsheets/d/1IYY_tgx_IHuhSq3AJ5eI5OnqOPBNLWSHKh2a30DoXe8/edit?usp=sharing"",""สงขลา!J270"")"),0.0)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IFERROR(__xludf.DUMMYFUNCTION("IMPORTRANGE(""https://docs.google.com/spreadsheets/d/1IYY_tgx_IHuhSq3AJ5eI5OnqOPBNLWSHKh2a30DoXe8/edit?usp=sharing"",""สงขลา!I271"")"),80.0)</f>
        <v>80</v>
      </c>
      <c r="J376" s="223">
        <f>IFERROR(__xludf.DUMMYFUNCTION("IMPORTRANGE(""https://docs.google.com/spreadsheets/d/1IYY_tgx_IHuhSq3AJ5eI5OnqOPBNLWSHKh2a30DoXe8/edit?usp=sharing"",""สงขลา!J271"")"),0.0)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IFERROR(__xludf.DUMMYFUNCTION("IMPORTRANGE(""https://docs.google.com/spreadsheets/d/1IYY_tgx_IHuhSq3AJ5eI5OnqOPBNLWSHKh2a30DoXe8/edit?usp=sharing"",""สงขลา!I272"")"),150.0)</f>
        <v>150</v>
      </c>
      <c r="J377" s="238">
        <f>IFERROR(__xludf.DUMMYFUNCTION("IMPORTRANGE(""https://docs.google.com/spreadsheets/d/1IYY_tgx_IHuhSq3AJ5eI5OnqOPBNLWSHKh2a30DoXe8/edit?usp=sharing"",""สงขลา!J272"")"),0.0)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IFERROR(__xludf.DUMMYFUNCTION("IMPORTRANGE(""https://docs.google.com/spreadsheets/d/1IYY_tgx_IHuhSq3AJ5eI5OnqOPBNLWSHKh2a30DoXe8/edit?usp=sharing"",""สงขลา!J273"")"),0.0)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IFERROR(__xludf.DUMMYFUNCTION("IMPORTRANGE(""https://docs.google.com/spreadsheets/d/1IYY_tgx_IHuhSq3AJ5eI5OnqOPBNLWSHKh2a30DoXe8/edit?usp=sharing"",""สงขลา!J274"")"),0.0)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IFERROR(__xludf.DUMMYFUNCTION("IMPORTRANGE(""https://docs.google.com/spreadsheets/d/1IYY_tgx_IHuhSq3AJ5eI5OnqOPBNLWSHKh2a30DoXe8/edit?usp=sharing"",""สงขลา!I275"")"),200.0)</f>
        <v>200</v>
      </c>
      <c r="J380" s="404">
        <f>IFERROR(__xludf.DUMMYFUNCTION("IMPORTRANGE(""https://docs.google.com/spreadsheets/d/1IYY_tgx_IHuhSq3AJ5eI5OnqOPBNLWSHKh2a30DoXe8/edit?usp=sharing"",""สงขลา!J275"")"),0.0)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IFERROR(__xludf.DUMMYFUNCTION("IMPORTRANGE(""https://docs.google.com/spreadsheets/d/1IYY_tgx_IHuhSq3AJ5eI5OnqOPBNLWSHKh2a30DoXe8/edit?usp=sharing"",""สงขลา!L275"")"),207560.0)</f>
        <v>207560</v>
      </c>
      <c r="M380" s="406"/>
      <c r="N380" s="406">
        <f>IFERROR(__xludf.DUMMYFUNCTION("IMPORTRANGE(""https://docs.google.com/spreadsheets/d/1IYY_tgx_IHuhSq3AJ5eI5OnqOPBNLWSHKh2a30DoXe8/edit?usp=sharing"",""สงขลา!M275"")"),1500.0)</f>
        <v>1500</v>
      </c>
      <c r="O380" s="406">
        <f>+IF(L380&gt;0,N380*100/L380,0)</f>
        <v>0.7226825978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IFERROR(__xludf.DUMMYFUNCTION("IMPORTRANGE(""https://docs.google.com/spreadsheets/d/1IYY_tgx_IHuhSq3AJ5eI5OnqOPBNLWSHKh2a30DoXe8/edit?usp=sharing"",""สงขลา!I276"")"),20.0)</f>
        <v>20</v>
      </c>
      <c r="J381" s="404">
        <f>IFERROR(__xludf.DUMMYFUNCTION("IMPORTRANGE(""https://docs.google.com/spreadsheets/d/1IYY_tgx_IHuhSq3AJ5eI5OnqOPBNLWSHKh2a30DoXe8/edit?usp=sharing"",""สงขลา!J276"")"),20.0)</f>
        <v>20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IFERROR(__xludf.DUMMYFUNCTION("IMPORTRANGE(""https://docs.google.com/spreadsheets/d/1IYY_tgx_IHuhSq3AJ5eI5OnqOPBNLWSHKh2a30DoXe8/edit?usp=sharing"",""สงขลา!L277"")"),0.0)</f>
        <v>0</v>
      </c>
      <c r="M382" s="197"/>
      <c r="N382" s="197">
        <f>IFERROR(__xludf.DUMMYFUNCTION("IMPORTRANGE(""https://docs.google.com/spreadsheets/d/1IYY_tgx_IHuhSq3AJ5eI5OnqOPBNLWSHKh2a30DoXe8/edit?usp=sharing"",""สงขลา!M277"")"),0.0)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IFERROR(__xludf.DUMMYFUNCTION("IMPORTRANGE(""https://docs.google.com/spreadsheets/d/1IYY_tgx_IHuhSq3AJ5eI5OnqOPBNLWSHKh2a30DoXe8/edit?usp=sharing"",""สงขลา!L278"")"),207560.0)</f>
        <v>207560</v>
      </c>
      <c r="M383" s="198"/>
      <c r="N383" s="198">
        <f>IFERROR(__xludf.DUMMYFUNCTION("IMPORTRANGE(""https://docs.google.com/spreadsheets/d/1IYY_tgx_IHuhSq3AJ5eI5OnqOPBNLWSHKh2a30DoXe8/edit?usp=sharing"",""สงขลา!M278"")"),1500.0)</f>
        <v>1500</v>
      </c>
      <c r="O383" s="198">
        <f t="shared" si="110"/>
        <v>0.7226825978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IFERROR(__xludf.DUMMYFUNCTION("IMPORTRANGE(""https://docs.google.com/spreadsheets/d/1IYY_tgx_IHuhSq3AJ5eI5OnqOPBNLWSHKh2a30DoXe8/edit?usp=sharing"",""สงขลา!L279"")"),0.0)</f>
        <v>0</v>
      </c>
      <c r="M384" s="203"/>
      <c r="N384" s="203">
        <f>IFERROR(__xludf.DUMMYFUNCTION("IMPORTRANGE(""https://docs.google.com/spreadsheets/d/1IYY_tgx_IHuhSq3AJ5eI5OnqOPBNLWSHKh2a30DoXe8/edit?usp=sharing"",""สงขลา!M279"")"),0.0)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IFERROR(__xludf.DUMMYFUNCTION("IMPORTRANGE(""https://docs.google.com/spreadsheets/d/1IYY_tgx_IHuhSq3AJ5eI5OnqOPBNLWSHKh2a30DoXe8/edit?usp=sharing"",""สงขลา!L280"")"),207560.0)</f>
        <v>207560</v>
      </c>
      <c r="M385" s="203"/>
      <c r="N385" s="200">
        <f>IFERROR(__xludf.DUMMYFUNCTION("IMPORTRANGE(""https://docs.google.com/spreadsheets/d/1IYY_tgx_IHuhSq3AJ5eI5OnqOPBNLWSHKh2a30DoXe8/edit?usp=sharing"",""สงขลา!M280"")"),1500.0)</f>
        <v>1500</v>
      </c>
      <c r="O385" s="203">
        <f t="shared" si="110"/>
        <v>0.7226825978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IFERROR(__xludf.DUMMYFUNCTION("IMPORTRANGE(""https://docs.google.com/spreadsheets/d/1IYY_tgx_IHuhSq3AJ5eI5OnqOPBNLWSHKh2a30DoXe8/edit?usp=sharing"",""สงขลา!M281"")"),0.0)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IFERROR(__xludf.DUMMYFUNCTION("IMPORTRANGE(""https://docs.google.com/spreadsheets/d/1IYY_tgx_IHuhSq3AJ5eI5OnqOPBNLWSHKh2a30DoXe8/edit?usp=sharing"",""สงขลา!M282"")"),0.0)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IFERROR(__xludf.DUMMYFUNCTION("IMPORTRANGE(""https://docs.google.com/spreadsheets/d/1IYY_tgx_IHuhSq3AJ5eI5OnqOPBNLWSHKh2a30DoXe8/edit?usp=sharing"",""สงขลา!M283"")"),0.0)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IFERROR(__xludf.DUMMYFUNCTION("IMPORTRANGE(""https://docs.google.com/spreadsheets/d/1IYY_tgx_IHuhSq3AJ5eI5OnqOPBNLWSHKh2a30DoXe8/edit?usp=sharing"",""สงขลา!M284"")"),1500.0)</f>
        <v>1500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IFERROR(__xludf.DUMMYFUNCTION("IMPORTRANGE(""https://docs.google.com/spreadsheets/d/1IYY_tgx_IHuhSq3AJ5eI5OnqOPBNLWSHKh2a30DoXe8/edit?usp=sharing"",""สงขลา!J286"")"),0.0)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IFERROR(__xludf.DUMMYFUNCTION("IMPORTRANGE(""https://docs.google.com/spreadsheets/d/1IYY_tgx_IHuhSq3AJ5eI5OnqOPBNLWSHKh2a30DoXe8/edit?usp=sharing"",""สงขลา!J287"")"),1.0)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IFERROR(__xludf.DUMMYFUNCTION("IMPORTRANGE(""https://docs.google.com/spreadsheets/d/1IYY_tgx_IHuhSq3AJ5eI5OnqOPBNLWSHKh2a30DoXe8/edit?usp=sharing"",""สงขลา!J288"")"),0.0)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IFERROR(__xludf.DUMMYFUNCTION("IMPORTRANGE(""https://docs.google.com/spreadsheets/d/1IYY_tgx_IHuhSq3AJ5eI5OnqOPBNLWSHKh2a30DoXe8/edit?usp=sharing"",""สงขลา!J289"")"),0.0)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IFERROR(__xludf.DUMMYFUNCTION("IMPORTRANGE(""https://docs.google.com/spreadsheets/d/1IYY_tgx_IHuhSq3AJ5eI5OnqOPBNLWSHKh2a30DoXe8/edit?usp=sharing"",""สงขลา!I291"")"),20.0)</f>
        <v>20</v>
      </c>
      <c r="J396" s="232">
        <f>IFERROR(__xludf.DUMMYFUNCTION("IMPORTRANGE(""https://docs.google.com/spreadsheets/d/1IYY_tgx_IHuhSq3AJ5eI5OnqOPBNLWSHKh2a30DoXe8/edit?usp=sharing"",""สงขลา!J291"")"),20.0)</f>
        <v>20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IFERROR(__xludf.DUMMYFUNCTION("IMPORTRANGE(""https://docs.google.com/spreadsheets/d/1IYY_tgx_IHuhSq3AJ5eI5OnqOPBNLWSHKh2a30DoXe8/edit?usp=sharing"",""สงขลา!I292"")"),200.0)</f>
        <v>200</v>
      </c>
      <c r="J397" s="232">
        <f>IFERROR(__xludf.DUMMYFUNCTION("IMPORTRANGE(""https://docs.google.com/spreadsheets/d/1IYY_tgx_IHuhSq3AJ5eI5OnqOPBNLWSHKh2a30DoXe8/edit?usp=sharing"",""สงขลา!J292"")"),0.0)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IFERROR(__xludf.DUMMYFUNCTION("IMPORTRANGE(""https://docs.google.com/spreadsheets/d/1IYY_tgx_IHuhSq3AJ5eI5OnqOPBNLWSHKh2a30DoXe8/edit?usp=sharing"",""สงขลา!I293"")"),20.0)</f>
        <v>20</v>
      </c>
      <c r="J398" s="232">
        <f>IFERROR(__xludf.DUMMYFUNCTION("IMPORTRANGE(""https://docs.google.com/spreadsheets/d/1IYY_tgx_IHuhSq3AJ5eI5OnqOPBNLWSHKh2a30DoXe8/edit?usp=sharing"",""สงขลา!J293"")"),0.0)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IFERROR(__xludf.DUMMYFUNCTION("IMPORTRANGE(""https://docs.google.com/spreadsheets/d/1IYY_tgx_IHuhSq3AJ5eI5OnqOPBNLWSHKh2a30DoXe8/edit?usp=sharing"",""สงขลา!J294"")"),0.0)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IFERROR(__xludf.DUMMYFUNCTION("IMPORTRANGE(""https://docs.google.com/spreadsheets/d/1IYY_tgx_IHuhSq3AJ5eI5OnqOPBNLWSHKh2a30DoXe8/edit?usp=sharing"",""สงขลา!J295"")"),0.0)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IFERROR(__xludf.DUMMYFUNCTION("IMPORTRANGE(""https://docs.google.com/spreadsheets/d/1IYY_tgx_IHuhSq3AJ5eI5OnqOPBNLWSHKh2a30DoXe8/edit?usp=sharing"",""สงขลา!I296"")"),150.0)</f>
        <v>150</v>
      </c>
      <c r="J401" s="404">
        <f>IFERROR(__xludf.DUMMYFUNCTION("IMPORTRANGE(""https://docs.google.com/spreadsheets/d/1IYY_tgx_IHuhSq3AJ5eI5OnqOPBNLWSHKh2a30DoXe8/edit?usp=sharing"",""สงขลา!J296"")"),0.0)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IFERROR(__xludf.DUMMYFUNCTION("IMPORTRANGE(""https://docs.google.com/spreadsheets/d/1IYY_tgx_IHuhSq3AJ5eI5OnqOPBNLWSHKh2a30DoXe8/edit?usp=sharing"",""สงขลา!L296"")"),158400.0)</f>
        <v>158400</v>
      </c>
      <c r="M401" s="406"/>
      <c r="N401" s="406">
        <f>IFERROR(__xludf.DUMMYFUNCTION("IMPORTRANGE(""https://docs.google.com/spreadsheets/d/1IYY_tgx_IHuhSq3AJ5eI5OnqOPBNLWSHKh2a30DoXe8/edit?usp=sharing"",""สงขลา!M296"")"),0.0)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IFERROR(__xludf.DUMMYFUNCTION("IMPORTRANGE(""https://docs.google.com/spreadsheets/d/1IYY_tgx_IHuhSq3AJ5eI5OnqOPBNLWSHKh2a30DoXe8/edit?usp=sharing"",""สงขลา!I297"")"),50.0)</f>
        <v>50</v>
      </c>
      <c r="J402" s="404">
        <f>IFERROR(__xludf.DUMMYFUNCTION("IMPORTRANGE(""https://docs.google.com/spreadsheets/d/1IYY_tgx_IHuhSq3AJ5eI5OnqOPBNLWSHKh2a30DoXe8/edit?usp=sharing"",""สงขลา!J297"")"),0.0)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IFERROR(__xludf.DUMMYFUNCTION("IMPORTRANGE(""https://docs.google.com/spreadsheets/d/1IYY_tgx_IHuhSq3AJ5eI5OnqOPBNLWSHKh2a30DoXe8/edit?usp=sharing"",""สงขลา!L298"")"),0.0)</f>
        <v>0</v>
      </c>
      <c r="M403" s="197"/>
      <c r="N403" s="203">
        <f>IFERROR(__xludf.DUMMYFUNCTION("IMPORTRANGE(""https://docs.google.com/spreadsheets/d/1IYY_tgx_IHuhSq3AJ5eI5OnqOPBNLWSHKh2a30DoXe8/edit?usp=sharing"",""สงขลา!M298"")"),0.0)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IFERROR(__xludf.DUMMYFUNCTION("IMPORTRANGE(""https://docs.google.com/spreadsheets/d/1IYY_tgx_IHuhSq3AJ5eI5OnqOPBNLWSHKh2a30DoXe8/edit?usp=sharing"",""สงขลา!L299"")"),158400.0)</f>
        <v>158400</v>
      </c>
      <c r="M404" s="198"/>
      <c r="N404" s="203">
        <f>IFERROR(__xludf.DUMMYFUNCTION("IMPORTRANGE(""https://docs.google.com/spreadsheets/d/1IYY_tgx_IHuhSq3AJ5eI5OnqOPBNLWSHKh2a30DoXe8/edit?usp=sharing"",""สงขลา!M299"")"),0.0)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IFERROR(__xludf.DUMMYFUNCTION("IMPORTRANGE(""https://docs.google.com/spreadsheets/d/1IYY_tgx_IHuhSq3AJ5eI5OnqOPBNLWSHKh2a30DoXe8/edit?usp=sharing"",""สงขลา!L300"")"),0.0)</f>
        <v>0</v>
      </c>
      <c r="M405" s="203"/>
      <c r="N405" s="203">
        <f>IFERROR(__xludf.DUMMYFUNCTION("IMPORTRANGE(""https://docs.google.com/spreadsheets/d/1IYY_tgx_IHuhSq3AJ5eI5OnqOPBNLWSHKh2a30DoXe8/edit?usp=sharing"",""สงขลา!M300"")"),0.0)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IFERROR(__xludf.DUMMYFUNCTION("IMPORTRANGE(""https://docs.google.com/spreadsheets/d/1IYY_tgx_IHuhSq3AJ5eI5OnqOPBNLWSHKh2a30DoXe8/edit?usp=sharing"",""สงขลา!L301"")"),158400.0)</f>
        <v>158400</v>
      </c>
      <c r="M406" s="203"/>
      <c r="N406" s="203">
        <f>IFERROR(__xludf.DUMMYFUNCTION("IMPORTRANGE(""https://docs.google.com/spreadsheets/d/1IYY_tgx_IHuhSq3AJ5eI5OnqOPBNLWSHKh2a30DoXe8/edit?usp=sharing"",""สงขลา!M301"")"),0.0)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IFERROR(__xludf.DUMMYFUNCTION("IMPORTRANGE(""https://docs.google.com/spreadsheets/d/1IYY_tgx_IHuhSq3AJ5eI5OnqOPBNLWSHKh2a30DoXe8/edit?usp=sharing"",""สงขลา!M302"")"),0.0)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IFERROR(__xludf.DUMMYFUNCTION("IMPORTRANGE(""https://docs.google.com/spreadsheets/d/1IYY_tgx_IHuhSq3AJ5eI5OnqOPBNLWSHKh2a30DoXe8/edit?usp=sharing"",""สงขลา!M303"")"),0.0)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IFERROR(__xludf.DUMMYFUNCTION("IMPORTRANGE(""https://docs.google.com/spreadsheets/d/1IYY_tgx_IHuhSq3AJ5eI5OnqOPBNLWSHKh2a30DoXe8/edit?usp=sharing"",""สงขลา!M304"")"),0.0)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IFERROR(__xludf.DUMMYFUNCTION("IMPORTRANGE(""https://docs.google.com/spreadsheets/d/1IYY_tgx_IHuhSq3AJ5eI5OnqOPBNLWSHKh2a30DoXe8/edit?usp=sharing"",""สงขลา!M305"")"),0.0)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IFERROR(__xludf.DUMMYFUNCTION("IMPORTRANGE(""https://docs.google.com/spreadsheets/d/1IYY_tgx_IHuhSq3AJ5eI5OnqOPBNLWSHKh2a30DoXe8/edit?usp=sharing"",""สงขลา!J307"")"),0.0)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IFERROR(__xludf.DUMMYFUNCTION("IMPORTRANGE(""https://docs.google.com/spreadsheets/d/1IYY_tgx_IHuhSq3AJ5eI5OnqOPBNLWSHKh2a30DoXe8/edit?usp=sharing"",""สงขลา!J308"")"),1.0)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IFERROR(__xludf.DUMMYFUNCTION("IMPORTRANGE(""https://docs.google.com/spreadsheets/d/1IYY_tgx_IHuhSq3AJ5eI5OnqOPBNLWSHKh2a30DoXe8/edit?usp=sharing"",""สงขลา!J309"")"),0.0)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IFERROR(__xludf.DUMMYFUNCTION("IMPORTRANGE(""https://docs.google.com/spreadsheets/d/1IYY_tgx_IHuhSq3AJ5eI5OnqOPBNLWSHKh2a30DoXe8/edit?usp=sharing"",""สงขลา!J310"")"),0.0)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IFERROR(__xludf.DUMMYFUNCTION("IMPORTRANGE(""https://docs.google.com/spreadsheets/d/1IYY_tgx_IHuhSq3AJ5eI5OnqOPBNLWSHKh2a30DoXe8/edit?usp=sharing"",""สงขลา!I311"")"),50.0)</f>
        <v>50</v>
      </c>
      <c r="J416" s="235">
        <f>IFERROR(__xludf.DUMMYFUNCTION("IMPORTRANGE(""https://docs.google.com/spreadsheets/d/1IYY_tgx_IHuhSq3AJ5eI5OnqOPBNLWSHKh2a30DoXe8/edit?usp=sharing"",""สงขลา!J311"")"),0.0)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IFERROR(__xludf.DUMMYFUNCTION("IMPORTRANGE(""https://docs.google.com/spreadsheets/d/1IYY_tgx_IHuhSq3AJ5eI5OnqOPBNLWSHKh2a30DoXe8/edit?usp=sharing"",""สงขลา!I312"")"),0.0)</f>
        <v>0</v>
      </c>
      <c r="J417" s="425">
        <f>IFERROR(__xludf.DUMMYFUNCTION("IMPORTRANGE(""https://docs.google.com/spreadsheets/d/1IYY_tgx_IHuhSq3AJ5eI5OnqOPBNLWSHKh2a30DoXe8/edit?usp=sharing"",""สงขลา!J312"")"),0.0)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IFERROR(__xludf.DUMMYFUNCTION("IMPORTRANGE(""https://docs.google.com/spreadsheets/d/1IYY_tgx_IHuhSq3AJ5eI5OnqOPBNLWSHKh2a30DoXe8/edit?usp=sharing"",""สงขลา!I313"")"),0.0)</f>
        <v>0</v>
      </c>
      <c r="J418" s="426">
        <f>IFERROR(__xludf.DUMMYFUNCTION("IMPORTRANGE(""https://docs.google.com/spreadsheets/d/1IYY_tgx_IHuhSq3AJ5eI5OnqOPBNLWSHKh2a30DoXe8/edit?usp=sharing"",""สงขลา!J313"")"),0.0)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IFERROR(__xludf.DUMMYFUNCTION("IMPORTRANGE(""https://docs.google.com/spreadsheets/d/1IYY_tgx_IHuhSq3AJ5eI5OnqOPBNLWSHKh2a30DoXe8/edit?usp=sharing"",""สงขลา!I314"")"),0.0)</f>
        <v>0</v>
      </c>
      <c r="J419" s="427">
        <f>IFERROR(__xludf.DUMMYFUNCTION("IMPORTRANGE(""https://docs.google.com/spreadsheets/d/1IYY_tgx_IHuhSq3AJ5eI5OnqOPBNLWSHKh2a30DoXe8/edit?usp=sharing"",""สงขลา!J314"")"),0.0)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IFERROR(__xludf.DUMMYFUNCTION("IMPORTRANGE(""https://docs.google.com/spreadsheets/d/1IYY_tgx_IHuhSq3AJ5eI5OnqOPBNLWSHKh2a30DoXe8/edit?usp=sharing"",""สงขลา!I315"")"),0.0)</f>
        <v>0</v>
      </c>
      <c r="J420" s="427">
        <f>IFERROR(__xludf.DUMMYFUNCTION("IMPORTRANGE(""https://docs.google.com/spreadsheets/d/1IYY_tgx_IHuhSq3AJ5eI5OnqOPBNLWSHKh2a30DoXe8/edit?usp=sharing"",""สงขลา!J315"")"),0.0)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IFERROR(__xludf.DUMMYFUNCTION("IMPORTRANGE(""https://docs.google.com/spreadsheets/d/1IYY_tgx_IHuhSq3AJ5eI5OnqOPBNLWSHKh2a30DoXe8/edit?usp=sharing"",""สงขลา!I316"")"),40.0)</f>
        <v>40</v>
      </c>
      <c r="J421" s="425">
        <f>IFERROR(__xludf.DUMMYFUNCTION("IMPORTRANGE(""https://docs.google.com/spreadsheets/d/1IYY_tgx_IHuhSq3AJ5eI5OnqOPBNLWSHKh2a30DoXe8/edit?usp=sharing"",""สงขลา!J316"")"),0.0)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IFERROR(__xludf.DUMMYFUNCTION("IMPORTRANGE(""https://docs.google.com/spreadsheets/d/1IYY_tgx_IHuhSq3AJ5eI5OnqOPBNLWSHKh2a30DoXe8/edit?usp=sharing"",""สงขลา!I317"")"),120.0)</f>
        <v>120</v>
      </c>
      <c r="J422" s="426">
        <f>IFERROR(__xludf.DUMMYFUNCTION("IMPORTRANGE(""https://docs.google.com/spreadsheets/d/1IYY_tgx_IHuhSq3AJ5eI5OnqOPBNLWSHKh2a30DoXe8/edit?usp=sharing"",""สงขลา!J317"")"),0.0)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IFERROR(__xludf.DUMMYFUNCTION("IMPORTRANGE(""https://docs.google.com/spreadsheets/d/1IYY_tgx_IHuhSq3AJ5eI5OnqOPBNLWSHKh2a30DoXe8/edit?usp=sharing"",""สงขลา!I318"")"),40.0)</f>
        <v>40</v>
      </c>
      <c r="J423" s="427">
        <f>IFERROR(__xludf.DUMMYFUNCTION("IMPORTRANGE(""https://docs.google.com/spreadsheets/d/1IYY_tgx_IHuhSq3AJ5eI5OnqOPBNLWSHKh2a30DoXe8/edit?usp=sharing"",""สงขลา!J318"")"),0.0)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IFERROR(__xludf.DUMMYFUNCTION("IMPORTRANGE(""https://docs.google.com/spreadsheets/d/1IYY_tgx_IHuhSq3AJ5eI5OnqOPBNLWSHKh2a30DoXe8/edit?usp=sharing"",""สงขลา!I319"")"),40.0)</f>
        <v>40</v>
      </c>
      <c r="J424" s="427">
        <f>IFERROR(__xludf.DUMMYFUNCTION("IMPORTRANGE(""https://docs.google.com/spreadsheets/d/1IYY_tgx_IHuhSq3AJ5eI5OnqOPBNLWSHKh2a30DoXe8/edit?usp=sharing"",""สงขลา!J319"")"),0.0)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IFERROR(__xludf.DUMMYFUNCTION("IMPORTRANGE(""https://docs.google.com/spreadsheets/d/1IYY_tgx_IHuhSq3AJ5eI5OnqOPBNLWSHKh2a30DoXe8/edit?usp=sharing"",""สงขลา!I320"")"),40.0)</f>
        <v>40</v>
      </c>
      <c r="J425" s="427">
        <f>IFERROR(__xludf.DUMMYFUNCTION("IMPORTRANGE(""https://docs.google.com/spreadsheets/d/1IYY_tgx_IHuhSq3AJ5eI5OnqOPBNLWSHKh2a30DoXe8/edit?usp=sharing"",""สงขลา!J320"")"),0.0)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IFERROR(__xludf.DUMMYFUNCTION("IMPORTRANGE(""https://docs.google.com/spreadsheets/d/1IYY_tgx_IHuhSq3AJ5eI5OnqOPBNLWSHKh2a30DoXe8/edit?usp=sharing"",""สงขลา!I321"")"),10.0)</f>
        <v>10</v>
      </c>
      <c r="J426" s="425">
        <f>IFERROR(__xludf.DUMMYFUNCTION("IMPORTRANGE(""https://docs.google.com/spreadsheets/d/1IYY_tgx_IHuhSq3AJ5eI5OnqOPBNLWSHKh2a30DoXe8/edit?usp=sharing"",""สงขลา!J321"")"),0.0)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IFERROR(__xludf.DUMMYFUNCTION("IMPORTRANGE(""https://docs.google.com/spreadsheets/d/1IYY_tgx_IHuhSq3AJ5eI5OnqOPBNLWSHKh2a30DoXe8/edit?usp=sharing"",""สงขลา!I322"")"),30.0)</f>
        <v>30</v>
      </c>
      <c r="J427" s="426">
        <f>IFERROR(__xludf.DUMMYFUNCTION("IMPORTRANGE(""https://docs.google.com/spreadsheets/d/1IYY_tgx_IHuhSq3AJ5eI5OnqOPBNLWSHKh2a30DoXe8/edit?usp=sharing"",""สงขลา!J322"")"),0.0)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IFERROR(__xludf.DUMMYFUNCTION("IMPORTRANGE(""https://docs.google.com/spreadsheets/d/1IYY_tgx_IHuhSq3AJ5eI5OnqOPBNLWSHKh2a30DoXe8/edit?usp=sharing"",""สงขลา!I323"")"),10.0)</f>
        <v>10</v>
      </c>
      <c r="J428" s="427">
        <f>IFERROR(__xludf.DUMMYFUNCTION("IMPORTRANGE(""https://docs.google.com/spreadsheets/d/1IYY_tgx_IHuhSq3AJ5eI5OnqOPBNLWSHKh2a30DoXe8/edit?usp=sharing"",""สงขลา!J323"")"),0.0)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IFERROR(__xludf.DUMMYFUNCTION("IMPORTRANGE(""https://docs.google.com/spreadsheets/d/1IYY_tgx_IHuhSq3AJ5eI5OnqOPBNLWSHKh2a30DoXe8/edit?usp=sharing"",""สงขลา!I324"")"),10.0)</f>
        <v>10</v>
      </c>
      <c r="J429" s="427">
        <f>IFERROR(__xludf.DUMMYFUNCTION("IMPORTRANGE(""https://docs.google.com/spreadsheets/d/1IYY_tgx_IHuhSq3AJ5eI5OnqOPBNLWSHKh2a30DoXe8/edit?usp=sharing"",""สงขลา!J324"")"),0.0)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IFERROR(__xludf.DUMMYFUNCTION("IMPORTRANGE(""https://docs.google.com/spreadsheets/d/1IYY_tgx_IHuhSq3AJ5eI5OnqOPBNLWSHKh2a30DoXe8/edit?usp=sharing"",""สงขลา!I325"")"),40.0)</f>
        <v>40</v>
      </c>
      <c r="J430" s="425">
        <f>IFERROR(__xludf.DUMMYFUNCTION("IMPORTRANGE(""https://docs.google.com/spreadsheets/d/1IYY_tgx_IHuhSq3AJ5eI5OnqOPBNLWSHKh2a30DoXe8/edit?usp=sharing"",""สงขลา!J325"")"),0.0)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IFERROR(__xludf.DUMMYFUNCTION("IMPORTRANGE(""https://docs.google.com/spreadsheets/d/1IYY_tgx_IHuhSq3AJ5eI5OnqOPBNLWSHKh2a30DoXe8/edit?usp=sharing"",""สงขลา!I326"")"),0.0)</f>
        <v>0</v>
      </c>
      <c r="J431" s="427">
        <f>IFERROR(__xludf.DUMMYFUNCTION("IMPORTRANGE(""https://docs.google.com/spreadsheets/d/1IYY_tgx_IHuhSq3AJ5eI5OnqOPBNLWSHKh2a30DoXe8/edit?usp=sharing"",""สงขลา!J326"")"),0.0)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IFERROR(__xludf.DUMMYFUNCTION("IMPORTRANGE(""https://docs.google.com/spreadsheets/d/1IYY_tgx_IHuhSq3AJ5eI5OnqOPBNLWSHKh2a30DoXe8/edit?usp=sharing"",""สงขลา!I327"")"),40.0)</f>
        <v>40</v>
      </c>
      <c r="J432" s="427">
        <f>IFERROR(__xludf.DUMMYFUNCTION("IMPORTRANGE(""https://docs.google.com/spreadsheets/d/1IYY_tgx_IHuhSq3AJ5eI5OnqOPBNLWSHKh2a30DoXe8/edit?usp=sharing"",""สงขลา!J327"")"),0.0)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IFERROR(__xludf.DUMMYFUNCTION("IMPORTRANGE(""https://docs.google.com/spreadsheets/d/1IYY_tgx_IHuhSq3AJ5eI5OnqOPBNLWSHKh2a30DoXe8/edit?usp=sharing"",""สงขลา!J328"")"),0.0)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IFERROR(__xludf.DUMMYFUNCTION("IMPORTRANGE(""https://docs.google.com/spreadsheets/d/1IYY_tgx_IHuhSq3AJ5eI5OnqOPBNLWSHKh2a30DoXe8/edit?usp=sharing"",""สงขลา!J329"")"),0.0)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IFERROR(__xludf.DUMMYFUNCTION("IMPORTRANGE(""https://docs.google.com/spreadsheets/d/1IYY_tgx_IHuhSq3AJ5eI5OnqOPBNLWSHKh2a30DoXe8/edit?usp=sharing"",""สงขลา!I330"")"),15.0)</f>
        <v>15</v>
      </c>
      <c r="J435" s="443">
        <f>IFERROR(__xludf.DUMMYFUNCTION("IMPORTRANGE(""https://docs.google.com/spreadsheets/d/1IYY_tgx_IHuhSq3AJ5eI5OnqOPBNLWSHKh2a30DoXe8/edit?usp=sharing"",""สงขลา!J330"")"),0.0)</f>
        <v>0</v>
      </c>
      <c r="K435" s="444">
        <f>IF(I435&gt;0,J435*100/I435,0)</f>
        <v>0</v>
      </c>
      <c r="L435" s="445">
        <f>IFERROR(__xludf.DUMMYFUNCTION("IMPORTRANGE(""https://docs.google.com/spreadsheets/d/1IYY_tgx_IHuhSq3AJ5eI5OnqOPBNLWSHKh2a30DoXe8/edit?usp=sharing"",""สงขลา!L330"")"),83000.0)</f>
        <v>83000</v>
      </c>
      <c r="M435" s="445"/>
      <c r="N435" s="445">
        <f>IFERROR(__xludf.DUMMYFUNCTION("IMPORTRANGE(""https://docs.google.com/spreadsheets/d/1IYY_tgx_IHuhSq3AJ5eI5OnqOPBNLWSHKh2a30DoXe8/edit?usp=sharing"",""สงขลา!M330"")"),0.0)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IFERROR(__xludf.DUMMYFUNCTION("IMPORTRANGE(""https://docs.google.com/spreadsheets/d/1IYY_tgx_IHuhSq3AJ5eI5OnqOPBNLWSHKh2a30DoXe8/edit?usp=sharing"",""สงขลา!L331"")"),0.0)</f>
        <v>0</v>
      </c>
      <c r="M436" s="197"/>
      <c r="N436" s="203">
        <f>IFERROR(__xludf.DUMMYFUNCTION("IMPORTRANGE(""https://docs.google.com/spreadsheets/d/1IYY_tgx_IHuhSq3AJ5eI5OnqOPBNLWSHKh2a30DoXe8/edit?usp=sharing"",""สงขลา!M331"")"),0.0)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IFERROR(__xludf.DUMMYFUNCTION("IMPORTRANGE(""https://docs.google.com/spreadsheets/d/1IYY_tgx_IHuhSq3AJ5eI5OnqOPBNLWSHKh2a30DoXe8/edit?usp=sharing"",""สงขลา!L332"")"),83000.0)</f>
        <v>83000</v>
      </c>
      <c r="M437" s="198"/>
      <c r="N437" s="203">
        <f>IFERROR(__xludf.DUMMYFUNCTION("IMPORTRANGE(""https://docs.google.com/spreadsheets/d/1IYY_tgx_IHuhSq3AJ5eI5OnqOPBNLWSHKh2a30DoXe8/edit?usp=sharing"",""สงขลา!M332"")"),0.0)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IFERROR(__xludf.DUMMYFUNCTION("IMPORTRANGE(""https://docs.google.com/spreadsheets/d/1IYY_tgx_IHuhSq3AJ5eI5OnqOPBNLWSHKh2a30DoXe8/edit?usp=sharing"",""สงขลา!L333"")"),0.0)</f>
        <v>0</v>
      </c>
      <c r="M438" s="203"/>
      <c r="N438" s="203">
        <f>IFERROR(__xludf.DUMMYFUNCTION("IMPORTRANGE(""https://docs.google.com/spreadsheets/d/1IYY_tgx_IHuhSq3AJ5eI5OnqOPBNLWSHKh2a30DoXe8/edit?usp=sharing"",""สงขลา!M333"")"),0.0)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IFERROR(__xludf.DUMMYFUNCTION("IMPORTRANGE(""https://docs.google.com/spreadsheets/d/1IYY_tgx_IHuhSq3AJ5eI5OnqOPBNLWSHKh2a30DoXe8/edit?usp=sharing"",""สงขลา!L334"")"),83000.0)</f>
        <v>83000</v>
      </c>
      <c r="M439" s="203"/>
      <c r="N439" s="203">
        <f>IFERROR(__xludf.DUMMYFUNCTION("IMPORTRANGE(""https://docs.google.com/spreadsheets/d/1IYY_tgx_IHuhSq3AJ5eI5OnqOPBNLWSHKh2a30DoXe8/edit?usp=sharing"",""สงขลา!M334"")"),0.0)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IFERROR(__xludf.DUMMYFUNCTION("IMPORTRANGE(""https://docs.google.com/spreadsheets/d/1IYY_tgx_IHuhSq3AJ5eI5OnqOPBNLWSHKh2a30DoXe8/edit?usp=sharing"",""สงขลา!M335"")"),0.0)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IFERROR(__xludf.DUMMYFUNCTION("IMPORTRANGE(""https://docs.google.com/spreadsheets/d/1IYY_tgx_IHuhSq3AJ5eI5OnqOPBNLWSHKh2a30DoXe8/edit?usp=sharing"",""สงขลา!M336"")"),0.0)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IFERROR(__xludf.DUMMYFUNCTION("IMPORTRANGE(""https://docs.google.com/spreadsheets/d/1IYY_tgx_IHuhSq3AJ5eI5OnqOPBNLWSHKh2a30DoXe8/edit?usp=sharing"",""สงขลา!M337"")"),0.0)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IFERROR(__xludf.DUMMYFUNCTION("IMPORTRANGE(""https://docs.google.com/spreadsheets/d/1IYY_tgx_IHuhSq3AJ5eI5OnqOPBNLWSHKh2a30DoXe8/edit?usp=sharing"",""สงขลา!M338"")"),0.0)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IFERROR(__xludf.DUMMYFUNCTION("IMPORTRANGE(""https://docs.google.com/spreadsheets/d/1IYY_tgx_IHuhSq3AJ5eI5OnqOPBNLWSHKh2a30DoXe8/edit?usp=sharing"",""สงขลา!J340"")"),0.0)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IFERROR(__xludf.DUMMYFUNCTION("IMPORTRANGE(""https://docs.google.com/spreadsheets/d/1IYY_tgx_IHuhSq3AJ5eI5OnqOPBNLWSHKh2a30DoXe8/edit?usp=sharing"",""สงขลา!J341"")"),1.0)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IFERROR(__xludf.DUMMYFUNCTION("IMPORTRANGE(""https://docs.google.com/spreadsheets/d/1IYY_tgx_IHuhSq3AJ5eI5OnqOPBNLWSHKh2a30DoXe8/edit?usp=sharing"",""สงขลา!J342"")"),0.0)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IFERROR(__xludf.DUMMYFUNCTION("IMPORTRANGE(""https://docs.google.com/spreadsheets/d/1IYY_tgx_IHuhSq3AJ5eI5OnqOPBNLWSHKh2a30DoXe8/edit?usp=sharing"",""สงขลา!J343"")"),0.0)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IFERROR(__xludf.DUMMYFUNCTION("IMPORTRANGE(""https://docs.google.com/spreadsheets/d/1IYY_tgx_IHuhSq3AJ5eI5OnqOPBNLWSHKh2a30DoXe8/edit?usp=sharing"",""สงขลา!I344"")"),15.0)</f>
        <v>15</v>
      </c>
      <c r="J449" s="235">
        <f>IFERROR(__xludf.DUMMYFUNCTION("IMPORTRANGE(""https://docs.google.com/spreadsheets/d/1IYY_tgx_IHuhSq3AJ5eI5OnqOPBNLWSHKh2a30DoXe8/edit?usp=sharing"",""สงขลา!J344"")"),0.0)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IFERROR(__xludf.DUMMYFUNCTION("IMPORTRANGE(""https://docs.google.com/spreadsheets/d/1IYY_tgx_IHuhSq3AJ5eI5OnqOPBNLWSHKh2a30DoXe8/edit?usp=sharing"",""สงขลา!I345"")"),15.0)</f>
        <v>15</v>
      </c>
      <c r="J450" s="223">
        <f>IFERROR(__xludf.DUMMYFUNCTION("IMPORTRANGE(""https://docs.google.com/spreadsheets/d/1IYY_tgx_IHuhSq3AJ5eI5OnqOPBNLWSHKh2a30DoXe8/edit?usp=sharing"",""สงขลา!J345"")"),0.0)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IFERROR(__xludf.DUMMYFUNCTION("IMPORTRANGE(""https://docs.google.com/spreadsheets/d/1IYY_tgx_IHuhSq3AJ5eI5OnqOPBNLWSHKh2a30DoXe8/edit?usp=sharing"",""สงขลา!I346"")"),0.0)</f>
        <v>0</v>
      </c>
      <c r="J451" s="222">
        <f>IFERROR(__xludf.DUMMYFUNCTION("IMPORTRANGE(""https://docs.google.com/spreadsheets/d/1IYY_tgx_IHuhSq3AJ5eI5OnqOPBNLWSHKh2a30DoXe8/edit?usp=sharing"",""สงขลา!J346"")"),0.0)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IFERROR(__xludf.DUMMYFUNCTION("IMPORTRANGE(""https://docs.google.com/spreadsheets/d/1IYY_tgx_IHuhSq3AJ5eI5OnqOPBNLWSHKh2a30DoXe8/edit?usp=sharing"",""สงขลา!I347"")"),0.0)</f>
        <v>0</v>
      </c>
      <c r="J452" s="222">
        <f>IFERROR(__xludf.DUMMYFUNCTION("IMPORTRANGE(""https://docs.google.com/spreadsheets/d/1IYY_tgx_IHuhSq3AJ5eI5OnqOPBNLWSHKh2a30DoXe8/edit?usp=sharing"",""สงขลา!J347"")"),0.0)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IFERROR(__xludf.DUMMYFUNCTION("IMPORTRANGE(""https://docs.google.com/spreadsheets/d/1IYY_tgx_IHuhSq3AJ5eI5OnqOPBNLWSHKh2a30DoXe8/edit?usp=sharing"",""สงขลา!J348"")"),0.0)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IFERROR(__xludf.DUMMYFUNCTION("IMPORTRANGE(""https://docs.google.com/spreadsheets/d/1IYY_tgx_IHuhSq3AJ5eI5OnqOPBNLWSHKh2a30DoXe8/edit?usp=sharing"",""สงขลา!J349"")"),0.0)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IFERROR(__xludf.DUMMYFUNCTION("IMPORTRANGE(""https://docs.google.com/spreadsheets/d/1IYY_tgx_IHuhSq3AJ5eI5OnqOPBNLWSHKh2a30DoXe8/edit?usp=sharing"",""สงขลา!I350"")"),25890.0)</f>
        <v>25890</v>
      </c>
      <c r="J455" s="404">
        <f>IFERROR(__xludf.DUMMYFUNCTION("IMPORTRANGE(""https://docs.google.com/spreadsheets/d/1IYY_tgx_IHuhSq3AJ5eI5OnqOPBNLWSHKh2a30DoXe8/edit?usp=sharing"",""สงขลา!J350"")"),0.0)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IFERROR(__xludf.DUMMYFUNCTION("IMPORTRANGE(""https://docs.google.com/spreadsheets/d/1IYY_tgx_IHuhSq3AJ5eI5OnqOPBNLWSHKh2a30DoXe8/edit?usp=sharing"",""สงขลา!L350"")"),189614.0)</f>
        <v>189614</v>
      </c>
      <c r="M455" s="406"/>
      <c r="N455" s="406">
        <f>IFERROR(__xludf.DUMMYFUNCTION("IMPORTRANGE(""https://docs.google.com/spreadsheets/d/1IYY_tgx_IHuhSq3AJ5eI5OnqOPBNLWSHKh2a30DoXe8/edit?usp=sharing"",""สงขลา!M350"")"),1580.0)</f>
        <v>1580</v>
      </c>
      <c r="O455" s="406">
        <f t="shared" ref="O455:O459" si="117">+IF(L455&gt;0,N455*100/L455,0)</f>
        <v>0.8332718048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IFERROR(__xludf.DUMMYFUNCTION("IMPORTRANGE(""https://docs.google.com/spreadsheets/d/1IYY_tgx_IHuhSq3AJ5eI5OnqOPBNLWSHKh2a30DoXe8/edit?usp=sharing"",""สงขลา!L351"")"),0.0)</f>
        <v>0</v>
      </c>
      <c r="M456" s="197"/>
      <c r="N456" s="203">
        <f>IFERROR(__xludf.DUMMYFUNCTION("IMPORTRANGE(""https://docs.google.com/spreadsheets/d/1IYY_tgx_IHuhSq3AJ5eI5OnqOPBNLWSHKh2a30DoXe8/edit?usp=sharing"",""สงขลา!M351"")"),0.0)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IFERROR(__xludf.DUMMYFUNCTION("IMPORTRANGE(""https://docs.google.com/spreadsheets/d/1IYY_tgx_IHuhSq3AJ5eI5OnqOPBNLWSHKh2a30DoXe8/edit?usp=sharing"",""สงขลา!L352"")"),189614.0)</f>
        <v>189614</v>
      </c>
      <c r="M457" s="198"/>
      <c r="N457" s="203">
        <f>IFERROR(__xludf.DUMMYFUNCTION("IMPORTRANGE(""https://docs.google.com/spreadsheets/d/1IYY_tgx_IHuhSq3AJ5eI5OnqOPBNLWSHKh2a30DoXe8/edit?usp=sharing"",""สงขลา!M352"")"),1580.0)</f>
        <v>1580</v>
      </c>
      <c r="O457" s="203">
        <f t="shared" si="117"/>
        <v>0.8332718048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IFERROR(__xludf.DUMMYFUNCTION("IMPORTRANGE(""https://docs.google.com/spreadsheets/d/1IYY_tgx_IHuhSq3AJ5eI5OnqOPBNLWSHKh2a30DoXe8/edit?usp=sharing"",""สงขลา!L353"")"),0.0)</f>
        <v>0</v>
      </c>
      <c r="M458" s="203"/>
      <c r="N458" s="203">
        <f>IFERROR(__xludf.DUMMYFUNCTION("IMPORTRANGE(""https://docs.google.com/spreadsheets/d/1IYY_tgx_IHuhSq3AJ5eI5OnqOPBNLWSHKh2a30DoXe8/edit?usp=sharing"",""สงขลา!M353"")"),0.0)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IFERROR(__xludf.DUMMYFUNCTION("IMPORTRANGE(""https://docs.google.com/spreadsheets/d/1IYY_tgx_IHuhSq3AJ5eI5OnqOPBNLWSHKh2a30DoXe8/edit?usp=sharing"",""สงขลา!L354"")"),189614.0)</f>
        <v>189614</v>
      </c>
      <c r="M459" s="203"/>
      <c r="N459" s="203">
        <f>IFERROR(__xludf.DUMMYFUNCTION("IMPORTRANGE(""https://docs.google.com/spreadsheets/d/1IYY_tgx_IHuhSq3AJ5eI5OnqOPBNLWSHKh2a30DoXe8/edit?usp=sharing"",""สงขลา!M354"")"),1580.0)</f>
        <v>1580</v>
      </c>
      <c r="O459" s="203">
        <f t="shared" si="117"/>
        <v>0.8332718048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IFERROR(__xludf.DUMMYFUNCTION("IMPORTRANGE(""https://docs.google.com/spreadsheets/d/1IYY_tgx_IHuhSq3AJ5eI5OnqOPBNLWSHKh2a30DoXe8/edit?usp=sharing"",""สงขลา!M355"")"),0.0)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IFERROR(__xludf.DUMMYFUNCTION("IMPORTRANGE(""https://docs.google.com/spreadsheets/d/1IYY_tgx_IHuhSq3AJ5eI5OnqOPBNLWSHKh2a30DoXe8/edit?usp=sharing"",""สงขลา!M356"")"),0.0)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IFERROR(__xludf.DUMMYFUNCTION("IMPORTRANGE(""https://docs.google.com/spreadsheets/d/1IYY_tgx_IHuhSq3AJ5eI5OnqOPBNLWSHKh2a30DoXe8/edit?usp=sharing"",""สงขลา!M357"")"),0.0)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IFERROR(__xludf.DUMMYFUNCTION("IMPORTRANGE(""https://docs.google.com/spreadsheets/d/1IYY_tgx_IHuhSq3AJ5eI5OnqOPBNLWSHKh2a30DoXe8/edit?usp=sharing"",""สงขลา!M358"")"),1580.0)</f>
        <v>1580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IFERROR(__xludf.DUMMYFUNCTION("IMPORTRANGE(""https://docs.google.com/spreadsheets/d/1IYY_tgx_IHuhSq3AJ5eI5OnqOPBNLWSHKh2a30DoXe8/edit?usp=sharing"",""สงขลา!I359"")"),25890.0)</f>
        <v>25890</v>
      </c>
      <c r="J464" s="301">
        <f>IFERROR(__xludf.DUMMYFUNCTION("IMPORTRANGE(""https://docs.google.com/spreadsheets/d/1IYY_tgx_IHuhSq3AJ5eI5OnqOPBNLWSHKh2a30DoXe8/edit?usp=sharing"",""สงขลา!J359"")"),0.0)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IFERROR(__xludf.DUMMYFUNCTION("IMPORTRANGE(""https://docs.google.com/spreadsheets/d/1IYY_tgx_IHuhSq3AJ5eI5OnqOPBNLWSHKh2a30DoXe8/edit?usp=sharing"",""สงขลา!I360"")"),25890.0)</f>
        <v>25890</v>
      </c>
      <c r="J465" s="453">
        <f>IFERROR(__xludf.DUMMYFUNCTION("IMPORTRANGE(""https://docs.google.com/spreadsheets/d/1IYY_tgx_IHuhSq3AJ5eI5OnqOPBNLWSHKh2a30DoXe8/edit?usp=sharing"",""สงขลา!J360"")"),23972.0)</f>
        <v>23972</v>
      </c>
      <c r="K465" s="236">
        <f t="shared" si="118"/>
        <v>92.59173426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IFERROR(__xludf.DUMMYFUNCTION("IMPORTRANGE(""https://docs.google.com/spreadsheets/d/1IYY_tgx_IHuhSq3AJ5eI5OnqOPBNLWSHKh2a30DoXe8/edit?usp=sharing"",""สงขลา!I361"")"),3251.0)</f>
        <v>3251</v>
      </c>
      <c r="J466" s="453">
        <f>IFERROR(__xludf.DUMMYFUNCTION("IMPORTRANGE(""https://docs.google.com/spreadsheets/d/1IYY_tgx_IHuhSq3AJ5eI5OnqOPBNLWSHKh2a30DoXe8/edit?usp=sharing"",""สงขลา!J361"")"),2628.0)</f>
        <v>2628</v>
      </c>
      <c r="K466" s="236">
        <f t="shared" si="118"/>
        <v>80.83666564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IFERROR(__xludf.DUMMYFUNCTION("IMPORTRANGE(""https://docs.google.com/spreadsheets/d/1IYY_tgx_IHuhSq3AJ5eI5OnqOPBNLWSHKh2a30DoXe8/edit?usp=sharing"",""สงขลา!I362"")"),0.0)</f>
        <v>0</v>
      </c>
      <c r="J467" s="223">
        <f>IFERROR(__xludf.DUMMYFUNCTION("IMPORTRANGE(""https://docs.google.com/spreadsheets/d/1IYY_tgx_IHuhSq3AJ5eI5OnqOPBNLWSHKh2a30DoXe8/edit?usp=sharing"",""สงขลา!J362"")"),22642.0)</f>
        <v>22642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IFERROR(__xludf.DUMMYFUNCTION("IMPORTRANGE(""https://docs.google.com/spreadsheets/d/1IYY_tgx_IHuhSq3AJ5eI5OnqOPBNLWSHKh2a30DoXe8/edit?usp=sharing"",""สงขลา!I363"")"),0.0)</f>
        <v>0</v>
      </c>
      <c r="J468" s="223">
        <f>IFERROR(__xludf.DUMMYFUNCTION("IMPORTRANGE(""https://docs.google.com/spreadsheets/d/1IYY_tgx_IHuhSq3AJ5eI5OnqOPBNLWSHKh2a30DoXe8/edit?usp=sharing"",""สงขลา!J363"")"),2516.0)</f>
        <v>2516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IFERROR(__xludf.DUMMYFUNCTION("IMPORTRANGE(""https://docs.google.com/spreadsheets/d/1IYY_tgx_IHuhSq3AJ5eI5OnqOPBNLWSHKh2a30DoXe8/edit?usp=sharing"",""สงขลา!I364"")"),0.0)</f>
        <v>0</v>
      </c>
      <c r="J469" s="223">
        <f>IFERROR(__xludf.DUMMYFUNCTION("IMPORTRANGE(""https://docs.google.com/spreadsheets/d/1IYY_tgx_IHuhSq3AJ5eI5OnqOPBNLWSHKh2a30DoXe8/edit?usp=sharing"",""สงขลา!J364"")"),668.0)</f>
        <v>668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IFERROR(__xludf.DUMMYFUNCTION("IMPORTRANGE(""https://docs.google.com/spreadsheets/d/1IYY_tgx_IHuhSq3AJ5eI5OnqOPBNLWSHKh2a30DoXe8/edit?usp=sharing"",""สงขลา!I365"")"),0.0)</f>
        <v>0</v>
      </c>
      <c r="J470" s="223">
        <f>IFERROR(__xludf.DUMMYFUNCTION("IMPORTRANGE(""https://docs.google.com/spreadsheets/d/1IYY_tgx_IHuhSq3AJ5eI5OnqOPBNLWSHKh2a30DoXe8/edit?usp=sharing"",""สงขลา!J365"")"),56.0)</f>
        <v>56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IFERROR(__xludf.DUMMYFUNCTION("IMPORTRANGE(""https://docs.google.com/spreadsheets/d/1IYY_tgx_IHuhSq3AJ5eI5OnqOPBNLWSHKh2a30DoXe8/edit?usp=sharing"",""สงขลา!I366"")"),0.0)</f>
        <v>0</v>
      </c>
      <c r="J471" s="223">
        <f>IFERROR(__xludf.DUMMYFUNCTION("IMPORTRANGE(""https://docs.google.com/spreadsheets/d/1IYY_tgx_IHuhSq3AJ5eI5OnqOPBNLWSHKh2a30DoXe8/edit?usp=sharing"",""สงขลา!J366"")"),662.0)</f>
        <v>662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IFERROR(__xludf.DUMMYFUNCTION("IMPORTRANGE(""https://docs.google.com/spreadsheets/d/1IYY_tgx_IHuhSq3AJ5eI5OnqOPBNLWSHKh2a30DoXe8/edit?usp=sharing"",""สงขลา!I367"")"),0.0)</f>
        <v>0</v>
      </c>
      <c r="J472" s="223">
        <f>IFERROR(__xludf.DUMMYFUNCTION("IMPORTRANGE(""https://docs.google.com/spreadsheets/d/1IYY_tgx_IHuhSq3AJ5eI5OnqOPBNLWSHKh2a30DoXe8/edit?usp=sharing"",""สงขลา!J367"")"),56.0)</f>
        <v>56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IFERROR(__xludf.DUMMYFUNCTION("IMPORTRANGE(""https://docs.google.com/spreadsheets/d/1IYY_tgx_IHuhSq3AJ5eI5OnqOPBNLWSHKh2a30DoXe8/edit?usp=sharing"",""สงขลา!I368"")"),25890.0)</f>
        <v>25890</v>
      </c>
      <c r="J473" s="453">
        <f>IFERROR(__xludf.DUMMYFUNCTION("IMPORTRANGE(""https://docs.google.com/spreadsheets/d/1IYY_tgx_IHuhSq3AJ5eI5OnqOPBNLWSHKh2a30DoXe8/edit?usp=sharing"",""สงขลา!J368"")"),0.0)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IFERROR(__xludf.DUMMYFUNCTION("IMPORTRANGE(""https://docs.google.com/spreadsheets/d/1IYY_tgx_IHuhSq3AJ5eI5OnqOPBNLWSHKh2a30DoXe8/edit?usp=sharing"",""สงขลา!I369"")"),3251.0)</f>
        <v>3251</v>
      </c>
      <c r="J474" s="453">
        <f>IFERROR(__xludf.DUMMYFUNCTION("IMPORTRANGE(""https://docs.google.com/spreadsheets/d/1IYY_tgx_IHuhSq3AJ5eI5OnqOPBNLWSHKh2a30DoXe8/edit?usp=sharing"",""สงขลา!J369"")"),0.0)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IFERROR(__xludf.DUMMYFUNCTION("IMPORTRANGE(""https://docs.google.com/spreadsheets/d/1IYY_tgx_IHuhSq3AJ5eI5OnqOPBNLWSHKh2a30DoXe8/edit?usp=sharing"",""สงขลา!I370"")"),0.0)</f>
        <v>0</v>
      </c>
      <c r="J475" s="223">
        <f>IFERROR(__xludf.DUMMYFUNCTION("IMPORTRANGE(""https://docs.google.com/spreadsheets/d/1IYY_tgx_IHuhSq3AJ5eI5OnqOPBNLWSHKh2a30DoXe8/edit?usp=sharing"",""สงขลา!J370"")"),0.0)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IFERROR(__xludf.DUMMYFUNCTION("IMPORTRANGE(""https://docs.google.com/spreadsheets/d/1IYY_tgx_IHuhSq3AJ5eI5OnqOPBNLWSHKh2a30DoXe8/edit?usp=sharing"",""สงขลา!I371"")"),0.0)</f>
        <v>0</v>
      </c>
      <c r="J476" s="223">
        <f>IFERROR(__xludf.DUMMYFUNCTION("IMPORTRANGE(""https://docs.google.com/spreadsheets/d/1IYY_tgx_IHuhSq3AJ5eI5OnqOPBNLWSHKh2a30DoXe8/edit?usp=sharing"",""สงขลา!J371"")"),0.0)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IFERROR(__xludf.DUMMYFUNCTION("IMPORTRANGE(""https://docs.google.com/spreadsheets/d/1IYY_tgx_IHuhSq3AJ5eI5OnqOPBNLWSHKh2a30DoXe8/edit?usp=sharing"",""สงขลา!I372"")"),0.0)</f>
        <v>0</v>
      </c>
      <c r="J477" s="223">
        <f>IFERROR(__xludf.DUMMYFUNCTION("IMPORTRANGE(""https://docs.google.com/spreadsheets/d/1IYY_tgx_IHuhSq3AJ5eI5OnqOPBNLWSHKh2a30DoXe8/edit?usp=sharing"",""สงขลา!J372"")"),0.0)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IFERROR(__xludf.DUMMYFUNCTION("IMPORTRANGE(""https://docs.google.com/spreadsheets/d/1IYY_tgx_IHuhSq3AJ5eI5OnqOPBNLWSHKh2a30DoXe8/edit?usp=sharing"",""สงขลา!I373"")"),0.0)</f>
        <v>0</v>
      </c>
      <c r="J478" s="223">
        <f>IFERROR(__xludf.DUMMYFUNCTION("IMPORTRANGE(""https://docs.google.com/spreadsheets/d/1IYY_tgx_IHuhSq3AJ5eI5OnqOPBNLWSHKh2a30DoXe8/edit?usp=sharing"",""สงขลา!J373"")"),0.0)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IFERROR(__xludf.DUMMYFUNCTION("IMPORTRANGE(""https://docs.google.com/spreadsheets/d/1IYY_tgx_IHuhSq3AJ5eI5OnqOPBNLWSHKh2a30DoXe8/edit?usp=sharing"",""สงขลา!I374"")"),0.0)</f>
        <v>0</v>
      </c>
      <c r="J479" s="223">
        <f>IFERROR(__xludf.DUMMYFUNCTION("IMPORTRANGE(""https://docs.google.com/spreadsheets/d/1IYY_tgx_IHuhSq3AJ5eI5OnqOPBNLWSHKh2a30DoXe8/edit?usp=sharing"",""สงขลา!J374"")"),0.0)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IFERROR(__xludf.DUMMYFUNCTION("IMPORTRANGE(""https://docs.google.com/spreadsheets/d/1IYY_tgx_IHuhSq3AJ5eI5OnqOPBNLWSHKh2a30DoXe8/edit?usp=sharing"",""สงขลา!I375"")"),0.0)</f>
        <v>0</v>
      </c>
      <c r="J480" s="223">
        <f>IFERROR(__xludf.DUMMYFUNCTION("IMPORTRANGE(""https://docs.google.com/spreadsheets/d/1IYY_tgx_IHuhSq3AJ5eI5OnqOPBNLWSHKh2a30DoXe8/edit?usp=sharing"",""สงขลา!J375"")"),0.0)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IFERROR(__xludf.DUMMYFUNCTION("IMPORTRANGE(""https://docs.google.com/spreadsheets/d/1IYY_tgx_IHuhSq3AJ5eI5OnqOPBNLWSHKh2a30DoXe8/edit?usp=sharing"",""สงขลา!I376"")"),25890.0)</f>
        <v>25890</v>
      </c>
      <c r="J481" s="453">
        <f>IFERROR(__xludf.DUMMYFUNCTION("IMPORTRANGE(""https://docs.google.com/spreadsheets/d/1IYY_tgx_IHuhSq3AJ5eI5OnqOPBNLWSHKh2a30DoXe8/edit?usp=sharing"",""สงขลา!J376"")"),0.0)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IFERROR(__xludf.DUMMYFUNCTION("IMPORTRANGE(""https://docs.google.com/spreadsheets/d/1IYY_tgx_IHuhSq3AJ5eI5OnqOPBNLWSHKh2a30DoXe8/edit?usp=sharing"",""สงขลา!I377"")"),3251.0)</f>
        <v>3251</v>
      </c>
      <c r="J482" s="453">
        <f>IFERROR(__xludf.DUMMYFUNCTION("IMPORTRANGE(""https://docs.google.com/spreadsheets/d/1IYY_tgx_IHuhSq3AJ5eI5OnqOPBNLWSHKh2a30DoXe8/edit?usp=sharing"",""สงขลา!J377"")"),0.0)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IFERROR(__xludf.DUMMYFUNCTION("IMPORTRANGE(""https://docs.google.com/spreadsheets/d/1IYY_tgx_IHuhSq3AJ5eI5OnqOPBNLWSHKh2a30DoXe8/edit?usp=sharing"",""สงขลา!I378"")"),0.0)</f>
        <v>0</v>
      </c>
      <c r="J483" s="223">
        <f>IFERROR(__xludf.DUMMYFUNCTION("IMPORTRANGE(""https://docs.google.com/spreadsheets/d/1IYY_tgx_IHuhSq3AJ5eI5OnqOPBNLWSHKh2a30DoXe8/edit?usp=sharing"",""สงขลา!J378"")"),0.0)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IFERROR(__xludf.DUMMYFUNCTION("IMPORTRANGE(""https://docs.google.com/spreadsheets/d/1IYY_tgx_IHuhSq3AJ5eI5OnqOPBNLWSHKh2a30DoXe8/edit?usp=sharing"",""สงขลา!I379"")"),0.0)</f>
        <v>0</v>
      </c>
      <c r="J484" s="223">
        <f>IFERROR(__xludf.DUMMYFUNCTION("IMPORTRANGE(""https://docs.google.com/spreadsheets/d/1IYY_tgx_IHuhSq3AJ5eI5OnqOPBNLWSHKh2a30DoXe8/edit?usp=sharing"",""สงขลา!J379"")"),0.0)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IFERROR(__xludf.DUMMYFUNCTION("IMPORTRANGE(""https://docs.google.com/spreadsheets/d/1IYY_tgx_IHuhSq3AJ5eI5OnqOPBNLWSHKh2a30DoXe8/edit?usp=sharing"",""สงขลา!I380"")"),0.0)</f>
        <v>0</v>
      </c>
      <c r="J485" s="223">
        <f>IFERROR(__xludf.DUMMYFUNCTION("IMPORTRANGE(""https://docs.google.com/spreadsheets/d/1IYY_tgx_IHuhSq3AJ5eI5OnqOPBNLWSHKh2a30DoXe8/edit?usp=sharing"",""สงขลา!J380"")"),0.0)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IFERROR(__xludf.DUMMYFUNCTION("IMPORTRANGE(""https://docs.google.com/spreadsheets/d/1IYY_tgx_IHuhSq3AJ5eI5OnqOPBNLWSHKh2a30DoXe8/edit?usp=sharing"",""สงขลา!I381"")"),0.0)</f>
        <v>0</v>
      </c>
      <c r="J486" s="223">
        <f>IFERROR(__xludf.DUMMYFUNCTION("IMPORTRANGE(""https://docs.google.com/spreadsheets/d/1IYY_tgx_IHuhSq3AJ5eI5OnqOPBNLWSHKh2a30DoXe8/edit?usp=sharing"",""สงขลา!J381"")"),0.0)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IFERROR(__xludf.DUMMYFUNCTION("IMPORTRANGE(""https://docs.google.com/spreadsheets/d/1IYY_tgx_IHuhSq3AJ5eI5OnqOPBNLWSHKh2a30DoXe8/edit?usp=sharing"",""สงขลา!I382"")"),0.0)</f>
        <v>0</v>
      </c>
      <c r="J487" s="453">
        <f>IFERROR(__xludf.DUMMYFUNCTION("IMPORTRANGE(""https://docs.google.com/spreadsheets/d/1IYY_tgx_IHuhSq3AJ5eI5OnqOPBNLWSHKh2a30DoXe8/edit?usp=sharing"",""สงขลา!J382"")"),0.0)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IFERROR(__xludf.DUMMYFUNCTION("IMPORTRANGE(""https://docs.google.com/spreadsheets/d/1IYY_tgx_IHuhSq3AJ5eI5OnqOPBNLWSHKh2a30DoXe8/edit?usp=sharing"",""สงขลา!I383"")"),0.0)</f>
        <v>0</v>
      </c>
      <c r="J488" s="453">
        <f>IFERROR(__xludf.DUMMYFUNCTION("IMPORTRANGE(""https://docs.google.com/spreadsheets/d/1IYY_tgx_IHuhSq3AJ5eI5OnqOPBNLWSHKh2a30DoXe8/edit?usp=sharing"",""สงขลา!J383"")"),0.0)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IFERROR(__xludf.DUMMYFUNCTION("IMPORTRANGE(""https://docs.google.com/spreadsheets/d/1IYY_tgx_IHuhSq3AJ5eI5OnqOPBNLWSHKh2a30DoXe8/edit?usp=sharing"",""สงขลา!I384"")"),0.0)</f>
        <v>0</v>
      </c>
      <c r="J489" s="223">
        <f>IFERROR(__xludf.DUMMYFUNCTION("IMPORTRANGE(""https://docs.google.com/spreadsheets/d/1IYY_tgx_IHuhSq3AJ5eI5OnqOPBNLWSHKh2a30DoXe8/edit?usp=sharing"",""สงขลา!J384"")"),0.0)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IFERROR(__xludf.DUMMYFUNCTION("IMPORTRANGE(""https://docs.google.com/spreadsheets/d/1IYY_tgx_IHuhSq3AJ5eI5OnqOPBNLWSHKh2a30DoXe8/edit?usp=sharing"",""สงขลา!I385"")"),0.0)</f>
        <v>0</v>
      </c>
      <c r="J490" s="223">
        <f>IFERROR(__xludf.DUMMYFUNCTION("IMPORTRANGE(""https://docs.google.com/spreadsheets/d/1IYY_tgx_IHuhSq3AJ5eI5OnqOPBNLWSHKh2a30DoXe8/edit?usp=sharing"",""สงขลา!J385"")"),0.0)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IFERROR(__xludf.DUMMYFUNCTION("IMPORTRANGE(""https://docs.google.com/spreadsheets/d/1IYY_tgx_IHuhSq3AJ5eI5OnqOPBNLWSHKh2a30DoXe8/edit?usp=sharing"",""สงขลา!I386"")"),0.0)</f>
        <v>0</v>
      </c>
      <c r="J491" s="223">
        <f>IFERROR(__xludf.DUMMYFUNCTION("IMPORTRANGE(""https://docs.google.com/spreadsheets/d/1IYY_tgx_IHuhSq3AJ5eI5OnqOPBNLWSHKh2a30DoXe8/edit?usp=sharing"",""สงขลา!J386"")"),0.0)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IFERROR(__xludf.DUMMYFUNCTION("IMPORTRANGE(""https://docs.google.com/spreadsheets/d/1IYY_tgx_IHuhSq3AJ5eI5OnqOPBNLWSHKh2a30DoXe8/edit?usp=sharing"",""สงขลา!I387"")"),0.0)</f>
        <v>0</v>
      </c>
      <c r="J492" s="223">
        <f>IFERROR(__xludf.DUMMYFUNCTION("IMPORTRANGE(""https://docs.google.com/spreadsheets/d/1IYY_tgx_IHuhSq3AJ5eI5OnqOPBNLWSHKh2a30DoXe8/edit?usp=sharing"",""สงขลา!J387"")"),0.0)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IFERROR(__xludf.DUMMYFUNCTION("IMPORTRANGE(""https://docs.google.com/spreadsheets/d/1IYY_tgx_IHuhSq3AJ5eI5OnqOPBNLWSHKh2a30DoXe8/edit?usp=sharing"",""สงขลา!I388"")"),0.0)</f>
        <v>0</v>
      </c>
      <c r="J493" s="223">
        <f>IFERROR(__xludf.DUMMYFUNCTION("IMPORTRANGE(""https://docs.google.com/spreadsheets/d/1IYY_tgx_IHuhSq3AJ5eI5OnqOPBNLWSHKh2a30DoXe8/edit?usp=sharing"",""สงขลา!J388"")"),0.0)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IFERROR(__xludf.DUMMYFUNCTION("IMPORTRANGE(""https://docs.google.com/spreadsheets/d/1IYY_tgx_IHuhSq3AJ5eI5OnqOPBNLWSHKh2a30DoXe8/edit?usp=sharing"",""สงขลา!I389"")"),0.0)</f>
        <v>0</v>
      </c>
      <c r="J494" s="469">
        <f>IFERROR(__xludf.DUMMYFUNCTION("IMPORTRANGE(""https://docs.google.com/spreadsheets/d/1IYY_tgx_IHuhSq3AJ5eI5OnqOPBNLWSHKh2a30DoXe8/edit?usp=sharing"",""สงขลา!J389"")"),0.0)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IFERROR(__xludf.DUMMYFUNCTION("IMPORTRANGE(""https://docs.google.com/spreadsheets/d/1IYY_tgx_IHuhSq3AJ5eI5OnqOPBNLWSHKh2a30DoXe8/edit?usp=sharing"",""สงขลา!I390"")"),0.0)</f>
        <v>0</v>
      </c>
      <c r="J495" s="469">
        <f>IFERROR(__xludf.DUMMYFUNCTION("IMPORTRANGE(""https://docs.google.com/spreadsheets/d/1IYY_tgx_IHuhSq3AJ5eI5OnqOPBNLWSHKh2a30DoXe8/edit?usp=sharing"",""สงขลา!J390"")"),0.0)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IFERROR(__xludf.DUMMYFUNCTION("IMPORTRANGE(""https://docs.google.com/spreadsheets/d/1IYY_tgx_IHuhSq3AJ5eI5OnqOPBNLWSHKh2a30DoXe8/edit?usp=sharing"",""สงขลา!I391"")"),0.0)</f>
        <v>0</v>
      </c>
      <c r="J496" s="469">
        <f>IFERROR(__xludf.DUMMYFUNCTION("IMPORTRANGE(""https://docs.google.com/spreadsheets/d/1IYY_tgx_IHuhSq3AJ5eI5OnqOPBNLWSHKh2a30DoXe8/edit?usp=sharing"",""สงขลา!J391"")"),0.0)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IFERROR(__xludf.DUMMYFUNCTION("IMPORTRANGE(""https://docs.google.com/spreadsheets/d/1IYY_tgx_IHuhSq3AJ5eI5OnqOPBNLWSHKh2a30DoXe8/edit?usp=sharing"",""สงขลา!I392"")"),292.0)</f>
        <v>292</v>
      </c>
      <c r="J497" s="476">
        <f>IFERROR(__xludf.DUMMYFUNCTION("IMPORTRANGE(""https://docs.google.com/spreadsheets/d/1IYY_tgx_IHuhSq3AJ5eI5OnqOPBNLWSHKh2a30DoXe8/edit?usp=sharing"",""สงขลา!J392"")"),174.0)</f>
        <v>174</v>
      </c>
      <c r="K497" s="477">
        <f t="shared" si="118"/>
        <v>59.5890411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IFERROR(__xludf.DUMMYFUNCTION("IMPORTRANGE(""https://docs.google.com/spreadsheets/d/1IYY_tgx_IHuhSq3AJ5eI5OnqOPBNLWSHKh2a30DoXe8/edit?usp=sharing"",""สงขลา!I393"")"),292.0)</f>
        <v>292</v>
      </c>
      <c r="J498" s="453">
        <f>IFERROR(__xludf.DUMMYFUNCTION("IMPORTRANGE(""https://docs.google.com/spreadsheets/d/1IYY_tgx_IHuhSq3AJ5eI5OnqOPBNLWSHKh2a30DoXe8/edit?usp=sharing"",""สงขลา!J393"")"),174.0)</f>
        <v>174</v>
      </c>
      <c r="K498" s="196">
        <f t="shared" si="118"/>
        <v>59.5890411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IFERROR(__xludf.DUMMYFUNCTION("IMPORTRANGE(""https://docs.google.com/spreadsheets/d/1IYY_tgx_IHuhSq3AJ5eI5OnqOPBNLWSHKh2a30DoXe8/edit?usp=sharing"",""สงขลา!I394"")"),26.0)</f>
        <v>26</v>
      </c>
      <c r="J499" s="453">
        <f>IFERROR(__xludf.DUMMYFUNCTION("IMPORTRANGE(""https://docs.google.com/spreadsheets/d/1IYY_tgx_IHuhSq3AJ5eI5OnqOPBNLWSHKh2a30DoXe8/edit?usp=sharing"",""สงขลา!J394"")"),16.0)</f>
        <v>16</v>
      </c>
      <c r="K499" s="236">
        <f t="shared" si="118"/>
        <v>61.53846154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IFERROR(__xludf.DUMMYFUNCTION("IMPORTRANGE(""https://docs.google.com/spreadsheets/d/1IYY_tgx_IHuhSq3AJ5eI5OnqOPBNLWSHKh2a30DoXe8/edit?usp=sharing"",""สงขลา!I395"")"),0.0)</f>
        <v>0</v>
      </c>
      <c r="J500" s="195">
        <f>IFERROR(__xludf.DUMMYFUNCTION("IMPORTRANGE(""https://docs.google.com/spreadsheets/d/1IYY_tgx_IHuhSq3AJ5eI5OnqOPBNLWSHKh2a30DoXe8/edit?usp=sharing"",""สงขลา!J395"")"),156.0)</f>
        <v>156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IFERROR(__xludf.DUMMYFUNCTION("IMPORTRANGE(""https://docs.google.com/spreadsheets/d/1IYY_tgx_IHuhSq3AJ5eI5OnqOPBNLWSHKh2a30DoXe8/edit?usp=sharing"",""สงขลา!I396"")"),0.0)</f>
        <v>0</v>
      </c>
      <c r="J501" s="195">
        <f>IFERROR(__xludf.DUMMYFUNCTION("IMPORTRANGE(""https://docs.google.com/spreadsheets/d/1IYY_tgx_IHuhSq3AJ5eI5OnqOPBNLWSHKh2a30DoXe8/edit?usp=sharing"",""สงขลา!J396"")"),13.0)</f>
        <v>13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IFERROR(__xludf.DUMMYFUNCTION("IMPORTRANGE(""https://docs.google.com/spreadsheets/d/1IYY_tgx_IHuhSq3AJ5eI5OnqOPBNLWSHKh2a30DoXe8/edit?usp=sharing"",""สงขลา!I397"")"),0.0)</f>
        <v>0</v>
      </c>
      <c r="J502" s="223">
        <f>IFERROR(__xludf.DUMMYFUNCTION("IMPORTRANGE(""https://docs.google.com/spreadsheets/d/1IYY_tgx_IHuhSq3AJ5eI5OnqOPBNLWSHKh2a30DoXe8/edit?usp=sharing"",""สงขลา!J397"")"),156.0)</f>
        <v>156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IFERROR(__xludf.DUMMYFUNCTION("IMPORTRANGE(""https://docs.google.com/spreadsheets/d/1IYY_tgx_IHuhSq3AJ5eI5OnqOPBNLWSHKh2a30DoXe8/edit?usp=sharing"",""สงขลา!I398"")"),0.0)</f>
        <v>0</v>
      </c>
      <c r="J503" s="232">
        <f>IFERROR(__xludf.DUMMYFUNCTION("IMPORTRANGE(""https://docs.google.com/spreadsheets/d/1IYY_tgx_IHuhSq3AJ5eI5OnqOPBNLWSHKh2a30DoXe8/edit?usp=sharing"",""สงขลา!J398"")"),13.0)</f>
        <v>13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IFERROR(__xludf.DUMMYFUNCTION("IMPORTRANGE(""https://docs.google.com/spreadsheets/d/1IYY_tgx_IHuhSq3AJ5eI5OnqOPBNLWSHKh2a30DoXe8/edit?usp=sharing"",""สงขลา!I399"")"),0.0)</f>
        <v>0</v>
      </c>
      <c r="J504" s="223">
        <f>IFERROR(__xludf.DUMMYFUNCTION("IMPORTRANGE(""https://docs.google.com/spreadsheets/d/1IYY_tgx_IHuhSq3AJ5eI5OnqOPBNLWSHKh2a30DoXe8/edit?usp=sharing"",""สงขลา!J399"")"),0.0)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IFERROR(__xludf.DUMMYFUNCTION("IMPORTRANGE(""https://docs.google.com/spreadsheets/d/1IYY_tgx_IHuhSq3AJ5eI5OnqOPBNLWSHKh2a30DoXe8/edit?usp=sharing"",""สงขลา!I400"")"),0.0)</f>
        <v>0</v>
      </c>
      <c r="J505" s="232">
        <f>IFERROR(__xludf.DUMMYFUNCTION("IMPORTRANGE(""https://docs.google.com/spreadsheets/d/1IYY_tgx_IHuhSq3AJ5eI5OnqOPBNLWSHKh2a30DoXe8/edit?usp=sharing"",""สงขลา!J400"")"),0.0)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IFERROR(__xludf.DUMMYFUNCTION("IMPORTRANGE(""https://docs.google.com/spreadsheets/d/1IYY_tgx_IHuhSq3AJ5eI5OnqOPBNLWSHKh2a30DoXe8/edit?usp=sharing"",""สงขลา!I401"")"),0.0)</f>
        <v>0</v>
      </c>
      <c r="J506" s="223">
        <f>IFERROR(__xludf.DUMMYFUNCTION("IMPORTRANGE(""https://docs.google.com/spreadsheets/d/1IYY_tgx_IHuhSq3AJ5eI5OnqOPBNLWSHKh2a30DoXe8/edit?usp=sharing"",""สงขลา!J401"")"),0.0)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IFERROR(__xludf.DUMMYFUNCTION("IMPORTRANGE(""https://docs.google.com/spreadsheets/d/1IYY_tgx_IHuhSq3AJ5eI5OnqOPBNLWSHKh2a30DoXe8/edit?usp=sharing"",""สงขลา!I402"")"),0.0)</f>
        <v>0</v>
      </c>
      <c r="J507" s="232">
        <f>IFERROR(__xludf.DUMMYFUNCTION("IMPORTRANGE(""https://docs.google.com/spreadsheets/d/1IYY_tgx_IHuhSq3AJ5eI5OnqOPBNLWSHKh2a30DoXe8/edit?usp=sharing"",""สงขลา!J402"")"),0.0)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IFERROR(__xludf.DUMMYFUNCTION("IMPORTRANGE(""https://docs.google.com/spreadsheets/d/1IYY_tgx_IHuhSq3AJ5eI5OnqOPBNLWSHKh2a30DoXe8/edit?usp=sharing"",""สงขลา!I403"")"),0.0)</f>
        <v>0</v>
      </c>
      <c r="J508" s="195">
        <f>IFERROR(__xludf.DUMMYFUNCTION("IMPORTRANGE(""https://docs.google.com/spreadsheets/d/1IYY_tgx_IHuhSq3AJ5eI5OnqOPBNLWSHKh2a30DoXe8/edit?usp=sharing"",""สงขลา!J403"")"),18.0)</f>
        <v>18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IFERROR(__xludf.DUMMYFUNCTION("IMPORTRANGE(""https://docs.google.com/spreadsheets/d/1IYY_tgx_IHuhSq3AJ5eI5OnqOPBNLWSHKh2a30DoXe8/edit?usp=sharing"",""สงขลา!I404"")"),0.0)</f>
        <v>0</v>
      </c>
      <c r="J509" s="195">
        <f>IFERROR(__xludf.DUMMYFUNCTION("IMPORTRANGE(""https://docs.google.com/spreadsheets/d/1IYY_tgx_IHuhSq3AJ5eI5OnqOPBNLWSHKh2a30DoXe8/edit?usp=sharing"",""สงขลา!J404"")"),3.0)</f>
        <v>3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IFERROR(__xludf.DUMMYFUNCTION("IMPORTRANGE(""https://docs.google.com/spreadsheets/d/1IYY_tgx_IHuhSq3AJ5eI5OnqOPBNLWSHKh2a30DoXe8/edit?usp=sharing"",""สงขลา!I405"")"),0.0)</f>
        <v>0</v>
      </c>
      <c r="J510" s="232">
        <f>IFERROR(__xludf.DUMMYFUNCTION("IMPORTRANGE(""https://docs.google.com/spreadsheets/d/1IYY_tgx_IHuhSq3AJ5eI5OnqOPBNLWSHKh2a30DoXe8/edit?usp=sharing"",""สงขลา!J405"")"),18.0)</f>
        <v>18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IFERROR(__xludf.DUMMYFUNCTION("IMPORTRANGE(""https://docs.google.com/spreadsheets/d/1IYY_tgx_IHuhSq3AJ5eI5OnqOPBNLWSHKh2a30DoXe8/edit?usp=sharing"",""สงขลา!I406"")"),0.0)</f>
        <v>0</v>
      </c>
      <c r="J511" s="232">
        <f>IFERROR(__xludf.DUMMYFUNCTION("IMPORTRANGE(""https://docs.google.com/spreadsheets/d/1IYY_tgx_IHuhSq3AJ5eI5OnqOPBNLWSHKh2a30DoXe8/edit?usp=sharing"",""สงขลา!J406"")"),3.0)</f>
        <v>3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IFERROR(__xludf.DUMMYFUNCTION("IMPORTRANGE(""https://docs.google.com/spreadsheets/d/1IYY_tgx_IHuhSq3AJ5eI5OnqOPBNLWSHKh2a30DoXe8/edit?usp=sharing"",""สงขลา!I407"")"),0.0)</f>
        <v>0</v>
      </c>
      <c r="J512" s="232">
        <f>IFERROR(__xludf.DUMMYFUNCTION("IMPORTRANGE(""https://docs.google.com/spreadsheets/d/1IYY_tgx_IHuhSq3AJ5eI5OnqOPBNLWSHKh2a30DoXe8/edit?usp=sharing"",""สงขลา!J407"")"),0.0)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IFERROR(__xludf.DUMMYFUNCTION("IMPORTRANGE(""https://docs.google.com/spreadsheets/d/1IYY_tgx_IHuhSq3AJ5eI5OnqOPBNLWSHKh2a30DoXe8/edit?usp=sharing"",""สงขลา!I408"")"),0.0)</f>
        <v>0</v>
      </c>
      <c r="J513" s="232">
        <f>IFERROR(__xludf.DUMMYFUNCTION("IMPORTRANGE(""https://docs.google.com/spreadsheets/d/1IYY_tgx_IHuhSq3AJ5eI5OnqOPBNLWSHKh2a30DoXe8/edit?usp=sharing"",""สงขลา!J408"")"),0.0)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IFERROR(__xludf.DUMMYFUNCTION("IMPORTRANGE(""https://docs.google.com/spreadsheets/d/1IYY_tgx_IHuhSq3AJ5eI5OnqOPBNLWSHKh2a30DoXe8/edit?usp=sharing"",""สงขลา!I409"")"),0.0)</f>
        <v>0</v>
      </c>
      <c r="J514" s="232">
        <f>IFERROR(__xludf.DUMMYFUNCTION("IMPORTRANGE(""https://docs.google.com/spreadsheets/d/1IYY_tgx_IHuhSq3AJ5eI5OnqOPBNLWSHKh2a30DoXe8/edit?usp=sharing"",""สงขลา!J409"")"),0.0)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IFERROR(__xludf.DUMMYFUNCTION("IMPORTRANGE(""https://docs.google.com/spreadsheets/d/1IYY_tgx_IHuhSq3AJ5eI5OnqOPBNLWSHKh2a30DoXe8/edit?usp=sharing"",""สงขลา!I410"")"),0.0)</f>
        <v>0</v>
      </c>
      <c r="J515" s="232">
        <f>IFERROR(__xludf.DUMMYFUNCTION("IMPORTRANGE(""https://docs.google.com/spreadsheets/d/1IYY_tgx_IHuhSq3AJ5eI5OnqOPBNLWSHKh2a30DoXe8/edit?usp=sharing"",""สงขลา!J410"")"),0.0)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IFERROR(__xludf.DUMMYFUNCTION("IMPORTRANGE(""https://docs.google.com/spreadsheets/d/1IYY_tgx_IHuhSq3AJ5eI5OnqOPBNLWSHKh2a30DoXe8/edit?usp=sharing"",""สงขลา!I411"")"),0.0)</f>
        <v>0</v>
      </c>
      <c r="J516" s="301">
        <f>IFERROR(__xludf.DUMMYFUNCTION("IMPORTRANGE(""https://docs.google.com/spreadsheets/d/1IYY_tgx_IHuhSq3AJ5eI5OnqOPBNLWSHKh2a30DoXe8/edit?usp=sharing"",""สงขลา!J411"")"),0.0)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IFERROR(__xludf.DUMMYFUNCTION("IMPORTRANGE(""https://docs.google.com/spreadsheets/d/1IYY_tgx_IHuhSq3AJ5eI5OnqOPBNLWSHKh2a30DoXe8/edit?usp=sharing"",""สงขลา!I412"")"),0.0)</f>
        <v>0</v>
      </c>
      <c r="J517" s="317">
        <f>IFERROR(__xludf.DUMMYFUNCTION("IMPORTRANGE(""https://docs.google.com/spreadsheets/d/1IYY_tgx_IHuhSq3AJ5eI5OnqOPBNLWSHKh2a30DoXe8/edit?usp=sharing"",""สงขลา!J412"")"),0.0)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IFERROR(__xludf.DUMMYFUNCTION("IMPORTRANGE(""https://docs.google.com/spreadsheets/d/1IYY_tgx_IHuhSq3AJ5eI5OnqOPBNLWSHKh2a30DoXe8/edit?usp=sharing"",""สงขลา!I413"")"),0.0)</f>
        <v>0</v>
      </c>
      <c r="J518" s="317">
        <f>IFERROR(__xludf.DUMMYFUNCTION("IMPORTRANGE(""https://docs.google.com/spreadsheets/d/1IYY_tgx_IHuhSq3AJ5eI5OnqOPBNLWSHKh2a30DoXe8/edit?usp=sharing"",""สงขลา!J413"")"),0.0)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IFERROR(__xludf.DUMMYFUNCTION("IMPORTRANGE(""https://docs.google.com/spreadsheets/d/1IYY_tgx_IHuhSq3AJ5eI5OnqOPBNLWSHKh2a30DoXe8/edit?usp=sharing"",""สงขลา!I414"")"),0.0)</f>
        <v>0</v>
      </c>
      <c r="J519" s="222">
        <f>IFERROR(__xludf.DUMMYFUNCTION("IMPORTRANGE(""https://docs.google.com/spreadsheets/d/1IYY_tgx_IHuhSq3AJ5eI5OnqOPBNLWSHKh2a30DoXe8/edit?usp=sharing"",""สงขลา!J414"")"),0.0)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IFERROR(__xludf.DUMMYFUNCTION("IMPORTRANGE(""https://docs.google.com/spreadsheets/d/1IYY_tgx_IHuhSq3AJ5eI5OnqOPBNLWSHKh2a30DoXe8/edit?usp=sharing"",""สงขลา!I415"")"),0.0)</f>
        <v>0</v>
      </c>
      <c r="J520" s="222">
        <f>IFERROR(__xludf.DUMMYFUNCTION("IMPORTRANGE(""https://docs.google.com/spreadsheets/d/1IYY_tgx_IHuhSq3AJ5eI5OnqOPBNLWSHKh2a30DoXe8/edit?usp=sharing"",""สงขลา!J415"")"),0.0)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IFERROR(__xludf.DUMMYFUNCTION("IMPORTRANGE(""https://docs.google.com/spreadsheets/d/1IYY_tgx_IHuhSq3AJ5eI5OnqOPBNLWSHKh2a30DoXe8/edit?usp=sharing"",""สงขลา!I416"")"),0.0)</f>
        <v>0</v>
      </c>
      <c r="J521" s="222">
        <f>IFERROR(__xludf.DUMMYFUNCTION("IMPORTRANGE(""https://docs.google.com/spreadsheets/d/1IYY_tgx_IHuhSq3AJ5eI5OnqOPBNLWSHKh2a30DoXe8/edit?usp=sharing"",""สงขลา!J416"")"),0.0)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IFERROR(__xludf.DUMMYFUNCTION("IMPORTRANGE(""https://docs.google.com/spreadsheets/d/1IYY_tgx_IHuhSq3AJ5eI5OnqOPBNLWSHKh2a30DoXe8/edit?usp=sharing"",""สงขลา!I417"")"),0.0)</f>
        <v>0</v>
      </c>
      <c r="J522" s="222">
        <f>IFERROR(__xludf.DUMMYFUNCTION("IMPORTRANGE(""https://docs.google.com/spreadsheets/d/1IYY_tgx_IHuhSq3AJ5eI5OnqOPBNLWSHKh2a30DoXe8/edit?usp=sharing"",""สงขลา!J417"")"),0.0)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IFERROR(__xludf.DUMMYFUNCTION("IMPORTRANGE(""https://docs.google.com/spreadsheets/d/1IYY_tgx_IHuhSq3AJ5eI5OnqOPBNLWSHKh2a30DoXe8/edit?usp=sharing"",""สงขลา!I418"")"),0.0)</f>
        <v>0</v>
      </c>
      <c r="J523" s="222">
        <f>IFERROR(__xludf.DUMMYFUNCTION("IMPORTRANGE(""https://docs.google.com/spreadsheets/d/1IYY_tgx_IHuhSq3AJ5eI5OnqOPBNLWSHKh2a30DoXe8/edit?usp=sharing"",""สงขลา!J418"")"),0.0)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IFERROR(__xludf.DUMMYFUNCTION("IMPORTRANGE(""https://docs.google.com/spreadsheets/d/1IYY_tgx_IHuhSq3AJ5eI5OnqOPBNLWSHKh2a30DoXe8/edit?usp=sharing"",""สงขลา!I419"")"),0.0)</f>
        <v>0</v>
      </c>
      <c r="J524" s="222">
        <f>IFERROR(__xludf.DUMMYFUNCTION("IMPORTRANGE(""https://docs.google.com/spreadsheets/d/1IYY_tgx_IHuhSq3AJ5eI5OnqOPBNLWSHKh2a30DoXe8/edit?usp=sharing"",""สงขลา!J419"")"),0.0)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IFERROR(__xludf.DUMMYFUNCTION("IMPORTRANGE(""https://docs.google.com/spreadsheets/d/1IYY_tgx_IHuhSq3AJ5eI5OnqOPBNLWSHKh2a30DoXe8/edit?usp=sharing"",""สงขลา!I420"")"),0.0)</f>
        <v>0</v>
      </c>
      <c r="J525" s="317">
        <f>IFERROR(__xludf.DUMMYFUNCTION("IMPORTRANGE(""https://docs.google.com/spreadsheets/d/1IYY_tgx_IHuhSq3AJ5eI5OnqOPBNLWSHKh2a30DoXe8/edit?usp=sharing"",""สงขลา!J420"")"),0.0)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IFERROR(__xludf.DUMMYFUNCTION("IMPORTRANGE(""https://docs.google.com/spreadsheets/d/1IYY_tgx_IHuhSq3AJ5eI5OnqOPBNLWSHKh2a30DoXe8/edit?usp=sharing"",""สงขลา!I421"")"),0.0)</f>
        <v>0</v>
      </c>
      <c r="J526" s="317">
        <f>IFERROR(__xludf.DUMMYFUNCTION("IMPORTRANGE(""https://docs.google.com/spreadsheets/d/1IYY_tgx_IHuhSq3AJ5eI5OnqOPBNLWSHKh2a30DoXe8/edit?usp=sharing"",""สงขลา!J421"")"),0.0)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IFERROR(__xludf.DUMMYFUNCTION("IMPORTRANGE(""https://docs.google.com/spreadsheets/d/1IYY_tgx_IHuhSq3AJ5eI5OnqOPBNLWSHKh2a30DoXe8/edit?usp=sharing"",""สงขลา!I422"")"),0.0)</f>
        <v>0</v>
      </c>
      <c r="J527" s="232">
        <f>IFERROR(__xludf.DUMMYFUNCTION("IMPORTRANGE(""https://docs.google.com/spreadsheets/d/1IYY_tgx_IHuhSq3AJ5eI5OnqOPBNLWSHKh2a30DoXe8/edit?usp=sharing"",""สงขลา!J422"")"),0.0)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IFERROR(__xludf.DUMMYFUNCTION("IMPORTRANGE(""https://docs.google.com/spreadsheets/d/1IYY_tgx_IHuhSq3AJ5eI5OnqOPBNLWSHKh2a30DoXe8/edit?usp=sharing"",""สงขลา!I423"")"),0.0)</f>
        <v>0</v>
      </c>
      <c r="J528" s="232">
        <f>IFERROR(__xludf.DUMMYFUNCTION("IMPORTRANGE(""https://docs.google.com/spreadsheets/d/1IYY_tgx_IHuhSq3AJ5eI5OnqOPBNLWSHKh2a30DoXe8/edit?usp=sharing"",""สงขลา!J423"")"),0.0)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IFERROR(__xludf.DUMMYFUNCTION("IMPORTRANGE(""https://docs.google.com/spreadsheets/d/1IYY_tgx_IHuhSq3AJ5eI5OnqOPBNLWSHKh2a30DoXe8/edit?usp=sharing"",""สงขลา!I424"")"),0.0)</f>
        <v>0</v>
      </c>
      <c r="J529" s="232">
        <f>IFERROR(__xludf.DUMMYFUNCTION("IMPORTRANGE(""https://docs.google.com/spreadsheets/d/1IYY_tgx_IHuhSq3AJ5eI5OnqOPBNLWSHKh2a30DoXe8/edit?usp=sharing"",""สงขลา!J424"")"),0.0)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IFERROR(__xludf.DUMMYFUNCTION("IMPORTRANGE(""https://docs.google.com/spreadsheets/d/1IYY_tgx_IHuhSq3AJ5eI5OnqOPBNLWSHKh2a30DoXe8/edit?usp=sharing"",""สงขลา!I425"")"),0.0)</f>
        <v>0</v>
      </c>
      <c r="J530" s="232">
        <f>IFERROR(__xludf.DUMMYFUNCTION("IMPORTRANGE(""https://docs.google.com/spreadsheets/d/1IYY_tgx_IHuhSq3AJ5eI5OnqOPBNLWSHKh2a30DoXe8/edit?usp=sharing"",""สงขลา!J425"")"),0.0)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IFERROR(__xludf.DUMMYFUNCTION("IMPORTRANGE(""https://docs.google.com/spreadsheets/d/1IYY_tgx_IHuhSq3AJ5eI5OnqOPBNLWSHKh2a30DoXe8/edit?usp=sharing"",""สงขลา!I426"")"),0.0)</f>
        <v>0</v>
      </c>
      <c r="J531" s="232">
        <f>IFERROR(__xludf.DUMMYFUNCTION("IMPORTRANGE(""https://docs.google.com/spreadsheets/d/1IYY_tgx_IHuhSq3AJ5eI5OnqOPBNLWSHKh2a30DoXe8/edit?usp=sharing"",""สงขลา!J426"")"),0.0)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IFERROR(__xludf.DUMMYFUNCTION("IMPORTRANGE(""https://docs.google.com/spreadsheets/d/1IYY_tgx_IHuhSq3AJ5eI5OnqOPBNLWSHKh2a30DoXe8/edit?usp=sharing"",""สงขลา!I427"")"),0.0)</f>
        <v>0</v>
      </c>
      <c r="J532" s="499">
        <f>IFERROR(__xludf.DUMMYFUNCTION("IMPORTRANGE(""https://docs.google.com/spreadsheets/d/1IYY_tgx_IHuhSq3AJ5eI5OnqOPBNLWSHKh2a30DoXe8/edit?usp=sharing"",""สงขลา!J427"")"),0.0)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IFERROR(__xludf.DUMMYFUNCTION("IMPORTRANGE(""https://docs.google.com/spreadsheets/d/1IYY_tgx_IHuhSq3AJ5eI5OnqOPBNLWSHKh2a30DoXe8/edit?usp=sharing"",""สงขลา!I428"")"),20.0)</f>
        <v>20</v>
      </c>
      <c r="J533" s="443">
        <f>IFERROR(__xludf.DUMMYFUNCTION("IMPORTRANGE(""https://docs.google.com/spreadsheets/d/1IYY_tgx_IHuhSq3AJ5eI5OnqOPBNLWSHKh2a30DoXe8/edit?usp=sharing"",""สงขลา!J428"")"),20.0)</f>
        <v>20</v>
      </c>
      <c r="K533" s="444">
        <f>IF(I533&gt;0,J533*100/I533,0)</f>
        <v>100</v>
      </c>
      <c r="L533" s="445">
        <f>IFERROR(__xludf.DUMMYFUNCTION("IMPORTRANGE(""https://docs.google.com/spreadsheets/d/1IYY_tgx_IHuhSq3AJ5eI5OnqOPBNLWSHKh2a30DoXe8/edit?usp=sharing"",""สงขลา!L428"")"),32640.0)</f>
        <v>32640</v>
      </c>
      <c r="M533" s="445"/>
      <c r="N533" s="445">
        <f>IFERROR(__xludf.DUMMYFUNCTION("IMPORTRANGE(""https://docs.google.com/spreadsheets/d/1IYY_tgx_IHuhSq3AJ5eI5OnqOPBNLWSHKh2a30DoXe8/edit?usp=sharing"",""สงขลา!M428"")"),26090.0)</f>
        <v>26090</v>
      </c>
      <c r="O533" s="445">
        <f t="shared" ref="O533:O537" si="119">+IF(L533&gt;0,N533*100/L533,0)</f>
        <v>79.93259804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IFERROR(__xludf.DUMMYFUNCTION("IMPORTRANGE(""https://docs.google.com/spreadsheets/d/1IYY_tgx_IHuhSq3AJ5eI5OnqOPBNLWSHKh2a30DoXe8/edit?usp=sharing"",""สงขลา!L429"")"),0.0)</f>
        <v>0</v>
      </c>
      <c r="M534" s="197"/>
      <c r="N534" s="203">
        <f>IFERROR(__xludf.DUMMYFUNCTION("IMPORTRANGE(""https://docs.google.com/spreadsheets/d/1IYY_tgx_IHuhSq3AJ5eI5OnqOPBNLWSHKh2a30DoXe8/edit?usp=sharing"",""สงขลา!M429"")"),0.0)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IFERROR(__xludf.DUMMYFUNCTION("IMPORTRANGE(""https://docs.google.com/spreadsheets/d/1IYY_tgx_IHuhSq3AJ5eI5OnqOPBNLWSHKh2a30DoXe8/edit?usp=sharing"",""สงขลา!L430"")"),32640.0)</f>
        <v>32640</v>
      </c>
      <c r="M535" s="198"/>
      <c r="N535" s="203">
        <f>IFERROR(__xludf.DUMMYFUNCTION("IMPORTRANGE(""https://docs.google.com/spreadsheets/d/1IYY_tgx_IHuhSq3AJ5eI5OnqOPBNLWSHKh2a30DoXe8/edit?usp=sharing"",""สงขลา!M430"")"),26090.0)</f>
        <v>26090</v>
      </c>
      <c r="O535" s="203">
        <f t="shared" si="119"/>
        <v>79.93259804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IFERROR(__xludf.DUMMYFUNCTION("IMPORTRANGE(""https://docs.google.com/spreadsheets/d/1IYY_tgx_IHuhSq3AJ5eI5OnqOPBNLWSHKh2a30DoXe8/edit?usp=sharing"",""สงขลา!L431"")"),0.0)</f>
        <v>0</v>
      </c>
      <c r="M536" s="203"/>
      <c r="N536" s="203">
        <f>IFERROR(__xludf.DUMMYFUNCTION("IMPORTRANGE(""https://docs.google.com/spreadsheets/d/1IYY_tgx_IHuhSq3AJ5eI5OnqOPBNLWSHKh2a30DoXe8/edit?usp=sharing"",""สงขลา!M431"")"),0.0)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IFERROR(__xludf.DUMMYFUNCTION("IMPORTRANGE(""https://docs.google.com/spreadsheets/d/1IYY_tgx_IHuhSq3AJ5eI5OnqOPBNLWSHKh2a30DoXe8/edit?usp=sharing"",""สงขลา!L432"")"),32640.0)</f>
        <v>32640</v>
      </c>
      <c r="M537" s="203"/>
      <c r="N537" s="203">
        <f>IFERROR(__xludf.DUMMYFUNCTION("IMPORTRANGE(""https://docs.google.com/spreadsheets/d/1IYY_tgx_IHuhSq3AJ5eI5OnqOPBNLWSHKh2a30DoXe8/edit?usp=sharing"",""สงขลา!M432"")"),26090.0)</f>
        <v>26090</v>
      </c>
      <c r="O537" s="203">
        <f t="shared" si="119"/>
        <v>79.93259804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IFERROR(__xludf.DUMMYFUNCTION("IMPORTRANGE(""https://docs.google.com/spreadsheets/d/1IYY_tgx_IHuhSq3AJ5eI5OnqOPBNLWSHKh2a30DoXe8/edit?usp=sharing"",""สงขลา!M433"")"),15665.0)</f>
        <v>15665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IFERROR(__xludf.DUMMYFUNCTION("IMPORTRANGE(""https://docs.google.com/spreadsheets/d/1IYY_tgx_IHuhSq3AJ5eI5OnqOPBNLWSHKh2a30DoXe8/edit?usp=sharing"",""สงขลา!M434"")"),0.0)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IFERROR(__xludf.DUMMYFUNCTION("IMPORTRANGE(""https://docs.google.com/spreadsheets/d/1IYY_tgx_IHuhSq3AJ5eI5OnqOPBNLWSHKh2a30DoXe8/edit?usp=sharing"",""สงขลา!M435"")"),0.0)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IFERROR(__xludf.DUMMYFUNCTION("IMPORTRANGE(""https://docs.google.com/spreadsheets/d/1IYY_tgx_IHuhSq3AJ5eI5OnqOPBNLWSHKh2a30DoXe8/edit?usp=sharing"",""สงขลา!M436"")"),10425.0)</f>
        <v>10425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IFERROR(__xludf.DUMMYFUNCTION("IMPORTRANGE(""https://docs.google.com/spreadsheets/d/1IYY_tgx_IHuhSq3AJ5eI5OnqOPBNLWSHKh2a30DoXe8/edit?usp=sharing"",""สงขลา!J438"")"),0.0)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IFERROR(__xludf.DUMMYFUNCTION("IMPORTRANGE(""https://docs.google.com/spreadsheets/d/1IYY_tgx_IHuhSq3AJ5eI5OnqOPBNLWSHKh2a30DoXe8/edit?usp=sharing"",""สงขลา!J439"")"),1.0)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IFERROR(__xludf.DUMMYFUNCTION("IMPORTRANGE(""https://docs.google.com/spreadsheets/d/1IYY_tgx_IHuhSq3AJ5eI5OnqOPBNLWSHKh2a30DoXe8/edit?usp=sharing"",""สงขลา!J440"")"),1.0)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IFERROR(__xludf.DUMMYFUNCTION("IMPORTRANGE(""https://docs.google.com/spreadsheets/d/1IYY_tgx_IHuhSq3AJ5eI5OnqOPBNLWSHKh2a30DoXe8/edit?usp=sharing"",""สงขลา!J441"")"),1.0)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IFERROR(__xludf.DUMMYFUNCTION("IMPORTRANGE(""https://docs.google.com/spreadsheets/d/1IYY_tgx_IHuhSq3AJ5eI5OnqOPBNLWSHKh2a30DoXe8/edit?usp=sharing"",""สงขลา!I442"")"),20.0)</f>
        <v>20</v>
      </c>
      <c r="J547" s="223">
        <f>IFERROR(__xludf.DUMMYFUNCTION("IMPORTRANGE(""https://docs.google.com/spreadsheets/d/1IYY_tgx_IHuhSq3AJ5eI5OnqOPBNLWSHKh2a30DoXe8/edit?usp=sharing"",""สงขลา!J442"")"),20.0)</f>
        <v>20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IFERROR(__xludf.DUMMYFUNCTION("IMPORTRANGE(""https://docs.google.com/spreadsheets/d/1IYY_tgx_IHuhSq3AJ5eI5OnqOPBNLWSHKh2a30DoXe8/edit?usp=sharing"",""สงขลา!J166"")"),0.0)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IFERROR(__xludf.DUMMYFUNCTION("IMPORTRANGE(""https://docs.google.com/spreadsheets/d/1IYY_tgx_IHuhSq3AJ5eI5OnqOPBNLWSHKh2a30DoXe8/edit?usp=sharing"",""สงขลา!J444"")"),0.0)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IFERROR(__xludf.DUMMYFUNCTION("IMPORTRANGE(""https://docs.google.com/spreadsheets/d/1IYY_tgx_IHuhSq3AJ5eI5OnqOPBNLWSHKh2a30DoXe8/edit?usp=sharing"",""สงขลา!J445"")"),0.0)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IFERROR(__xludf.DUMMYFUNCTION("IMPORTRANGE(""https://docs.google.com/spreadsheets/d/1IYY_tgx_IHuhSq3AJ5eI5OnqOPBNLWSHKh2a30DoXe8/edit?usp=sharing"",""สงขลา!I446"")"),0.0)</f>
        <v>0</v>
      </c>
      <c r="J551" s="443">
        <f>IFERROR(__xludf.DUMMYFUNCTION("IMPORTRANGE(""https://docs.google.com/spreadsheets/d/1IYY_tgx_IHuhSq3AJ5eI5OnqOPBNLWSHKh2a30DoXe8/edit?usp=sharing"",""สงขลา!J446"")"),0.0)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IFERROR(__xludf.DUMMYFUNCTION("IMPORTRANGE(""https://docs.google.com/spreadsheets/d/1IYY_tgx_IHuhSq3AJ5eI5OnqOPBNLWSHKh2a30DoXe8/edit?usp=sharing"",""สงขลา!L446"")"),0.0)</f>
        <v>0</v>
      </c>
      <c r="M551" s="445"/>
      <c r="N551" s="445">
        <f>IFERROR(__xludf.DUMMYFUNCTION("IMPORTRANGE(""https://docs.google.com/spreadsheets/d/1IYY_tgx_IHuhSq3AJ5eI5OnqOPBNLWSHKh2a30DoXe8/edit?usp=sharing"",""สงขลา!M446"")"),0.0)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IFERROR(__xludf.DUMMYFUNCTION("IMPORTRANGE(""https://docs.google.com/spreadsheets/d/1IYY_tgx_IHuhSq3AJ5eI5OnqOPBNLWSHKh2a30DoXe8/edit?usp=sharing"",""สงขลา!L447"")"),0.0)</f>
        <v>0</v>
      </c>
      <c r="M552" s="197"/>
      <c r="N552" s="203">
        <f>IFERROR(__xludf.DUMMYFUNCTION("IMPORTRANGE(""https://docs.google.com/spreadsheets/d/1IYY_tgx_IHuhSq3AJ5eI5OnqOPBNLWSHKh2a30DoXe8/edit?usp=sharing"",""สงขลา!M447"")"),0.0)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IFERROR(__xludf.DUMMYFUNCTION("IMPORTRANGE(""https://docs.google.com/spreadsheets/d/1IYY_tgx_IHuhSq3AJ5eI5OnqOPBNLWSHKh2a30DoXe8/edit?usp=sharing"",""สงขลา!L448"")"),0.0)</f>
        <v>0</v>
      </c>
      <c r="M553" s="198"/>
      <c r="N553" s="203">
        <f>IFERROR(__xludf.DUMMYFUNCTION("IMPORTRANGE(""https://docs.google.com/spreadsheets/d/1IYY_tgx_IHuhSq3AJ5eI5OnqOPBNLWSHKh2a30DoXe8/edit?usp=sharing"",""สงขลา!M448"")"),0.0)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IFERROR(__xludf.DUMMYFUNCTION("IMPORTRANGE(""https://docs.google.com/spreadsheets/d/1IYY_tgx_IHuhSq3AJ5eI5OnqOPBNLWSHKh2a30DoXe8/edit?usp=sharing"",""สงขลา!L449"")"),0.0)</f>
        <v>0</v>
      </c>
      <c r="M554" s="203"/>
      <c r="N554" s="203">
        <f>IFERROR(__xludf.DUMMYFUNCTION("IMPORTRANGE(""https://docs.google.com/spreadsheets/d/1IYY_tgx_IHuhSq3AJ5eI5OnqOPBNLWSHKh2a30DoXe8/edit?usp=sharing"",""สงขลา!M449"")"),0.0)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IFERROR(__xludf.DUMMYFUNCTION("IMPORTRANGE(""https://docs.google.com/spreadsheets/d/1IYY_tgx_IHuhSq3AJ5eI5OnqOPBNLWSHKh2a30DoXe8/edit?usp=sharing"",""สงขลา!L450"")"),0.0)</f>
        <v>0</v>
      </c>
      <c r="M555" s="203"/>
      <c r="N555" s="203">
        <f>IFERROR(__xludf.DUMMYFUNCTION("IMPORTRANGE(""https://docs.google.com/spreadsheets/d/1IYY_tgx_IHuhSq3AJ5eI5OnqOPBNLWSHKh2a30DoXe8/edit?usp=sharing"",""สงขลา!M450"")"),0.0)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IFERROR(__xludf.DUMMYFUNCTION("IMPORTRANGE(""https://docs.google.com/spreadsheets/d/1IYY_tgx_IHuhSq3AJ5eI5OnqOPBNLWSHKh2a30DoXe8/edit?usp=sharing"",""สงขลา!M451"")"),0.0)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IFERROR(__xludf.DUMMYFUNCTION("IMPORTRANGE(""https://docs.google.com/spreadsheets/d/1IYY_tgx_IHuhSq3AJ5eI5OnqOPBNLWSHKh2a30DoXe8/edit?usp=sharing"",""สงขลา!M452"")"),0.0)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IFERROR(__xludf.DUMMYFUNCTION("IMPORTRANGE(""https://docs.google.com/spreadsheets/d/1IYY_tgx_IHuhSq3AJ5eI5OnqOPBNLWSHKh2a30DoXe8/edit?usp=sharing"",""สงขลา!M453"")"),0.0)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IFERROR(__xludf.DUMMYFUNCTION("IMPORTRANGE(""https://docs.google.com/spreadsheets/d/1IYY_tgx_IHuhSq3AJ5eI5OnqOPBNLWSHKh2a30DoXe8/edit?usp=sharing"",""สงขลา!M454"")"),0.0)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IFERROR(__xludf.DUMMYFUNCTION("IMPORTRANGE(""https://docs.google.com/spreadsheets/d/1IYY_tgx_IHuhSq3AJ5eI5OnqOPBNLWSHKh2a30DoXe8/edit?usp=sharing"",""สงขลา!I455"")"),0.0)</f>
        <v>0</v>
      </c>
      <c r="J560" s="195">
        <f>IFERROR(__xludf.DUMMYFUNCTION("IMPORTRANGE(""https://docs.google.com/spreadsheets/d/1IYY_tgx_IHuhSq3AJ5eI5OnqOPBNLWSHKh2a30DoXe8/edit?usp=sharing"",""สงขลา!J455"")"),0.0)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IFERROR(__xludf.DUMMYFUNCTION("IMPORTRANGE(""https://docs.google.com/spreadsheets/d/1IYY_tgx_IHuhSq3AJ5eI5OnqOPBNLWSHKh2a30DoXe8/edit?usp=sharing"",""สงขลา!I456"")"),0.0)</f>
        <v>0</v>
      </c>
      <c r="J561" s="238">
        <f>IFERROR(__xludf.DUMMYFUNCTION("IMPORTRANGE(""https://docs.google.com/spreadsheets/d/1IYY_tgx_IHuhSq3AJ5eI5OnqOPBNLWSHKh2a30DoXe8/edit?usp=sharing"",""สงขลา!J456"")"),0.0)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IFERROR(__xludf.DUMMYFUNCTION("IMPORTRANGE(""https://docs.google.com/spreadsheets/d/1IYY_tgx_IHuhSq3AJ5eI5OnqOPBNLWSHKh2a30DoXe8/edit?usp=sharing"",""สงขลา!I457"")"),"")</f>
        <v/>
      </c>
      <c r="J562" s="238" t="str">
        <f>IFERROR(__xludf.DUMMYFUNCTION("IMPORTRANGE(""https://docs.google.com/spreadsheets/d/1IYY_tgx_IHuhSq3AJ5eI5OnqOPBNLWSHKh2a30DoXe8/edit?usp=sharing"",""สงขลา!J457"")"),"")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IFERROR(__xludf.DUMMYFUNCTION("IMPORTRANGE(""https://docs.google.com/spreadsheets/d/1IYY_tgx_IHuhSq3AJ5eI5OnqOPBNLWSHKh2a30DoXe8/edit?usp=sharing"",""สงขลา!I458"")"),"")</f>
        <v/>
      </c>
      <c r="J563" s="222" t="str">
        <f>IFERROR(__xludf.DUMMYFUNCTION("IMPORTRANGE(""https://docs.google.com/spreadsheets/d/1IYY_tgx_IHuhSq3AJ5eI5OnqOPBNLWSHKh2a30DoXe8/edit?usp=sharing"",""สงขลา!J458"")"),"")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IFERROR(__xludf.DUMMYFUNCTION("IMPORTRANGE(""https://docs.google.com/spreadsheets/d/1IYY_tgx_IHuhSq3AJ5eI5OnqOPBNLWSHKh2a30DoXe8/edit?usp=sharing"",""สงขลา!I459"")"),1100.0)</f>
        <v>1100</v>
      </c>
      <c r="J564" s="404">
        <f>IFERROR(__xludf.DUMMYFUNCTION("IMPORTRANGE(""https://docs.google.com/spreadsheets/d/1IYY_tgx_IHuhSq3AJ5eI5OnqOPBNLWSHKh2a30DoXe8/edit?usp=sharing"",""สงขลา!J459"")"),812.0)</f>
        <v>812</v>
      </c>
      <c r="K564" s="405">
        <f t="shared" si="122"/>
        <v>73.81818182</v>
      </c>
      <c r="L564" s="406">
        <f>IFERROR(__xludf.DUMMYFUNCTION("IMPORTRANGE(""https://docs.google.com/spreadsheets/d/1IYY_tgx_IHuhSq3AJ5eI5OnqOPBNLWSHKh2a30DoXe8/edit?usp=sharing"",""สงขลา!L459"")"),123600.0)</f>
        <v>123600</v>
      </c>
      <c r="M564" s="406"/>
      <c r="N564" s="406">
        <f>IFERROR(__xludf.DUMMYFUNCTION("IMPORTRANGE(""https://docs.google.com/spreadsheets/d/1IYY_tgx_IHuhSq3AJ5eI5OnqOPBNLWSHKh2a30DoXe8/edit?usp=sharing"",""สงขลา!M459"")"),9935.0)</f>
        <v>9935</v>
      </c>
      <c r="O564" s="406">
        <f t="shared" ref="O564:O568" si="123">+IF(L564&gt;0,N564*100/L564,0)</f>
        <v>8.03802589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IFERROR(__xludf.DUMMYFUNCTION("IMPORTRANGE(""https://docs.google.com/spreadsheets/d/1IYY_tgx_IHuhSq3AJ5eI5OnqOPBNLWSHKh2a30DoXe8/edit?usp=sharing"",""สงขลา!L460"")"),0.0)</f>
        <v>0</v>
      </c>
      <c r="M565" s="197"/>
      <c r="N565" s="203">
        <f>IFERROR(__xludf.DUMMYFUNCTION("IMPORTRANGE(""https://docs.google.com/spreadsheets/d/1IYY_tgx_IHuhSq3AJ5eI5OnqOPBNLWSHKh2a30DoXe8/edit?usp=sharing"",""สงขลา!M460"")"),0.0)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IFERROR(__xludf.DUMMYFUNCTION("IMPORTRANGE(""https://docs.google.com/spreadsheets/d/1IYY_tgx_IHuhSq3AJ5eI5OnqOPBNLWSHKh2a30DoXe8/edit?usp=sharing"",""สงขลา!L461"")"),123600.0)</f>
        <v>123600</v>
      </c>
      <c r="M566" s="198"/>
      <c r="N566" s="203">
        <f>IFERROR(__xludf.DUMMYFUNCTION("IMPORTRANGE(""https://docs.google.com/spreadsheets/d/1IYY_tgx_IHuhSq3AJ5eI5OnqOPBNLWSHKh2a30DoXe8/edit?usp=sharing"",""สงขลา!M461"")"),9935.0)</f>
        <v>9935</v>
      </c>
      <c r="O566" s="203">
        <f t="shared" si="123"/>
        <v>8.03802589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IFERROR(__xludf.DUMMYFUNCTION("IMPORTRANGE(""https://docs.google.com/spreadsheets/d/1IYY_tgx_IHuhSq3AJ5eI5OnqOPBNLWSHKh2a30DoXe8/edit?usp=sharing"",""สงขลา!L462"")"),0.0)</f>
        <v>0</v>
      </c>
      <c r="M567" s="203"/>
      <c r="N567" s="203">
        <f>IFERROR(__xludf.DUMMYFUNCTION("IMPORTRANGE(""https://docs.google.com/spreadsheets/d/1IYY_tgx_IHuhSq3AJ5eI5OnqOPBNLWSHKh2a30DoXe8/edit?usp=sharing"",""สงขลา!M462"")"),0.0)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IFERROR(__xludf.DUMMYFUNCTION("IMPORTRANGE(""https://docs.google.com/spreadsheets/d/1IYY_tgx_IHuhSq3AJ5eI5OnqOPBNLWSHKh2a30DoXe8/edit?usp=sharing"",""สงขลา!L463"")"),123600.0)</f>
        <v>123600</v>
      </c>
      <c r="M568" s="203"/>
      <c r="N568" s="203">
        <f>IFERROR(__xludf.DUMMYFUNCTION("IMPORTRANGE(""https://docs.google.com/spreadsheets/d/1IYY_tgx_IHuhSq3AJ5eI5OnqOPBNLWSHKh2a30DoXe8/edit?usp=sharing"",""สงขลา!M463"")"),9935.0)</f>
        <v>9935</v>
      </c>
      <c r="O568" s="203">
        <f t="shared" si="123"/>
        <v>8.03802589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IFERROR(__xludf.DUMMYFUNCTION("IMPORTRANGE(""https://docs.google.com/spreadsheets/d/1IYY_tgx_IHuhSq3AJ5eI5OnqOPBNLWSHKh2a30DoXe8/edit?usp=sharing"",""สงขลา!M464"")"),0.0)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IFERROR(__xludf.DUMMYFUNCTION("IMPORTRANGE(""https://docs.google.com/spreadsheets/d/1IYY_tgx_IHuhSq3AJ5eI5OnqOPBNLWSHKh2a30DoXe8/edit?usp=sharing"",""สงขลา!M465"")"),0.0)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IFERROR(__xludf.DUMMYFUNCTION("IMPORTRANGE(""https://docs.google.com/spreadsheets/d/1IYY_tgx_IHuhSq3AJ5eI5OnqOPBNLWSHKh2a30DoXe8/edit?usp=sharing"",""สงขลา!M466"")"),9935.0)</f>
        <v>9935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IFERROR(__xludf.DUMMYFUNCTION("IMPORTRANGE(""https://docs.google.com/spreadsheets/d/1IYY_tgx_IHuhSq3AJ5eI5OnqOPBNLWSHKh2a30DoXe8/edit?usp=sharing"",""สงขลา!M467"")"),0.0)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IFERROR(__xludf.DUMMYFUNCTION("IMPORTRANGE(""https://docs.google.com/spreadsheets/d/1IYY_tgx_IHuhSq3AJ5eI5OnqOPBNLWSHKh2a30DoXe8/edit?usp=sharing"",""สงขลา!I468"")"),1100.0)</f>
        <v>1100</v>
      </c>
      <c r="J573" s="453">
        <f>IFERROR(__xludf.DUMMYFUNCTION("IMPORTRANGE(""https://docs.google.com/spreadsheets/d/1IYY_tgx_IHuhSq3AJ5eI5OnqOPBNLWSHKh2a30DoXe8/edit?usp=sharing"",""สงขลา!J468"")"),812.0)</f>
        <v>812</v>
      </c>
      <c r="K573" s="236">
        <f>IF(I573&gt;0,J573*100/I573,0)</f>
        <v>73.81818182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IFERROR(__xludf.DUMMYFUNCTION("IMPORTRANGE(""https://docs.google.com/spreadsheets/d/1IYY_tgx_IHuhSq3AJ5eI5OnqOPBNLWSHKh2a30DoXe8/edit?usp=sharing"",""สงขลา!I470"")"),0.0)</f>
        <v>0</v>
      </c>
      <c r="J575" s="232">
        <f>IFERROR(__xludf.DUMMYFUNCTION("IMPORTRANGE(""https://docs.google.com/spreadsheets/d/1IYY_tgx_IHuhSq3AJ5eI5OnqOPBNLWSHKh2a30DoXe8/edit?usp=sharing"",""สงขลา!J470"")"),0.0)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IFERROR(__xludf.DUMMYFUNCTION("IMPORTRANGE(""https://docs.google.com/spreadsheets/d/1IYY_tgx_IHuhSq3AJ5eI5OnqOPBNLWSHKh2a30DoXe8/edit?usp=sharing"",""สงขลา!I471"")"),0.0)</f>
        <v>0</v>
      </c>
      <c r="J576" s="232">
        <f>IFERROR(__xludf.DUMMYFUNCTION("IMPORTRANGE(""https://docs.google.com/spreadsheets/d/1IYY_tgx_IHuhSq3AJ5eI5OnqOPBNLWSHKh2a30DoXe8/edit?usp=sharing"",""สงขลา!J471"")"),0.0)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IFERROR(__xludf.DUMMYFUNCTION("IMPORTRANGE(""https://docs.google.com/spreadsheets/d/1IYY_tgx_IHuhSq3AJ5eI5OnqOPBNLWSHKh2a30DoXe8/edit?usp=sharing"",""สงขลา!I472"")"),0.0)</f>
        <v>0</v>
      </c>
      <c r="J577" s="223">
        <f>IFERROR(__xludf.DUMMYFUNCTION("IMPORTRANGE(""https://docs.google.com/spreadsheets/d/1IYY_tgx_IHuhSq3AJ5eI5OnqOPBNLWSHKh2a30DoXe8/edit?usp=sharing"",""สงขลา!J472"")"),811.0)</f>
        <v>811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IFERROR(__xludf.DUMMYFUNCTION("IMPORTRANGE(""https://docs.google.com/spreadsheets/d/1IYY_tgx_IHuhSq3AJ5eI5OnqOPBNLWSHKh2a30DoXe8/edit?usp=sharing"",""สงขลา!I473"")"),0.0)</f>
        <v>0</v>
      </c>
      <c r="J578" s="232">
        <f>IFERROR(__xludf.DUMMYFUNCTION("IMPORTRANGE(""https://docs.google.com/spreadsheets/d/1IYY_tgx_IHuhSq3AJ5eI5OnqOPBNLWSHKh2a30DoXe8/edit?usp=sharing"",""สงขลา!J473"")"),1.0)</f>
        <v>1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IFERROR(__xludf.DUMMYFUNCTION("IMPORTRANGE(""https://docs.google.com/spreadsheets/d/1IYY_tgx_IHuhSq3AJ5eI5OnqOPBNLWSHKh2a30DoXe8/edit?usp=sharing"",""สงขลา!I474"")"),0.0)</f>
        <v>0</v>
      </c>
      <c r="J579" s="232">
        <f>IFERROR(__xludf.DUMMYFUNCTION("IMPORTRANGE(""https://docs.google.com/spreadsheets/d/1IYY_tgx_IHuhSq3AJ5eI5OnqOPBNLWSHKh2a30DoXe8/edit?usp=sharing"",""สงขลา!J474"")"),0.0)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IFERROR(__xludf.DUMMYFUNCTION("IMPORTRANGE(""https://docs.google.com/spreadsheets/d/1IYY_tgx_IHuhSq3AJ5eI5OnqOPBNLWSHKh2a30DoXe8/edit?usp=sharing"",""สงขลา!I475"")"),220.0)</f>
        <v>220</v>
      </c>
      <c r="J580" s="404">
        <f>IFERROR(__xludf.DUMMYFUNCTION("IMPORTRANGE(""https://docs.google.com/spreadsheets/d/1IYY_tgx_IHuhSq3AJ5eI5OnqOPBNLWSHKh2a30DoXe8/edit?usp=sharing"",""สงขลา!J475"")"),0.0)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IFERROR(__xludf.DUMMYFUNCTION("IMPORTRANGE(""https://docs.google.com/spreadsheets/d/1IYY_tgx_IHuhSq3AJ5eI5OnqOPBNLWSHKh2a30DoXe8/edit?usp=sharing"",""สงขลา!L475"")"),376620.0)</f>
        <v>376620</v>
      </c>
      <c r="M580" s="406"/>
      <c r="N580" s="406">
        <f>IFERROR(__xludf.DUMMYFUNCTION("IMPORTRANGE(""https://docs.google.com/spreadsheets/d/1IYY_tgx_IHuhSq3AJ5eI5OnqOPBNLWSHKh2a30DoXe8/edit?usp=sharing"",""สงขลา!M475"")"),9935.0)</f>
        <v>9935</v>
      </c>
      <c r="O580" s="406">
        <f t="shared" ref="O580:O584" si="125">+IF(L580&gt;0,N580*100/L580,0)</f>
        <v>2.637937444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IFERROR(__xludf.DUMMYFUNCTION("IMPORTRANGE(""https://docs.google.com/spreadsheets/d/1IYY_tgx_IHuhSq3AJ5eI5OnqOPBNLWSHKh2a30DoXe8/edit?usp=sharing"",""สงขลา!L476"")"),0.0)</f>
        <v>0</v>
      </c>
      <c r="M581" s="197"/>
      <c r="N581" s="203">
        <f>IFERROR(__xludf.DUMMYFUNCTION("IMPORTRANGE(""https://docs.google.com/spreadsheets/d/1IYY_tgx_IHuhSq3AJ5eI5OnqOPBNLWSHKh2a30DoXe8/edit?usp=sharing"",""สงขลา!M476"")"),0.0)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IFERROR(__xludf.DUMMYFUNCTION("IMPORTRANGE(""https://docs.google.com/spreadsheets/d/1IYY_tgx_IHuhSq3AJ5eI5OnqOPBNLWSHKh2a30DoXe8/edit?usp=sharing"",""สงขลา!L477"")"),376620.0)</f>
        <v>376620</v>
      </c>
      <c r="M582" s="198"/>
      <c r="N582" s="203">
        <f>IFERROR(__xludf.DUMMYFUNCTION("IMPORTRANGE(""https://docs.google.com/spreadsheets/d/1IYY_tgx_IHuhSq3AJ5eI5OnqOPBNLWSHKh2a30DoXe8/edit?usp=sharing"",""สงขลา!M477"")"),9935.0)</f>
        <v>9935</v>
      </c>
      <c r="O582" s="203">
        <f t="shared" si="125"/>
        <v>2.637937444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IFERROR(__xludf.DUMMYFUNCTION("IMPORTRANGE(""https://docs.google.com/spreadsheets/d/1IYY_tgx_IHuhSq3AJ5eI5OnqOPBNLWSHKh2a30DoXe8/edit?usp=sharing"",""สงขลา!L478"")"),0.0)</f>
        <v>0</v>
      </c>
      <c r="M583" s="203"/>
      <c r="N583" s="203">
        <f>IFERROR(__xludf.DUMMYFUNCTION("IMPORTRANGE(""https://docs.google.com/spreadsheets/d/1IYY_tgx_IHuhSq3AJ5eI5OnqOPBNLWSHKh2a30DoXe8/edit?usp=sharing"",""สงขลา!M478"")"),0.0)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IFERROR(__xludf.DUMMYFUNCTION("IMPORTRANGE(""https://docs.google.com/spreadsheets/d/1IYY_tgx_IHuhSq3AJ5eI5OnqOPBNLWSHKh2a30DoXe8/edit?usp=sharing"",""สงขลา!L479"")"),376620.0)</f>
        <v>376620</v>
      </c>
      <c r="M584" s="203"/>
      <c r="N584" s="203">
        <f>IFERROR(__xludf.DUMMYFUNCTION("IMPORTRANGE(""https://docs.google.com/spreadsheets/d/1IYY_tgx_IHuhSq3AJ5eI5OnqOPBNLWSHKh2a30DoXe8/edit?usp=sharing"",""สงขลา!M479"")"),9935.0)</f>
        <v>9935</v>
      </c>
      <c r="O584" s="203">
        <f t="shared" si="125"/>
        <v>2.637937444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IFERROR(__xludf.DUMMYFUNCTION("IMPORTRANGE(""https://docs.google.com/spreadsheets/d/1IYY_tgx_IHuhSq3AJ5eI5OnqOPBNLWSHKh2a30DoXe8/edit?usp=sharing"",""สงขลา!M480"")"),0.0)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IFERROR(__xludf.DUMMYFUNCTION("IMPORTRANGE(""https://docs.google.com/spreadsheets/d/1IYY_tgx_IHuhSq3AJ5eI5OnqOPBNLWSHKh2a30DoXe8/edit?usp=sharing"",""สงขลา!M481"")"),0.0)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IFERROR(__xludf.DUMMYFUNCTION("IMPORTRANGE(""https://docs.google.com/spreadsheets/d/1IYY_tgx_IHuhSq3AJ5eI5OnqOPBNLWSHKh2a30DoXe8/edit?usp=sharing"",""สงขลา!M482"")"),9935.0)</f>
        <v>9935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IFERROR(__xludf.DUMMYFUNCTION("IMPORTRANGE(""https://docs.google.com/spreadsheets/d/1IYY_tgx_IHuhSq3AJ5eI5OnqOPBNLWSHKh2a30DoXe8/edit?usp=sharing"",""สงขลา!M483"")"),0.0)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IFERROR(__xludf.DUMMYFUNCTION("IMPORTRANGE(""https://docs.google.com/spreadsheets/d/1IYY_tgx_IHuhSq3AJ5eI5OnqOPBNLWSHKh2a30DoXe8/edit?usp=sharing"",""สงขลา!I484"")"),220.0)</f>
        <v>220</v>
      </c>
      <c r="J589" s="222">
        <f>IFERROR(__xludf.DUMMYFUNCTION("IMPORTRANGE(""https://docs.google.com/spreadsheets/d/1IYY_tgx_IHuhSq3AJ5eI5OnqOPBNLWSHKh2a30DoXe8/edit?usp=sharing"",""สงขลา!J484"")"),39.0)</f>
        <v>39</v>
      </c>
      <c r="K589" s="196">
        <f t="shared" ref="K589:K596" si="126">IF(I589&gt;0,J589*100/I589,0)</f>
        <v>17.72727273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IFERROR(__xludf.DUMMYFUNCTION("IMPORTRANGE(""https://docs.google.com/spreadsheets/d/1IYY_tgx_IHuhSq3AJ5eI5OnqOPBNLWSHKh2a30DoXe8/edit?usp=sharing"",""สงขลา!I485"")"),0.0)</f>
        <v>0</v>
      </c>
      <c r="J590" s="222">
        <f>IFERROR(__xludf.DUMMYFUNCTION("IMPORTRANGE(""https://docs.google.com/spreadsheets/d/1IYY_tgx_IHuhSq3AJ5eI5OnqOPBNLWSHKh2a30DoXe8/edit?usp=sharing"",""สงขลา!J485"")"),9.54)</f>
        <v>9.54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IFERROR(__xludf.DUMMYFUNCTION("IMPORTRANGE(""https://docs.google.com/spreadsheets/d/1IYY_tgx_IHuhSq3AJ5eI5OnqOPBNLWSHKh2a30DoXe8/edit?usp=sharing"",""สงขลา!I486"")"),220.0)</f>
        <v>220</v>
      </c>
      <c r="J591" s="222">
        <f>IFERROR(__xludf.DUMMYFUNCTION("IMPORTRANGE(""https://docs.google.com/spreadsheets/d/1IYY_tgx_IHuhSq3AJ5eI5OnqOPBNLWSHKh2a30DoXe8/edit?usp=sharing"",""สงขลา!J486"")"),0.0)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IFERROR(__xludf.DUMMYFUNCTION("IMPORTRANGE(""https://docs.google.com/spreadsheets/d/1IYY_tgx_IHuhSq3AJ5eI5OnqOPBNLWSHKh2a30DoXe8/edit?usp=sharing"",""สงขลา!I487"")"),0.0)</f>
        <v>0</v>
      </c>
      <c r="J592" s="222">
        <f>IFERROR(__xludf.DUMMYFUNCTION("IMPORTRANGE(""https://docs.google.com/spreadsheets/d/1IYY_tgx_IHuhSq3AJ5eI5OnqOPBNLWSHKh2a30DoXe8/edit?usp=sharing"",""สงขลา!J487"")"),0.0)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IFERROR(__xludf.DUMMYFUNCTION("IMPORTRANGE(""https://docs.google.com/spreadsheets/d/1IYY_tgx_IHuhSq3AJ5eI5OnqOPBNLWSHKh2a30DoXe8/edit?usp=sharing"",""สงขลา!I488"")"),220.0)</f>
        <v>220</v>
      </c>
      <c r="J593" s="222">
        <f>IFERROR(__xludf.DUMMYFUNCTION("IMPORTRANGE(""https://docs.google.com/spreadsheets/d/1IYY_tgx_IHuhSq3AJ5eI5OnqOPBNLWSHKh2a30DoXe8/edit?usp=sharing"",""สงขลา!J488"")"),0.0)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IFERROR(__xludf.DUMMYFUNCTION("IMPORTRANGE(""https://docs.google.com/spreadsheets/d/1IYY_tgx_IHuhSq3AJ5eI5OnqOPBNLWSHKh2a30DoXe8/edit?usp=sharing"",""สงขลา!I489"")"),0.0)</f>
        <v>0</v>
      </c>
      <c r="J594" s="222">
        <f>IFERROR(__xludf.DUMMYFUNCTION("IMPORTRANGE(""https://docs.google.com/spreadsheets/d/1IYY_tgx_IHuhSq3AJ5eI5OnqOPBNLWSHKh2a30DoXe8/edit?usp=sharing"",""สงขลา!J489"")"),0.0)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IFERROR(__xludf.DUMMYFUNCTION("IMPORTRANGE(""https://docs.google.com/spreadsheets/d/1IYY_tgx_IHuhSq3AJ5eI5OnqOPBNLWSHKh2a30DoXe8/edit?usp=sharing"",""สงขลา!I490"")"),220.0)</f>
        <v>220</v>
      </c>
      <c r="J595" s="222">
        <f>IFERROR(__xludf.DUMMYFUNCTION("IMPORTRANGE(""https://docs.google.com/spreadsheets/d/1IYY_tgx_IHuhSq3AJ5eI5OnqOPBNLWSHKh2a30DoXe8/edit?usp=sharing"",""สงขลา!J490"")"),0.0)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IFERROR(__xludf.DUMMYFUNCTION("IMPORTRANGE(""https://docs.google.com/spreadsheets/d/1IYY_tgx_IHuhSq3AJ5eI5OnqOPBNLWSHKh2a30DoXe8/edit?usp=sharing"",""สงขลา!I491"")"),0.0)</f>
        <v>0</v>
      </c>
      <c r="J596" s="275">
        <f>IFERROR(__xludf.DUMMYFUNCTION("IMPORTRANGE(""https://docs.google.com/spreadsheets/d/1IYY_tgx_IHuhSq3AJ5eI5OnqOPBNLWSHKh2a30DoXe8/edit?usp=sharing"",""สงขลา!J491"")"),0.0)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IFERROR(__xludf.DUMMYFUNCTION("IMPORTRANGE(""https://docs.google.com/spreadsheets/d/1IYY_tgx_IHuhSq3AJ5eI5OnqOPBNLWSHKh2a30DoXe8/edit?usp=sharing"",""สงขลา!I492"")"),50.0)</f>
        <v>50</v>
      </c>
      <c r="J597" s="520">
        <f>IFERROR(__xludf.DUMMYFUNCTION("IMPORTRANGE(""https://docs.google.com/spreadsheets/d/1IYY_tgx_IHuhSq3AJ5eI5OnqOPBNLWSHKh2a30DoXe8/edit?usp=sharing"",""สงขลา!J492"")"),0.0)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IFERROR(__xludf.DUMMYFUNCTION("IMPORTRANGE(""https://docs.google.com/spreadsheets/d/1IYY_tgx_IHuhSq3AJ5eI5OnqOPBNLWSHKh2a30DoXe8/edit?usp=sharing"",""สงขลา!L492"")"),4550.0)</f>
        <v>4550</v>
      </c>
      <c r="M597" s="445"/>
      <c r="N597" s="445">
        <f>IFERROR(__xludf.DUMMYFUNCTION("IMPORTRANGE(""https://docs.google.com/spreadsheets/d/1IYY_tgx_IHuhSq3AJ5eI5OnqOPBNLWSHKh2a30DoXe8/edit?usp=sharing"",""สงขลา!M492"")"),0.0)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IFERROR(__xludf.DUMMYFUNCTION("IMPORTRANGE(""https://docs.google.com/spreadsheets/d/1IYY_tgx_IHuhSq3AJ5eI5OnqOPBNLWSHKh2a30DoXe8/edit?usp=sharing"",""สงขลา!L493"")"),0.0)</f>
        <v>0</v>
      </c>
      <c r="M598" s="197"/>
      <c r="N598" s="203">
        <f>IFERROR(__xludf.DUMMYFUNCTION("IMPORTRANGE(""https://docs.google.com/spreadsheets/d/1IYY_tgx_IHuhSq3AJ5eI5OnqOPBNLWSHKh2a30DoXe8/edit?usp=sharing"",""สงขลา!M493"")"),0.0)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IFERROR(__xludf.DUMMYFUNCTION("IMPORTRANGE(""https://docs.google.com/spreadsheets/d/1IYY_tgx_IHuhSq3AJ5eI5OnqOPBNLWSHKh2a30DoXe8/edit?usp=sharing"",""สงขลา!L494"")"),4550.0)</f>
        <v>4550</v>
      </c>
      <c r="M599" s="198"/>
      <c r="N599" s="203">
        <f>IFERROR(__xludf.DUMMYFUNCTION("IMPORTRANGE(""https://docs.google.com/spreadsheets/d/1IYY_tgx_IHuhSq3AJ5eI5OnqOPBNLWSHKh2a30DoXe8/edit?usp=sharing"",""สงขลา!M494"")"),0.0)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IFERROR(__xludf.DUMMYFUNCTION("IMPORTRANGE(""https://docs.google.com/spreadsheets/d/1IYY_tgx_IHuhSq3AJ5eI5OnqOPBNLWSHKh2a30DoXe8/edit?usp=sharing"",""สงขลา!L495"")"),0.0)</f>
        <v>0</v>
      </c>
      <c r="M600" s="203"/>
      <c r="N600" s="203">
        <f>IFERROR(__xludf.DUMMYFUNCTION("IMPORTRANGE(""https://docs.google.com/spreadsheets/d/1IYY_tgx_IHuhSq3AJ5eI5OnqOPBNLWSHKh2a30DoXe8/edit?usp=sharing"",""สงขลา!M495"")"),0.0)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IFERROR(__xludf.DUMMYFUNCTION("IMPORTRANGE(""https://docs.google.com/spreadsheets/d/1IYY_tgx_IHuhSq3AJ5eI5OnqOPBNLWSHKh2a30DoXe8/edit?usp=sharing"",""สงขลา!L496"")"),4550.0)</f>
        <v>4550</v>
      </c>
      <c r="M601" s="203"/>
      <c r="N601" s="203">
        <f>IFERROR(__xludf.DUMMYFUNCTION("IMPORTRANGE(""https://docs.google.com/spreadsheets/d/1IYY_tgx_IHuhSq3AJ5eI5OnqOPBNLWSHKh2a30DoXe8/edit?usp=sharing"",""สงขลา!M496"")"),0.0)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IFERROR(__xludf.DUMMYFUNCTION("IMPORTRANGE(""https://docs.google.com/spreadsheets/d/1IYY_tgx_IHuhSq3AJ5eI5OnqOPBNLWSHKh2a30DoXe8/edit?usp=sharing"",""สงขลา!M497"")"),0.0)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IFERROR(__xludf.DUMMYFUNCTION("IMPORTRANGE(""https://docs.google.com/spreadsheets/d/1IYY_tgx_IHuhSq3AJ5eI5OnqOPBNLWSHKh2a30DoXe8/edit?usp=sharing"",""สงขลา!M498"")"),0.0)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IFERROR(__xludf.DUMMYFUNCTION("IMPORTRANGE(""https://docs.google.com/spreadsheets/d/1IYY_tgx_IHuhSq3AJ5eI5OnqOPBNLWSHKh2a30DoXe8/edit?usp=sharing"",""สงขลา!M499"")"),0.0)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IFERROR(__xludf.DUMMYFUNCTION("IMPORTRANGE(""https://docs.google.com/spreadsheets/d/1IYY_tgx_IHuhSq3AJ5eI5OnqOPBNLWSHKh2a30DoXe8/edit?usp=sharing"",""สงขลา!M500"")"),0.0)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IFERROR(__xludf.DUMMYFUNCTION("IMPORTRANGE(""https://docs.google.com/spreadsheets/d/1IYY_tgx_IHuhSq3AJ5eI5OnqOPBNLWSHKh2a30DoXe8/edit?usp=sharing"",""สงขลา!J502"")"),1.0)</f>
        <v>1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IFERROR(__xludf.DUMMYFUNCTION("IMPORTRANGE(""https://docs.google.com/spreadsheets/d/1IYY_tgx_IHuhSq3AJ5eI5OnqOPBNLWSHKh2a30DoXe8/edit?usp=sharing"",""สงขลา!J503"")"),0.0)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IFERROR(__xludf.DUMMYFUNCTION("IMPORTRANGE(""https://docs.google.com/spreadsheets/d/1IYY_tgx_IHuhSq3AJ5eI5OnqOPBNLWSHKh2a30DoXe8/edit?usp=sharing"",""สงขลา!J166"")"),0.0)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IFERROR(__xludf.DUMMYFUNCTION("IMPORTRANGE(""https://docs.google.com/spreadsheets/d/1IYY_tgx_IHuhSq3AJ5eI5OnqOPBNLWSHKh2a30DoXe8/edit?usp=sharing"",""สงขลา!J166"")"),0.0)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IFERROR(__xludf.DUMMYFUNCTION("IMPORTRANGE(""https://docs.google.com/spreadsheets/d/1IYY_tgx_IHuhSq3AJ5eI5OnqOPBNLWSHKh2a30DoXe8/edit?usp=sharing"",""สงขลา!I506"")"),50.0)</f>
        <v>50</v>
      </c>
      <c r="J611" s="195">
        <f>IFERROR(__xludf.DUMMYFUNCTION("IMPORTRANGE(""https://docs.google.com/spreadsheets/d/1IYY_tgx_IHuhSq3AJ5eI5OnqOPBNLWSHKh2a30DoXe8/edit?usp=sharing"",""สงขลา!J506"")"),0.0)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IFERROR(__xludf.DUMMYFUNCTION("IMPORTRANGE(""https://docs.google.com/spreadsheets/d/1IYY_tgx_IHuhSq3AJ5eI5OnqOPBNLWSHKh2a30DoXe8/edit?usp=sharing"",""สงขลา!I507"")"),0.0)</f>
        <v>0</v>
      </c>
      <c r="J612" s="232">
        <f>IFERROR(__xludf.DUMMYFUNCTION("IMPORTRANGE(""https://docs.google.com/spreadsheets/d/1IYY_tgx_IHuhSq3AJ5eI5OnqOPBNLWSHKh2a30DoXe8/edit?usp=sharing"",""สงขลา!J507"")"),0.0)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IFERROR(__xludf.DUMMYFUNCTION("IMPORTRANGE(""https://docs.google.com/spreadsheets/d/1IYY_tgx_IHuhSq3AJ5eI5OnqOPBNLWSHKh2a30DoXe8/edit?usp=sharing"",""สงขลา!I508"")"),0.0)</f>
        <v>0</v>
      </c>
      <c r="J613" s="232">
        <f>IFERROR(__xludf.DUMMYFUNCTION("IMPORTRANGE(""https://docs.google.com/spreadsheets/d/1IYY_tgx_IHuhSq3AJ5eI5OnqOPBNLWSHKh2a30DoXe8/edit?usp=sharing"",""สงขลา!J508"")"),0.0)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IFERROR(__xludf.DUMMYFUNCTION("IMPORTRANGE(""https://docs.google.com/spreadsheets/d/1IYY_tgx_IHuhSq3AJ5eI5OnqOPBNLWSHKh2a30DoXe8/edit?usp=sharing"",""สงขลา!I509"")"),0.0)</f>
        <v>0</v>
      </c>
      <c r="J614" s="232">
        <f>IFERROR(__xludf.DUMMYFUNCTION("IMPORTRANGE(""https://docs.google.com/spreadsheets/d/1IYY_tgx_IHuhSq3AJ5eI5OnqOPBNLWSHKh2a30DoXe8/edit?usp=sharing"",""สงขลา!J509"")"),0.0)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IFERROR(__xludf.DUMMYFUNCTION("IMPORTRANGE(""https://docs.google.com/spreadsheets/d/1IYY_tgx_IHuhSq3AJ5eI5OnqOPBNLWSHKh2a30DoXe8/edit?usp=sharing"",""สงขลา!I510"")"),0.0)</f>
        <v>0</v>
      </c>
      <c r="J615" s="232">
        <f>IFERROR(__xludf.DUMMYFUNCTION("IMPORTRANGE(""https://docs.google.com/spreadsheets/d/1IYY_tgx_IHuhSq3AJ5eI5OnqOPBNLWSHKh2a30DoXe8/edit?usp=sharing"",""สงขลา!J510"")"),0.0)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IFERROR(__xludf.DUMMYFUNCTION("IMPORTRANGE(""https://docs.google.com/spreadsheets/d/1IYY_tgx_IHuhSq3AJ5eI5OnqOPBNLWSHKh2a30DoXe8/edit?usp=sharing"",""สงขลา!I511"")"),0.0)</f>
        <v>0</v>
      </c>
      <c r="J616" s="232">
        <f>IFERROR(__xludf.DUMMYFUNCTION("IMPORTRANGE(""https://docs.google.com/spreadsheets/d/1IYY_tgx_IHuhSq3AJ5eI5OnqOPBNLWSHKh2a30DoXe8/edit?usp=sharing"",""สงขลา!J511"")"),0.0)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IFERROR(__xludf.DUMMYFUNCTION("IMPORTRANGE(""https://docs.google.com/spreadsheets/d/1IYY_tgx_IHuhSq3AJ5eI5OnqOPBNLWSHKh2a30DoXe8/edit?usp=sharing"",""สงขลา!I512"")"),0.0)</f>
        <v>0</v>
      </c>
      <c r="J617" s="222">
        <f>IFERROR(__xludf.DUMMYFUNCTION("IMPORTRANGE(""https://docs.google.com/spreadsheets/d/1IYY_tgx_IHuhSq3AJ5eI5OnqOPBNLWSHKh2a30DoXe8/edit?usp=sharing"",""สงขลา!J512"")"),0.0)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IFERROR(__xludf.DUMMYFUNCTION("IMPORTRANGE(""https://docs.google.com/spreadsheets/d/1IYY_tgx_IHuhSq3AJ5eI5OnqOPBNLWSHKh2a30DoXe8/edit?usp=sharing"",""สงขลา!I513"")"),0.0)</f>
        <v>0</v>
      </c>
      <c r="J618" s="223">
        <f>IFERROR(__xludf.DUMMYFUNCTION("IMPORTRANGE(""https://docs.google.com/spreadsheets/d/1IYY_tgx_IHuhSq3AJ5eI5OnqOPBNLWSHKh2a30DoXe8/edit?usp=sharing"",""สงขลา!J513"")"),0.0)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IFERROR(__xludf.DUMMYFUNCTION("IMPORTRANGE(""https://docs.google.com/spreadsheets/d/1IYY_tgx_IHuhSq3AJ5eI5OnqOPBNLWSHKh2a30DoXe8/edit?usp=sharing"",""สงขลา!I514"")"),0.0)</f>
        <v>0</v>
      </c>
      <c r="J619" s="223">
        <f>IFERROR(__xludf.DUMMYFUNCTION("IMPORTRANGE(""https://docs.google.com/spreadsheets/d/1IYY_tgx_IHuhSq3AJ5eI5OnqOPBNLWSHKh2a30DoXe8/edit?usp=sharing"",""สงขลา!J514"")"),0.0)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IFERROR(__xludf.DUMMYFUNCTION("IMPORTRANGE(""https://docs.google.com/spreadsheets/d/1IYY_tgx_IHuhSq3AJ5eI5OnqOPBNLWSHKh2a30DoXe8/edit?usp=sharing"",""สงขลา!I515"")"),48.0)</f>
        <v>48</v>
      </c>
      <c r="J620" s="237">
        <f>IFERROR(__xludf.DUMMYFUNCTION("IMPORTRANGE(""https://docs.google.com/spreadsheets/d/1IYY_tgx_IHuhSq3AJ5eI5OnqOPBNLWSHKh2a30DoXe8/edit?usp=sharing"",""สงขลา!J515"")"),0.0)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IFERROR(__xludf.DUMMYFUNCTION("IMPORTRANGE(""https://docs.google.com/spreadsheets/d/1IYY_tgx_IHuhSq3AJ5eI5OnqOPBNLWSHKh2a30DoXe8/edit?usp=sharing"",""สงขลา!I516"")"),0.0)</f>
        <v>0</v>
      </c>
      <c r="J621" s="237">
        <f>IFERROR(__xludf.DUMMYFUNCTION("IMPORTRANGE(""https://docs.google.com/spreadsheets/d/1IYY_tgx_IHuhSq3AJ5eI5OnqOPBNLWSHKh2a30DoXe8/edit?usp=sharing"",""สงขลา!J516"")"),0.0)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IFERROR(__xludf.DUMMYFUNCTION("IMPORTRANGE(""https://docs.google.com/spreadsheets/d/1IYY_tgx_IHuhSq3AJ5eI5OnqOPBNLWSHKh2a30DoXe8/edit?usp=sharing"",""สงขลา!I517"")"),0.0)</f>
        <v>0</v>
      </c>
      <c r="J622" s="223">
        <f>IFERROR(__xludf.DUMMYFUNCTION("IMPORTRANGE(""https://docs.google.com/spreadsheets/d/1IYY_tgx_IHuhSq3AJ5eI5OnqOPBNLWSHKh2a30DoXe8/edit?usp=sharing"",""สงขลา!J517"")"),0.0)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IFERROR(__xludf.DUMMYFUNCTION("IMPORTRANGE(""https://docs.google.com/spreadsheets/d/1IYY_tgx_IHuhSq3AJ5eI5OnqOPBNLWSHKh2a30DoXe8/edit?usp=sharing"",""สงขลา!I518"")"),0.0)</f>
        <v>0</v>
      </c>
      <c r="J623" s="223">
        <f>IFERROR(__xludf.DUMMYFUNCTION("IMPORTRANGE(""https://docs.google.com/spreadsheets/d/1IYY_tgx_IHuhSq3AJ5eI5OnqOPBNLWSHKh2a30DoXe8/edit?usp=sharing"",""สงขลา!J518"")"),0.0)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IFERROR(__xludf.DUMMYFUNCTION("IMPORTRANGE(""https://docs.google.com/spreadsheets/d/1IYY_tgx_IHuhSq3AJ5eI5OnqOPBNLWSHKh2a30DoXe8/edit?usp=sharing"",""สงขลา!I519"")"),0.0)</f>
        <v>0</v>
      </c>
      <c r="J624" s="222">
        <f>IFERROR(__xludf.DUMMYFUNCTION("IMPORTRANGE(""https://docs.google.com/spreadsheets/d/1IYY_tgx_IHuhSq3AJ5eI5OnqOPBNLWSHKh2a30DoXe8/edit?usp=sharing"",""สงขลา!J519"")"),0.0)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IFERROR(__xludf.DUMMYFUNCTION("IMPORTRANGE(""https://docs.google.com/spreadsheets/d/1IYY_tgx_IHuhSq3AJ5eI5OnqOPBNLWSHKh2a30DoXe8/edit?usp=sharing"",""สงขลา!I520"")"),0.0)</f>
        <v>0</v>
      </c>
      <c r="J625" s="223">
        <f>IFERROR(__xludf.DUMMYFUNCTION("IMPORTRANGE(""https://docs.google.com/spreadsheets/d/1IYY_tgx_IHuhSq3AJ5eI5OnqOPBNLWSHKh2a30DoXe8/edit?usp=sharing"",""สงขลา!J520"")"),0.0)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IFERROR(__xludf.DUMMYFUNCTION("IMPORTRANGE(""https://docs.google.com/spreadsheets/d/1IYY_tgx_IHuhSq3AJ5eI5OnqOPBNLWSHKh2a30DoXe8/edit?usp=sharing"",""สงขลา!I521"")"),0.0)</f>
        <v>0</v>
      </c>
      <c r="J626" s="223">
        <f>IFERROR(__xludf.DUMMYFUNCTION("IMPORTRANGE(""https://docs.google.com/spreadsheets/d/1IYY_tgx_IHuhSq3AJ5eI5OnqOPBNLWSHKh2a30DoXe8/edit?usp=sharing"",""สงขลา!J521"")"),0.0)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IFERROR(__xludf.DUMMYFUNCTION("IMPORTRANGE(""https://docs.google.com/spreadsheets/d/1IYY_tgx_IHuhSq3AJ5eI5OnqOPBNLWSHKh2a30DoXe8/edit?usp=sharing"",""สงขลา!I523"")"),3619067.78)</f>
        <v>3619067.78</v>
      </c>
      <c r="J628" s="374">
        <f>IFERROR(__xludf.DUMMYFUNCTION("IMPORTRANGE(""https://docs.google.com/spreadsheets/d/1IYY_tgx_IHuhSq3AJ5eI5OnqOPBNLWSHKh2a30DoXe8/edit?usp=sharing"",""สงขลา!J523"")"),375491.33)</f>
        <v>375491.33</v>
      </c>
      <c r="K628" s="375">
        <f t="shared" ref="K628:K635" si="130">IF(I628&gt;0,J628*100/I628,0)</f>
        <v>10.37536053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IFERROR(__xludf.DUMMYFUNCTION("IMPORTRANGE(""https://docs.google.com/spreadsheets/d/1IYY_tgx_IHuhSq3AJ5eI5OnqOPBNLWSHKh2a30DoXe8/edit?usp=sharing"",""สงขลา!I524"")"),277.0)</f>
        <v>277</v>
      </c>
      <c r="J629" s="374">
        <f>IFERROR(__xludf.DUMMYFUNCTION("IMPORTRANGE(""https://docs.google.com/spreadsheets/d/1IYY_tgx_IHuhSq3AJ5eI5OnqOPBNLWSHKh2a30DoXe8/edit?usp=sharing"",""สงขลา!J524"")"),39.0)</f>
        <v>39</v>
      </c>
      <c r="K629" s="375">
        <f t="shared" si="130"/>
        <v>14.07942238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IFERROR(__xludf.DUMMYFUNCTION("IMPORTRANGE(""https://docs.google.com/spreadsheets/d/1IYY_tgx_IHuhSq3AJ5eI5OnqOPBNLWSHKh2a30DoXe8/edit?usp=sharing"",""สงขลา!I525"")"),927206.85)</f>
        <v>927206.85</v>
      </c>
      <c r="J630" s="374">
        <f>IFERROR(__xludf.DUMMYFUNCTION("IMPORTRANGE(""https://docs.google.com/spreadsheets/d/1IYY_tgx_IHuhSq3AJ5eI5OnqOPBNLWSHKh2a30DoXe8/edit?usp=sharing"",""สงขลา!J525"")"),119440.61)</f>
        <v>119440.61</v>
      </c>
      <c r="K630" s="375">
        <f t="shared" si="130"/>
        <v>12.88176527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IFERROR(__xludf.DUMMYFUNCTION("IMPORTRANGE(""https://docs.google.com/spreadsheets/d/1IYY_tgx_IHuhSq3AJ5eI5OnqOPBNLWSHKh2a30DoXe8/edit?usp=sharing"",""สงขลา!I526"")"),42.0)</f>
        <v>42</v>
      </c>
      <c r="J631" s="374">
        <f>IFERROR(__xludf.DUMMYFUNCTION("IMPORTRANGE(""https://docs.google.com/spreadsheets/d/1IYY_tgx_IHuhSq3AJ5eI5OnqOPBNLWSHKh2a30DoXe8/edit?usp=sharing"",""สงขลา!J526"")"),26.0)</f>
        <v>26</v>
      </c>
      <c r="K631" s="375">
        <f t="shared" si="130"/>
        <v>61.9047619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IFERROR(__xludf.DUMMYFUNCTION("IMPORTRANGE(""https://docs.google.com/spreadsheets/d/1IYY_tgx_IHuhSq3AJ5eI5OnqOPBNLWSHKh2a30DoXe8/edit?usp=sharing"",""สงขลา!I527"")"),0.0)</f>
        <v>0</v>
      </c>
      <c r="J632" s="374">
        <f>IFERROR(__xludf.DUMMYFUNCTION("IMPORTRANGE(""https://docs.google.com/spreadsheets/d/1IYY_tgx_IHuhSq3AJ5eI5OnqOPBNLWSHKh2a30DoXe8/edit?usp=sharing"",""สงขลา!J527"")"),0.0)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IFERROR(__xludf.DUMMYFUNCTION("IMPORTRANGE(""https://docs.google.com/spreadsheets/d/1IYY_tgx_IHuhSq3AJ5eI5OnqOPBNLWSHKh2a30DoXe8/edit?usp=sharing"",""สงขลา!I528"")"),0.0)</f>
        <v>0</v>
      </c>
      <c r="J633" s="374">
        <f>IFERROR(__xludf.DUMMYFUNCTION("IMPORTRANGE(""https://docs.google.com/spreadsheets/d/1IYY_tgx_IHuhSq3AJ5eI5OnqOPBNLWSHKh2a30DoXe8/edit?usp=sharing"",""สงขลา!J528"")"),0.0)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IFERROR(__xludf.DUMMYFUNCTION("IMPORTRANGE(""https://docs.google.com/spreadsheets/d/1IYY_tgx_IHuhSq3AJ5eI5OnqOPBNLWSHKh2a30DoXe8/edit?usp=sharing"",""สงขลา!I529"")"),1500000.0)</f>
        <v>1500000</v>
      </c>
      <c r="J634" s="374">
        <f>IFERROR(__xludf.DUMMYFUNCTION("IMPORTRANGE(""https://docs.google.com/spreadsheets/d/1IYY_tgx_IHuhSq3AJ5eI5OnqOPBNLWSHKh2a30DoXe8/edit?usp=sharing"",""สงขลา!J529"")"),0.0)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IFERROR(__xludf.DUMMYFUNCTION("IMPORTRANGE(""https://docs.google.com/spreadsheets/d/1IYY_tgx_IHuhSq3AJ5eI5OnqOPBNLWSHKh2a30DoXe8/edit?usp=sharing"",""สงขลา!I530"")"),30.0)</f>
        <v>30</v>
      </c>
      <c r="J635" s="544">
        <f>IFERROR(__xludf.DUMMYFUNCTION("IMPORTRANGE(""https://docs.google.com/spreadsheets/d/1IYY_tgx_IHuhSq3AJ5eI5OnqOPBNLWSHKh2a30DoXe8/edit?usp=sharing"",""สงขลา!J530"")"),0.0)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265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2422986</v>
      </c>
      <c r="M8" s="41">
        <f t="shared" si="1"/>
        <v>938560</v>
      </c>
      <c r="N8" s="41">
        <f t="shared" si="1"/>
        <v>775520</v>
      </c>
      <c r="O8" s="40">
        <f t="shared" ref="O8:O16" si="3">IF(L8&gt;0,N8*100/L8,0)</f>
        <v>32.00678832</v>
      </c>
      <c r="P8" s="40">
        <f t="shared" ref="P8:P16" si="4">IF(M8&gt;0,N8*100/M8,0)</f>
        <v>82.62870781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2422986</v>
      </c>
      <c r="M10" s="48">
        <f t="shared" si="5"/>
        <v>938560</v>
      </c>
      <c r="N10" s="48">
        <f t="shared" si="5"/>
        <v>775520</v>
      </c>
      <c r="O10" s="47">
        <f t="shared" si="3"/>
        <v>32.00678832</v>
      </c>
      <c r="P10" s="47">
        <f t="shared" si="4"/>
        <v>82.62870781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2253986</v>
      </c>
      <c r="M12" s="58">
        <f t="shared" si="7"/>
        <v>938560</v>
      </c>
      <c r="N12" s="58">
        <f t="shared" si="7"/>
        <v>606520</v>
      </c>
      <c r="O12" s="58">
        <f t="shared" si="3"/>
        <v>26.90877406</v>
      </c>
      <c r="P12" s="58">
        <f t="shared" si="4"/>
        <v>64.62240027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1344600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909386</v>
      </c>
      <c r="M14" s="58">
        <f t="shared" si="9"/>
        <v>0</v>
      </c>
      <c r="N14" s="58">
        <f t="shared" si="9"/>
        <v>116636</v>
      </c>
      <c r="O14" s="61">
        <f t="shared" si="3"/>
        <v>12.82579675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169000</v>
      </c>
      <c r="M16" s="58">
        <f t="shared" si="11"/>
        <v>0</v>
      </c>
      <c r="N16" s="58">
        <f t="shared" si="11"/>
        <v>169000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1926810</v>
      </c>
      <c r="M18" s="41">
        <f t="shared" si="12"/>
        <v>938560</v>
      </c>
      <c r="N18" s="41">
        <f t="shared" si="12"/>
        <v>658884</v>
      </c>
      <c r="O18" s="40">
        <f t="shared" ref="O18:O20" si="14">IF(L18&gt;0,N18*100/L18,0)</f>
        <v>34.19558753</v>
      </c>
      <c r="P18" s="40">
        <f t="shared" ref="P18:P26" si="15">IF(M18&gt;0,N18*100/M18,0)</f>
        <v>70.20158541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1926810</v>
      </c>
      <c r="M20" s="48">
        <f t="shared" si="16"/>
        <v>938560</v>
      </c>
      <c r="N20" s="48">
        <f t="shared" si="16"/>
        <v>658884</v>
      </c>
      <c r="O20" s="47">
        <f t="shared" si="14"/>
        <v>34.19558753</v>
      </c>
      <c r="P20" s="47">
        <f t="shared" si="15"/>
        <v>70.20158541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1757810</v>
      </c>
      <c r="M22" s="62">
        <f t="shared" si="18"/>
        <v>938560</v>
      </c>
      <c r="N22" s="61">
        <f t="shared" si="18"/>
        <v>489884</v>
      </c>
      <c r="O22" s="61">
        <f t="shared" si="19"/>
        <v>27.86899608</v>
      </c>
      <c r="P22" s="61">
        <f t="shared" si="15"/>
        <v>52.19527787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1344600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413210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169000</v>
      </c>
      <c r="M26" s="70">
        <f t="shared" si="23"/>
        <v>0</v>
      </c>
      <c r="N26" s="70">
        <f t="shared" si="23"/>
        <v>169000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496176</v>
      </c>
      <c r="M28" s="41">
        <f t="shared" si="24"/>
        <v>0</v>
      </c>
      <c r="N28" s="41">
        <f t="shared" si="24"/>
        <v>116636</v>
      </c>
      <c r="O28" s="40">
        <f t="shared" ref="O28:O30" si="26">IF(L28&gt;0,N28*100/L28,0)</f>
        <v>23.50698139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496176</v>
      </c>
      <c r="M30" s="48">
        <f t="shared" si="28"/>
        <v>0</v>
      </c>
      <c r="N30" s="48">
        <f t="shared" si="28"/>
        <v>116636</v>
      </c>
      <c r="O30" s="47">
        <f t="shared" si="26"/>
        <v>23.50698139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496176</v>
      </c>
      <c r="M32" s="61">
        <f t="shared" si="30"/>
        <v>0</v>
      </c>
      <c r="N32" s="61">
        <f t="shared" si="30"/>
        <v>116636</v>
      </c>
      <c r="O32" s="61">
        <f t="shared" si="31"/>
        <v>23.50698139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496176</v>
      </c>
      <c r="M34" s="61">
        <f t="shared" si="33"/>
        <v>0</v>
      </c>
      <c r="N34" s="61">
        <f t="shared" si="33"/>
        <v>116636</v>
      </c>
      <c r="O34" s="61">
        <f t="shared" si="31"/>
        <v>23.50698139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1926810</v>
      </c>
      <c r="M37" s="75">
        <f t="shared" si="34"/>
        <v>938560</v>
      </c>
      <c r="N37" s="75">
        <f t="shared" si="34"/>
        <v>658884</v>
      </c>
      <c r="O37" s="76">
        <f t="shared" si="31"/>
        <v>34.19558753</v>
      </c>
      <c r="P37" s="76">
        <f t="shared" si="27"/>
        <v>70.20158541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306800</v>
      </c>
      <c r="M41" s="102">
        <f t="shared" si="35"/>
        <v>153400</v>
      </c>
      <c r="N41" s="102">
        <f t="shared" si="35"/>
        <v>86535</v>
      </c>
      <c r="O41" s="101">
        <f t="shared" ref="O41:O43" si="37">IF(L41&gt;0,N41*100/L41,0)</f>
        <v>28.20567145</v>
      </c>
      <c r="P41" s="101">
        <f t="shared" ref="P41:P43" si="38">IF(M41&gt;0,N41*100/M41,0)</f>
        <v>56.41134289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306800</v>
      </c>
      <c r="M43" s="102">
        <f t="shared" si="39"/>
        <v>153400</v>
      </c>
      <c r="N43" s="102">
        <f t="shared" si="39"/>
        <v>86535</v>
      </c>
      <c r="O43" s="101">
        <f t="shared" si="37"/>
        <v>28.20567145</v>
      </c>
      <c r="P43" s="101">
        <f t="shared" si="38"/>
        <v>56.41134289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306800</v>
      </c>
      <c r="M45" s="115">
        <f>IFERROR(__xludf.DUMMYFUNCTION("IMPORTRANGE(""https://docs.google.com/spreadsheets/d/1Yj_ptqi66GCucihVvJfMjLAmec39IyEx_6qawtMGysU/edit?usp=sharing"",""สบก!Q93"")"),153400.0)</f>
        <v>153400</v>
      </c>
      <c r="N45" s="115">
        <f>IFERROR(__xludf.DUMMYFUNCTION("IMPORTRANGE(""https://docs.google.com/spreadsheets/d/1Yj_ptqi66GCucihVvJfMjLAmec39IyEx_6qawtMGysU/edit?usp=sharing"",""สบก!R93"")"),86535.0)</f>
        <v>86535</v>
      </c>
      <c r="O45" s="116">
        <f>IF(L45&gt;0,N45*100/L45,0)</f>
        <v>28.20567145</v>
      </c>
      <c r="P45" s="116">
        <f>IF(M45&gt;0,N45*100/M45,0)</f>
        <v>56.41134289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IFERROR(__xludf.DUMMYFUNCTION("IMPORTRANGE(""https://docs.google.com/spreadsheets/d/1Yj_ptqi66GCucihVvJfMjLAmec39IyEx_6qawtMGysU/edit?usp=sharing"",""สบก!M93"")"),306800.0)</f>
        <v>306800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IFERROR(__xludf.DUMMYFUNCTION("IMPORTRANGE(""https://docs.google.com/spreadsheets/d/1Yj_ptqi66GCucihVvJfMjLAmec39IyEx_6qawtMGysU/edit?usp=sharing"",""สบก!N93"")"),0.0)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IFERROR(__xludf.DUMMYFUNCTION("IMPORTRANGE(""https://docs.google.com/spreadsheets/d/1Yj_ptqi66GCucihVvJfMjLAmec39IyEx_6qawtMGysU/edit?usp=sharing"",""สบก!O93"")"),0.0)</f>
        <v>0</v>
      </c>
      <c r="M49" s="125"/>
      <c r="N49" s="115">
        <f>IFERROR(__xludf.DUMMYFUNCTION("IMPORTRANGE(""https://docs.google.com/spreadsheets/d/1Yj_ptqi66GCucihVvJfMjLAmec39IyEx_6qawtMGysU/edit?usp=sharing"",""สบก!S93"")"),0.0)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375000</v>
      </c>
      <c r="M53" s="151">
        <f t="shared" si="40"/>
        <v>192000</v>
      </c>
      <c r="N53" s="151">
        <f t="shared" si="40"/>
        <v>105944</v>
      </c>
      <c r="O53" s="150">
        <f t="shared" ref="O53:O55" si="42">IF(L53&gt;0,N53*100/L53,0)</f>
        <v>28.25173333</v>
      </c>
      <c r="P53" s="150">
        <f t="shared" ref="P53:P55" si="43">IF(M53&gt;0,N53*100/M53,0)</f>
        <v>55.17916667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375000</v>
      </c>
      <c r="M55" s="151">
        <f t="shared" si="44"/>
        <v>192000</v>
      </c>
      <c r="N55" s="151">
        <f t="shared" si="44"/>
        <v>105944</v>
      </c>
      <c r="O55" s="150">
        <f t="shared" si="42"/>
        <v>28.25173333</v>
      </c>
      <c r="P55" s="150">
        <f t="shared" si="43"/>
        <v>55.17916667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375000</v>
      </c>
      <c r="M57" s="115">
        <f>IFERROR(__xludf.DUMMYFUNCTION("IMPORTRANGE(""https://docs.google.com/spreadsheets/d/1Yj_ptqi66GCucihVvJfMjLAmec39IyEx_6qawtMGysU/edit?usp=sharing"",""สบก!Z93"")"),192000.0)</f>
        <v>192000</v>
      </c>
      <c r="N57" s="115">
        <f>IFERROR(__xludf.DUMMYFUNCTION("IMPORTRANGE(""https://docs.google.com/spreadsheets/d/1Yj_ptqi66GCucihVvJfMjLAmec39IyEx_6qawtMGysU/edit?usp=sharing"",""สบก!AA93"")"),105944.0)</f>
        <v>105944</v>
      </c>
      <c r="O57" s="116">
        <f>IF(L57&gt;0,N57*100/L57,0)</f>
        <v>28.25173333</v>
      </c>
      <c r="P57" s="116">
        <f>IF(M57&gt;0,N57*100/M57,0)</f>
        <v>55.17916667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IFERROR(__xludf.DUMMYFUNCTION("IMPORTRANGE(""https://docs.google.com/spreadsheets/d/1Yj_ptqi66GCucihVvJfMjLAmec39IyEx_6qawtMGysU/edit?usp=sharing"",""สบก!V93"")"),375000.0)</f>
        <v>375000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IFERROR(__xludf.DUMMYFUNCTION("IMPORTRANGE(""https://docs.google.com/spreadsheets/d/1Yj_ptqi66GCucihVvJfMjLAmec39IyEx_6qawtMGysU/edit?usp=sharing"",""สบก!W93"")"),0.0)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IFERROR(__xludf.DUMMYFUNCTION("IMPORTRANGE(""https://docs.google.com/spreadsheets/d/1Yj_ptqi66GCucihVvJfMjLAmec39IyEx_6qawtMGysU/edit?usp=sharing"",""สบก!X93"")"),0.0)</f>
        <v>0</v>
      </c>
      <c r="M61" s="125"/>
      <c r="N61" s="115">
        <f>IFERROR(__xludf.DUMMYFUNCTION("IMPORTRANGE(""https://docs.google.com/spreadsheets/d/1Yj_ptqi66GCucihVvJfMjLAmec39IyEx_6qawtMGysU/edit?usp=sharing"",""สบก!AB93"")"),0.0)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IFERROR(__xludf.DUMMYFUNCTION("IMPORTRANGE(""https://docs.google.com/spreadsheets/d/1IYY_tgx_IHuhSq3AJ5eI5OnqOPBNLWSHKh2a30DoXe8/edit?usp=sharing"",""สตูล!I9"")"),0.0)</f>
        <v>0</v>
      </c>
      <c r="J64" s="172">
        <f>IFERROR(__xludf.DUMMYFUNCTION("IMPORTRANGE(""https://docs.google.com/spreadsheets/d/1IYY_tgx_IHuhSq3AJ5eI5OnqOPBNLWSHKh2a30DoXe8/edit?usp=sharing"",""สตูล!J9"")"),0.0)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IFERROR(__xludf.DUMMYFUNCTION("IMPORTRANGE(""https://docs.google.com/spreadsheets/d/1IYY_tgx_IHuhSq3AJ5eI5OnqOPBNLWSHKh2a30DoXe8/edit?usp=sharing"",""สตูล!I10"")"),0.0)</f>
        <v>0</v>
      </c>
      <c r="J65" s="172">
        <f>IFERROR(__xludf.DUMMYFUNCTION("IMPORTRANGE(""https://docs.google.com/spreadsheets/d/1IYY_tgx_IHuhSq3AJ5eI5OnqOPBNLWSHKh2a30DoXe8/edit?usp=sharing"",""สตูล!J10"")"),0.0)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IFERROR(__xludf.DUMMYFUNCTION("IMPORTRANGE(""https://docs.google.com/spreadsheets/d/1Yj_ptqi66GCucihVvJfMjLAmec39IyEx_6qawtMGysU/edit?usp=sharing"",""สบก!AI93"")"),0.0)</f>
        <v>0</v>
      </c>
      <c r="N70" s="202">
        <f>IFERROR(__xludf.DUMMYFUNCTION("IMPORTRANGE(""https://docs.google.com/spreadsheets/d/1Yj_ptqi66GCucihVvJfMjLAmec39IyEx_6qawtMGysU/edit?usp=sharing"",""สบก!AJ93"")"),0.0)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IFERROR(__xludf.DUMMYFUNCTION("IMPORTRANGE(""https://docs.google.com/spreadsheets/d/1Yj_ptqi66GCucihVvJfMjLAmec39IyEx_6qawtMGysU/edit?usp=sharing"",""สบก!AE93"")"),0.0)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IFERROR(__xludf.DUMMYFUNCTION("IMPORTRANGE(""https://docs.google.com/spreadsheets/d/1Yj_ptqi66GCucihVvJfMjLAmec39IyEx_6qawtMGysU/edit?usp=sharing"",""สบก!AF93"")"),0.0)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IFERROR(__xludf.DUMMYFUNCTION("IMPORTRANGE(""https://docs.google.com/spreadsheets/d/1Yj_ptqi66GCucihVvJfMjLAmec39IyEx_6qawtMGysU/edit?usp=sharing"",""สบก!AG93"")"),0.0)</f>
        <v>0</v>
      </c>
      <c r="M74" s="125"/>
      <c r="N74" s="115">
        <f>IFERROR(__xludf.DUMMYFUNCTION("IMPORTRANGE(""https://docs.google.com/spreadsheets/d/1Yj_ptqi66GCucihVvJfMjLAmec39IyEx_6qawtMGysU/edit?usp=sharing"",""สบก!AK93"")"),0.0)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IFERROR(__xludf.DUMMYFUNCTION("IMPORTRANGE(""https://docs.google.com/spreadsheets/d/1IYY_tgx_IHuhSq3AJ5eI5OnqOPBNLWSHKh2a30DoXe8/edit?usp=sharing"",""สตูล!J16"")"),0.0)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IFERROR(__xludf.DUMMYFUNCTION("IMPORTRANGE(""https://docs.google.com/spreadsheets/d/1IYY_tgx_IHuhSq3AJ5eI5OnqOPBNLWSHKh2a30DoXe8/edit?usp=sharing"",""สตูล!J17"")"),0.0)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IFERROR(__xludf.DUMMYFUNCTION("IMPORTRANGE(""https://docs.google.com/spreadsheets/d/1IYY_tgx_IHuhSq3AJ5eI5OnqOPBNLWSHKh2a30DoXe8/edit?usp=sharing"",""สตูล!J18"")"),0.0)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IFERROR(__xludf.DUMMYFUNCTION("IMPORTRANGE(""https://docs.google.com/spreadsheets/d/1IYY_tgx_IHuhSq3AJ5eI5OnqOPBNLWSHKh2a30DoXe8/edit?usp=sharing"",""สตูล!J19"")"),0.0)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IFERROR(__xludf.DUMMYFUNCTION("IMPORTRANGE(""https://docs.google.com/spreadsheets/d/1IYY_tgx_IHuhSq3AJ5eI5OnqOPBNLWSHKh2a30DoXe8/edit?usp=sharing"",""สตูล!I20"")"),0.0)</f>
        <v>0</v>
      </c>
      <c r="J80" s="235">
        <f>IFERROR(__xludf.DUMMYFUNCTION("IMPORTRANGE(""https://docs.google.com/spreadsheets/d/1IYY_tgx_IHuhSq3AJ5eI5OnqOPBNLWSHKh2a30DoXe8/edit?usp=sharing"",""สตูล!J20"")"),0.0)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IFERROR(__xludf.DUMMYFUNCTION("IMPORTRANGE(""https://docs.google.com/spreadsheets/d/1IYY_tgx_IHuhSq3AJ5eI5OnqOPBNLWSHKh2a30DoXe8/edit?usp=sharing"",""สตูล!I21"")"),0.0)</f>
        <v>0</v>
      </c>
      <c r="J81" s="235">
        <f>IFERROR(__xludf.DUMMYFUNCTION("IMPORTRANGE(""https://docs.google.com/spreadsheets/d/1IYY_tgx_IHuhSq3AJ5eI5OnqOPBNLWSHKh2a30DoXe8/edit?usp=sharing"",""สตูล!J21"")"),0.0)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IFERROR(__xludf.DUMMYFUNCTION("IMPORTRANGE(""https://docs.google.com/spreadsheets/d/1IYY_tgx_IHuhSq3AJ5eI5OnqOPBNLWSHKh2a30DoXe8/edit?usp=sharing"",""สตูล!I22"")"),0.0)</f>
        <v>0</v>
      </c>
      <c r="J82" s="238">
        <f>IFERROR(__xludf.DUMMYFUNCTION("IMPORTRANGE(""https://docs.google.com/spreadsheets/d/1IYY_tgx_IHuhSq3AJ5eI5OnqOPBNLWSHKh2a30DoXe8/edit?usp=sharing"",""สตูล!J22"")"),0.0)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IFERROR(__xludf.DUMMYFUNCTION("IMPORTRANGE(""https://docs.google.com/spreadsheets/d/1IYY_tgx_IHuhSq3AJ5eI5OnqOPBNLWSHKh2a30DoXe8/edit?usp=sharing"",""สตูล!I23"")"),0.0)</f>
        <v>0</v>
      </c>
      <c r="J83" s="238">
        <f>IFERROR(__xludf.DUMMYFUNCTION("IMPORTRANGE(""https://docs.google.com/spreadsheets/d/1IYY_tgx_IHuhSq3AJ5eI5OnqOPBNLWSHKh2a30DoXe8/edit?usp=sharing"",""สตูล!J23"")"),0.0)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IFERROR(__xludf.DUMMYFUNCTION("IMPORTRANGE(""https://docs.google.com/spreadsheets/d/1IYY_tgx_IHuhSq3AJ5eI5OnqOPBNLWSHKh2a30DoXe8/edit?usp=sharing"",""สตูล!I24"")"),0.0)</f>
        <v>0</v>
      </c>
      <c r="J84" s="223">
        <f>IFERROR(__xludf.DUMMYFUNCTION("IMPORTRANGE(""https://docs.google.com/spreadsheets/d/1IYY_tgx_IHuhSq3AJ5eI5OnqOPBNLWSHKh2a30DoXe8/edit?usp=sharing"",""สตูล!J24"")"),0.0)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IFERROR(__xludf.DUMMYFUNCTION("IMPORTRANGE(""https://docs.google.com/spreadsheets/d/1IYY_tgx_IHuhSq3AJ5eI5OnqOPBNLWSHKh2a30DoXe8/edit?usp=sharing"",""สตูล!I25"")"),0.0)</f>
        <v>0</v>
      </c>
      <c r="J85" s="223">
        <f>IFERROR(__xludf.DUMMYFUNCTION("IMPORTRANGE(""https://docs.google.com/spreadsheets/d/1IYY_tgx_IHuhSq3AJ5eI5OnqOPBNLWSHKh2a30DoXe8/edit?usp=sharing"",""สตูล!J25"")"),0.0)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IFERROR(__xludf.DUMMYFUNCTION("IMPORTRANGE(""https://docs.google.com/spreadsheets/d/1IYY_tgx_IHuhSq3AJ5eI5OnqOPBNLWSHKh2a30DoXe8/edit?usp=sharing"",""สตูล!I26"")"),0.0)</f>
        <v>0</v>
      </c>
      <c r="J86" s="238">
        <f>IFERROR(__xludf.DUMMYFUNCTION("IMPORTRANGE(""https://docs.google.com/spreadsheets/d/1IYY_tgx_IHuhSq3AJ5eI5OnqOPBNLWSHKh2a30DoXe8/edit?usp=sharing"",""สตูล!J26"")"),0.0)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IFERROR(__xludf.DUMMYFUNCTION("IMPORTRANGE(""https://docs.google.com/spreadsheets/d/1IYY_tgx_IHuhSq3AJ5eI5OnqOPBNLWSHKh2a30DoXe8/edit?usp=sharing"",""สตูล!I27"")"),0.0)</f>
        <v>0</v>
      </c>
      <c r="J87" s="238">
        <f>IFERROR(__xludf.DUMMYFUNCTION("IMPORTRANGE(""https://docs.google.com/spreadsheets/d/1IYY_tgx_IHuhSq3AJ5eI5OnqOPBNLWSHKh2a30DoXe8/edit?usp=sharing"",""สตูล!J27"")"),0.0)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IFERROR(__xludf.DUMMYFUNCTION("IMPORTRANGE(""https://docs.google.com/spreadsheets/d/1IYY_tgx_IHuhSq3AJ5eI5OnqOPBNLWSHKh2a30DoXe8/edit?usp=sharing"",""สตูล!I28"")"),0.0)</f>
        <v>0</v>
      </c>
      <c r="J88" s="238">
        <f>IFERROR(__xludf.DUMMYFUNCTION("IMPORTRANGE(""https://docs.google.com/spreadsheets/d/1IYY_tgx_IHuhSq3AJ5eI5OnqOPBNLWSHKh2a30DoXe8/edit?usp=sharing"",""สตูล!J28"")"),0.0)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IFERROR(__xludf.DUMMYFUNCTION("IMPORTRANGE(""https://docs.google.com/spreadsheets/d/1IYY_tgx_IHuhSq3AJ5eI5OnqOPBNLWSHKh2a30DoXe8/edit?usp=sharing"",""สตูล!J29"")"),0.0)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IFERROR(__xludf.DUMMYFUNCTION("IMPORTRANGE(""https://docs.google.com/spreadsheets/d/1IYY_tgx_IHuhSq3AJ5eI5OnqOPBNLWSHKh2a30DoXe8/edit?usp=sharing"",""สตูล!J30"")"),0.0)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IFERROR(__xludf.DUMMYFUNCTION("IMPORTRANGE(""https://docs.google.com/spreadsheets/d/1IYY_tgx_IHuhSq3AJ5eI5OnqOPBNLWSHKh2a30DoXe8/edit?usp=sharing"",""สตูล!I32"")"),0.0)</f>
        <v>0</v>
      </c>
      <c r="J92" s="172">
        <f>IFERROR(__xludf.DUMMYFUNCTION("IMPORTRANGE(""https://docs.google.com/spreadsheets/d/1IYY_tgx_IHuhSq3AJ5eI5OnqOPBNLWSHKh2a30DoXe8/edit?usp=sharing"",""สตูล!J32"")"),0.0)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IFERROR(__xludf.DUMMYFUNCTION("IMPORTRANGE(""https://docs.google.com/spreadsheets/d/1IYY_tgx_IHuhSq3AJ5eI5OnqOPBNLWSHKh2a30DoXe8/edit?usp=sharing"",""สตูล!I33"")"),0.0)</f>
        <v>0</v>
      </c>
      <c r="J93" s="172">
        <f>IFERROR(__xludf.DUMMYFUNCTION("IMPORTRANGE(""https://docs.google.com/spreadsheets/d/1IYY_tgx_IHuhSq3AJ5eI5OnqOPBNLWSHKh2a30DoXe8/edit?usp=sharing"",""สตูล!J33"")"),0.0)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IFERROR(__xludf.DUMMYFUNCTION("IMPORTRANGE(""https://docs.google.com/spreadsheets/d/1Yj_ptqi66GCucihVvJfMjLAmec39IyEx_6qawtMGysU/edit?usp=sharing"",""สบก!AR93"")"),0.0)</f>
        <v>0</v>
      </c>
      <c r="N98" s="202">
        <f>IFERROR(__xludf.DUMMYFUNCTION("IMPORTRANGE(""https://docs.google.com/spreadsheets/d/1Yj_ptqi66GCucihVvJfMjLAmec39IyEx_6qawtMGysU/edit?usp=sharing"",""สบก!AS93"")"),0.0)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IFERROR(__xludf.DUMMYFUNCTION("IMPORTRANGE(""https://docs.google.com/spreadsheets/d/1Yj_ptqi66GCucihVvJfMjLAmec39IyEx_6qawtMGysU/edit?usp=sharing"",""สบก!AN93"")"),0.0)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IFERROR(__xludf.DUMMYFUNCTION("IMPORTRANGE(""https://docs.google.com/spreadsheets/d/1Yj_ptqi66GCucihVvJfMjLAmec39IyEx_6qawtMGysU/edit?usp=sharing"",""สบก!AO93"")"),0.0)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IFERROR(__xludf.DUMMYFUNCTION("IMPORTRANGE(""https://docs.google.com/spreadsheets/d/1Yj_ptqi66GCucihVvJfMjLAmec39IyEx_6qawtMGysU/edit?usp=sharing"",""สบก!AP93"")"),0.0)</f>
        <v>0</v>
      </c>
      <c r="M102" s="125"/>
      <c r="N102" s="115">
        <f>IFERROR(__xludf.DUMMYFUNCTION("IMPORTRANGE(""https://docs.google.com/spreadsheets/d/1Yj_ptqi66GCucihVvJfMjLAmec39IyEx_6qawtMGysU/edit?usp=sharing"",""สบก!AT93"")"),0.0)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IFERROR(__xludf.DUMMYFUNCTION("IMPORTRANGE(""https://docs.google.com/spreadsheets/d/1IYY_tgx_IHuhSq3AJ5eI5OnqOPBNLWSHKh2a30DoXe8/edit?usp=sharing"",""สตูล!J39"")"),0.0)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IFERROR(__xludf.DUMMYFUNCTION("IMPORTRANGE(""https://docs.google.com/spreadsheets/d/1IYY_tgx_IHuhSq3AJ5eI5OnqOPBNLWSHKh2a30DoXe8/edit?usp=sharing"",""สตูล!J40"")"),0.0)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IFERROR(__xludf.DUMMYFUNCTION("IMPORTRANGE(""https://docs.google.com/spreadsheets/d/1IYY_tgx_IHuhSq3AJ5eI5OnqOPBNLWSHKh2a30DoXe8/edit?usp=sharing"",""สตูล!J41"")"),0.0)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IFERROR(__xludf.DUMMYFUNCTION("IMPORTRANGE(""https://docs.google.com/spreadsheets/d/1IYY_tgx_IHuhSq3AJ5eI5OnqOPBNLWSHKh2a30DoXe8/edit?usp=sharing"",""สตูล!J42"")"),0.0)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IFERROR(__xludf.DUMMYFUNCTION("IMPORTRANGE(""https://docs.google.com/spreadsheets/d/1IYY_tgx_IHuhSq3AJ5eI5OnqOPBNLWSHKh2a30DoXe8/edit?usp=sharing"",""สตูล!I43"")"),0.0)</f>
        <v>0</v>
      </c>
      <c r="J108" s="238">
        <f>IFERROR(__xludf.DUMMYFUNCTION("IMPORTRANGE(""https://docs.google.com/spreadsheets/d/1IYY_tgx_IHuhSq3AJ5eI5OnqOPBNLWSHKh2a30DoXe8/edit?usp=sharing"",""สตูล!J43"")"),0.0)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IFERROR(__xludf.DUMMYFUNCTION("IMPORTRANGE(""https://docs.google.com/spreadsheets/d/1IYY_tgx_IHuhSq3AJ5eI5OnqOPBNLWSHKh2a30DoXe8/edit?usp=sharing"",""สตูล!I44"")"),0.0)</f>
        <v>0</v>
      </c>
      <c r="J109" s="238">
        <f>IFERROR(__xludf.DUMMYFUNCTION("IMPORTRANGE(""https://docs.google.com/spreadsheets/d/1IYY_tgx_IHuhSq3AJ5eI5OnqOPBNLWSHKh2a30DoXe8/edit?usp=sharing"",""สตูล!J44"")"),0.0)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IFERROR(__xludf.DUMMYFUNCTION("IMPORTRANGE(""https://docs.google.com/spreadsheets/d/1IYY_tgx_IHuhSq3AJ5eI5OnqOPBNLWSHKh2a30DoXe8/edit?usp=sharing"",""สตูล!I45"")"),0.0)</f>
        <v>0</v>
      </c>
      <c r="J110" s="238">
        <f>IFERROR(__xludf.DUMMYFUNCTION("IMPORTRANGE(""https://docs.google.com/spreadsheets/d/1IYY_tgx_IHuhSq3AJ5eI5OnqOPBNLWSHKh2a30DoXe8/edit?usp=sharing"",""สตูล!J45"")"),0.0)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IFERROR(__xludf.DUMMYFUNCTION("IMPORTRANGE(""https://docs.google.com/spreadsheets/d/1IYY_tgx_IHuhSq3AJ5eI5OnqOPBNLWSHKh2a30DoXe8/edit?usp=sharing"",""สตูล!I46"")"),0.0)</f>
        <v>0</v>
      </c>
      <c r="J111" s="238">
        <f>IFERROR(__xludf.DUMMYFUNCTION("IMPORTRANGE(""https://docs.google.com/spreadsheets/d/1IYY_tgx_IHuhSq3AJ5eI5OnqOPBNLWSHKh2a30DoXe8/edit?usp=sharing"",""สตูล!J46"")"),0.0)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IFERROR(__xludf.DUMMYFUNCTION("IMPORTRANGE(""https://docs.google.com/spreadsheets/d/1IYY_tgx_IHuhSq3AJ5eI5OnqOPBNLWSHKh2a30DoXe8/edit?usp=sharing"",""สตูล!I47"")"),0.0)</f>
        <v>0</v>
      </c>
      <c r="J112" s="238">
        <f>IFERROR(__xludf.DUMMYFUNCTION("IMPORTRANGE(""https://docs.google.com/spreadsheets/d/1IYY_tgx_IHuhSq3AJ5eI5OnqOPBNLWSHKh2a30DoXe8/edit?usp=sharing"",""สตูล!J47"")"),0.0)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IFERROR(__xludf.DUMMYFUNCTION("IMPORTRANGE(""https://docs.google.com/spreadsheets/d/1IYY_tgx_IHuhSq3AJ5eI5OnqOPBNLWSHKh2a30DoXe8/edit?usp=sharing"",""สตูล!I48"")"),0.0)</f>
        <v>0</v>
      </c>
      <c r="J113" s="238">
        <f>IFERROR(__xludf.DUMMYFUNCTION("IMPORTRANGE(""https://docs.google.com/spreadsheets/d/1IYY_tgx_IHuhSq3AJ5eI5OnqOPBNLWSHKh2a30DoXe8/edit?usp=sharing"",""สตูล!J48"")"),0.0)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IFERROR(__xludf.DUMMYFUNCTION("IMPORTRANGE(""https://docs.google.com/spreadsheets/d/1IYY_tgx_IHuhSq3AJ5eI5OnqOPBNLWSHKh2a30DoXe8/edit?usp=sharing"",""สตูล!J49"")"),0.0)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IFERROR(__xludf.DUMMYFUNCTION("IMPORTRANGE(""https://docs.google.com/spreadsheets/d/1IYY_tgx_IHuhSq3AJ5eI5OnqOPBNLWSHKh2a30DoXe8/edit?usp=sharing"",""สตูล!J50"")"),0.0)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IFERROR(__xludf.DUMMYFUNCTION("IMPORTRANGE(""https://docs.google.com/spreadsheets/d/1IYY_tgx_IHuhSq3AJ5eI5OnqOPBNLWSHKh2a30DoXe8/edit?usp=sharing"",""สตูล!I52"")"),15.0)</f>
        <v>15</v>
      </c>
      <c r="J117" s="172">
        <f>IFERROR(__xludf.DUMMYFUNCTION("IMPORTRANGE(""https://docs.google.com/spreadsheets/d/1IYY_tgx_IHuhSq3AJ5eI5OnqOPBNLWSHKh2a30DoXe8/edit?usp=sharing"",""สตูล!J52"")"),0.0)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64890</v>
      </c>
      <c r="M118" s="183">
        <f t="shared" si="59"/>
        <v>52890</v>
      </c>
      <c r="N118" s="183">
        <f t="shared" si="59"/>
        <v>1960</v>
      </c>
      <c r="O118" s="182">
        <f t="shared" ref="O118:O120" si="61">IF(L118&gt;0,N118*100/L118,0)</f>
        <v>3.020496224</v>
      </c>
      <c r="P118" s="182">
        <f t="shared" ref="P118:P120" si="62">IF(M118&gt;0,N118*100/M118,0)</f>
        <v>3.7058045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64890</v>
      </c>
      <c r="M120" s="188">
        <f t="shared" si="63"/>
        <v>52890</v>
      </c>
      <c r="N120" s="188">
        <f t="shared" si="63"/>
        <v>1960</v>
      </c>
      <c r="O120" s="187">
        <f t="shared" si="61"/>
        <v>3.020496224</v>
      </c>
      <c r="P120" s="187">
        <f t="shared" si="62"/>
        <v>3.7058045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64890</v>
      </c>
      <c r="M122" s="201">
        <f>IFERROR(__xludf.DUMMYFUNCTION("IMPORTRANGE(""https://docs.google.com/spreadsheets/d/1Yj_ptqi66GCucihVvJfMjLAmec39IyEx_6qawtMGysU/edit?usp=sharing"",""สบก!BA93"")"),52890.0)</f>
        <v>52890</v>
      </c>
      <c r="N122" s="202">
        <f>IFERROR(__xludf.DUMMYFUNCTION("IMPORTRANGE(""https://docs.google.com/spreadsheets/d/1Yj_ptqi66GCucihVvJfMjLAmec39IyEx_6qawtMGysU/edit?usp=sharing"",""สบก!BB93"")"),1960.0)</f>
        <v>1960</v>
      </c>
      <c r="O122" s="203">
        <f>IF(L122&gt;0,N122*100/L122,0)</f>
        <v>3.020496224</v>
      </c>
      <c r="P122" s="203">
        <f>IF(M122&gt;0,N122*100/M122,0)</f>
        <v>3.7058045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IFERROR(__xludf.DUMMYFUNCTION("IMPORTRANGE(""https://docs.google.com/spreadsheets/d/1Yj_ptqi66GCucihVvJfMjLAmec39IyEx_6qawtMGysU/edit?usp=sharing"",""สบก!AW93"")"),0.0)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IFERROR(__xludf.DUMMYFUNCTION("IMPORTRANGE(""https://docs.google.com/spreadsheets/d/1Yj_ptqi66GCucihVvJfMjLAmec39IyEx_6qawtMGysU/edit?usp=sharing"",""สบก!AX93"")"),64890.0)</f>
        <v>64890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IFERROR(__xludf.DUMMYFUNCTION("IMPORTRANGE(""https://docs.google.com/spreadsheets/d/1Yj_ptqi66GCucihVvJfMjLAmec39IyEx_6qawtMGysU/edit?usp=sharing"",""สบก!AY93"")"),0.0)</f>
        <v>0</v>
      </c>
      <c r="M126" s="125"/>
      <c r="N126" s="115">
        <f>IFERROR(__xludf.DUMMYFUNCTION("IMPORTRANGE(""https://docs.google.com/spreadsheets/d/1Yj_ptqi66GCucihVvJfMjLAmec39IyEx_6qawtMGysU/edit?usp=sharing"",""สบก!BC93"")"),0.0)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IFERROR(__xludf.DUMMYFUNCTION("IMPORTRANGE(""https://docs.google.com/spreadsheets/d/1IYY_tgx_IHuhSq3AJ5eI5OnqOPBNLWSHKh2a30DoXe8/edit?usp=sharing"",""สตูล!J58"")"),0.0)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IFERROR(__xludf.DUMMYFUNCTION("IMPORTRANGE(""https://docs.google.com/spreadsheets/d/1IYY_tgx_IHuhSq3AJ5eI5OnqOPBNLWSHKh2a30DoXe8/edit?usp=sharing"",""สตูล!J59"")"),1.0)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IFERROR(__xludf.DUMMYFUNCTION("IMPORTRANGE(""https://docs.google.com/spreadsheets/d/1IYY_tgx_IHuhSq3AJ5eI5OnqOPBNLWSHKh2a30DoXe8/edit?usp=sharing"",""สตูล!J60"")"),1.0)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IFERROR(__xludf.DUMMYFUNCTION("IMPORTRANGE(""https://docs.google.com/spreadsheets/d/1IYY_tgx_IHuhSq3AJ5eI5OnqOPBNLWSHKh2a30DoXe8/edit?usp=sharing"",""สตูล!J61"")"),0.0)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IFERROR(__xludf.DUMMYFUNCTION("IMPORTRANGE(""https://docs.google.com/spreadsheets/d/1IYY_tgx_IHuhSq3AJ5eI5OnqOPBNLWSHKh2a30DoXe8/edit?usp=sharing"",""สตูล!I62"")"),15.0)</f>
        <v>15</v>
      </c>
      <c r="J132" s="238">
        <f>IFERROR(__xludf.DUMMYFUNCTION("IMPORTRANGE(""https://docs.google.com/spreadsheets/d/1IYY_tgx_IHuhSq3AJ5eI5OnqOPBNLWSHKh2a30DoXe8/edit?usp=sharing"",""สตูล!J62"")"),0.0)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IFERROR(__xludf.DUMMYFUNCTION("IMPORTRANGE(""https://docs.google.com/spreadsheets/d/1IYY_tgx_IHuhSq3AJ5eI5OnqOPBNLWSHKh2a30DoXe8/edit?usp=sharing"",""สตูล!I63"")"),15.0)</f>
        <v>15</v>
      </c>
      <c r="J133" s="238">
        <f>IFERROR(__xludf.DUMMYFUNCTION("IMPORTRANGE(""https://docs.google.com/spreadsheets/d/1IYY_tgx_IHuhSq3AJ5eI5OnqOPBNLWSHKh2a30DoXe8/edit?usp=sharing"",""สตูล!J63"")"),0.0)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IFERROR(__xludf.DUMMYFUNCTION("IMPORTRANGE(""https://docs.google.com/spreadsheets/d/1IYY_tgx_IHuhSq3AJ5eI5OnqOPBNLWSHKh2a30DoXe8/edit?usp=sharing"",""สตูล!J64"")"),0.0)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IFERROR(__xludf.DUMMYFUNCTION("IMPORTRANGE(""https://docs.google.com/spreadsheets/d/1IYY_tgx_IHuhSq3AJ5eI5OnqOPBNLWSHKh2a30DoXe8/edit?usp=sharing"",""สตูล!J65"")"),0.0)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IFERROR(__xludf.DUMMYFUNCTION("IMPORTRANGE(""https://docs.google.com/spreadsheets/d/1IYY_tgx_IHuhSq3AJ5eI5OnqOPBNLWSHKh2a30DoXe8/edit?usp=sharing"",""สตูล!I68"")"),0.0)</f>
        <v>0</v>
      </c>
      <c r="J138" s="301">
        <f>IFERROR(__xludf.DUMMYFUNCTION("IMPORTRANGE(""https://docs.google.com/spreadsheets/d/1IYY_tgx_IHuhSq3AJ5eI5OnqOPBNLWSHKh2a30DoXe8/edit?usp=sharing"",""สตูล!J68"")"),0.0)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42700</v>
      </c>
      <c r="M140" s="183">
        <f t="shared" si="65"/>
        <v>31750</v>
      </c>
      <c r="N140" s="183">
        <f t="shared" si="65"/>
        <v>28000</v>
      </c>
      <c r="O140" s="182">
        <f t="shared" ref="O140:O142" si="67">IF(L140&gt;0,N140*100/L140,0)</f>
        <v>65.57377049</v>
      </c>
      <c r="P140" s="182">
        <f t="shared" ref="P140:P142" si="68">IF(M140&gt;0,N140*100/M140,0)</f>
        <v>88.18897638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42700</v>
      </c>
      <c r="M142" s="188">
        <f t="shared" si="69"/>
        <v>31750</v>
      </c>
      <c r="N142" s="188">
        <f t="shared" si="69"/>
        <v>28000</v>
      </c>
      <c r="O142" s="187">
        <f t="shared" si="67"/>
        <v>65.57377049</v>
      </c>
      <c r="P142" s="187">
        <f t="shared" si="68"/>
        <v>88.18897638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42700</v>
      </c>
      <c r="M144" s="201">
        <f>IFERROR(__xludf.DUMMYFUNCTION("IMPORTRANGE(""https://docs.google.com/spreadsheets/d/1Yj_ptqi66GCucihVvJfMjLAmec39IyEx_6qawtMGysU/edit?usp=sharing"",""สบก!BJ93"")"),31750.0)</f>
        <v>31750</v>
      </c>
      <c r="N144" s="202">
        <f>IFERROR(__xludf.DUMMYFUNCTION("IMPORTRANGE(""https://docs.google.com/spreadsheets/d/1Yj_ptqi66GCucihVvJfMjLAmec39IyEx_6qawtMGysU/edit?usp=sharing"",""สบก!BK93"")"),28000.0)</f>
        <v>28000</v>
      </c>
      <c r="O144" s="203">
        <f>IF(L144&gt;0,N144*100/L144,0)</f>
        <v>65.57377049</v>
      </c>
      <c r="P144" s="203">
        <f>IF(M144&gt;0,N144*100/M144,0)</f>
        <v>88.18897638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IFERROR(__xludf.DUMMYFUNCTION("IMPORTRANGE(""https://docs.google.com/spreadsheets/d/1Yj_ptqi66GCucihVvJfMjLAmec39IyEx_6qawtMGysU/edit?usp=sharing"",""สบก!BF93"")"),0.0)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IFERROR(__xludf.DUMMYFUNCTION("IMPORTRANGE(""https://docs.google.com/spreadsheets/d/1Yj_ptqi66GCucihVvJfMjLAmec39IyEx_6qawtMGysU/edit?usp=sharing"",""สบก!BG93"")"),42700.0)</f>
        <v>42700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IFERROR(__xludf.DUMMYFUNCTION("IMPORTRANGE(""https://docs.google.com/spreadsheets/d/1Yj_ptqi66GCucihVvJfMjLAmec39IyEx_6qawtMGysU/edit?usp=sharing"",""สบก!BH93"")"),0.0)</f>
        <v>0</v>
      </c>
      <c r="M148" s="125"/>
      <c r="N148" s="115">
        <f>IFERROR(__xludf.DUMMYFUNCTION("IMPORTRANGE(""https://docs.google.com/spreadsheets/d/1Yj_ptqi66GCucihVvJfMjLAmec39IyEx_6qawtMGysU/edit?usp=sharing"",""สบก!BL93"")"),0.0)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IFERROR(__xludf.DUMMYFUNCTION("IMPORTRANGE(""https://docs.google.com/spreadsheets/d/1IYY_tgx_IHuhSq3AJ5eI5OnqOPBNLWSHKh2a30DoXe8/edit?usp=sharing"",""สตูล!I74"")"),4.0)</f>
        <v>4</v>
      </c>
      <c r="J149" s="309">
        <f>IFERROR(__xludf.DUMMYFUNCTION("IMPORTRANGE(""https://docs.google.com/spreadsheets/d/1IYY_tgx_IHuhSq3AJ5eI5OnqOPBNLWSHKh2a30DoXe8/edit?usp=sharing"",""สตูล!J74"")"),1.0)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IFERROR(__xludf.DUMMYFUNCTION("IMPORTRANGE(""https://docs.google.com/spreadsheets/d/1IYY_tgx_IHuhSq3AJ5eI5OnqOPBNLWSHKh2a30DoXe8/edit?usp=sharing"",""สตูล!J79"")"),0.0)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IFERROR(__xludf.DUMMYFUNCTION("IMPORTRANGE(""https://docs.google.com/spreadsheets/d/1IYY_tgx_IHuhSq3AJ5eI5OnqOPBNLWSHKh2a30DoXe8/edit?usp=sharing"",""สตูล!J80"")"),1.0)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IFERROR(__xludf.DUMMYFUNCTION("IMPORTRANGE(""https://docs.google.com/spreadsheets/d/1IYY_tgx_IHuhSq3AJ5eI5OnqOPBNLWSHKh2a30DoXe8/edit?usp=sharing"",""สตูล!J81"")"),1.0)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IFERROR(__xludf.DUMMYFUNCTION("IMPORTRANGE(""https://docs.google.com/spreadsheets/d/1IYY_tgx_IHuhSq3AJ5eI5OnqOPBNLWSHKh2a30DoXe8/edit?usp=sharing"",""สตูล!J82"")"),1.0)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IFERROR(__xludf.DUMMYFUNCTION("IMPORTRANGE(""https://docs.google.com/spreadsheets/d/1IYY_tgx_IHuhSq3AJ5eI5OnqOPBNLWSHKh2a30DoXe8/edit?usp=sharing"",""สตูล!I83"")"),4.0)</f>
        <v>4</v>
      </c>
      <c r="J158" s="223">
        <f>IFERROR(__xludf.DUMMYFUNCTION("IMPORTRANGE(""https://docs.google.com/spreadsheets/d/1IYY_tgx_IHuhSq3AJ5eI5OnqOPBNLWSHKh2a30DoXe8/edit?usp=sharing"",""สตูล!J83"")"),1.0)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IFERROR(__xludf.DUMMYFUNCTION("IMPORTRANGE(""https://docs.google.com/spreadsheets/d/1IYY_tgx_IHuhSq3AJ5eI5OnqOPBNLWSHKh2a30DoXe8/edit?usp=sharing"",""สตูล!J84"")"),12.0)</f>
        <v>12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IFERROR(__xludf.DUMMYFUNCTION("IMPORTRANGE(""https://docs.google.com/spreadsheets/d/1IYY_tgx_IHuhSq3AJ5eI5OnqOPBNLWSHKh2a30DoXe8/edit?usp=sharing"",""สตูล!J85"")"),12.0)</f>
        <v>12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IFERROR(__xludf.DUMMYFUNCTION("IMPORTRANGE(""https://docs.google.com/spreadsheets/d/1IYY_tgx_IHuhSq3AJ5eI5OnqOPBNLWSHKh2a30DoXe8/edit?usp=sharing"",""สตูล!J86"")"),0.0)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IFERROR(__xludf.DUMMYFUNCTION("IMPORTRANGE(""https://docs.google.com/spreadsheets/d/1IYY_tgx_IHuhSq3AJ5eI5OnqOPBNLWSHKh2a30DoXe8/edit?usp=sharing"",""สตูล!J87"")"),0.0)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IFERROR(__xludf.DUMMYFUNCTION("IMPORTRANGE(""https://docs.google.com/spreadsheets/d/1IYY_tgx_IHuhSq3AJ5eI5OnqOPBNLWSHKh2a30DoXe8/edit?usp=sharing"",""สตูล!J88"")"),0.0)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IFERROR(__xludf.DUMMYFUNCTION("IMPORTRANGE(""https://docs.google.com/spreadsheets/d/1IYY_tgx_IHuhSq3AJ5eI5OnqOPBNLWSHKh2a30DoXe8/edit?usp=sharing"",""สตูล!I89"")"),2.0)</f>
        <v>2</v>
      </c>
      <c r="J164" s="317">
        <f>IFERROR(__xludf.DUMMYFUNCTION("IMPORTRANGE(""https://docs.google.com/spreadsheets/d/1IYY_tgx_IHuhSq3AJ5eI5OnqOPBNLWSHKh2a30DoXe8/edit?usp=sharing"",""สตูล!J89"")"),0.0)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IFERROR(__xludf.DUMMYFUNCTION("IMPORTRANGE(""https://docs.google.com/spreadsheets/d/1IYY_tgx_IHuhSq3AJ5eI5OnqOPBNLWSHKh2a30DoXe8/edit?usp=sharing"",""สตูล!J94"")"),0.0)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IFERROR(__xludf.DUMMYFUNCTION("IMPORTRANGE(""https://docs.google.com/spreadsheets/d/1IYY_tgx_IHuhSq3AJ5eI5OnqOPBNLWSHKh2a30DoXe8/edit?usp=sharing"",""สตูล!J95"")"),1.0)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IFERROR(__xludf.DUMMYFUNCTION("IMPORTRANGE(""https://docs.google.com/spreadsheets/d/1IYY_tgx_IHuhSq3AJ5eI5OnqOPBNLWSHKh2a30DoXe8/edit?usp=sharing"",""สตูล!J96"")"),1.0)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IFERROR(__xludf.DUMMYFUNCTION("IMPORTRANGE(""https://docs.google.com/spreadsheets/d/1IYY_tgx_IHuhSq3AJ5eI5OnqOPBNLWSHKh2a30DoXe8/edit?usp=sharing"",""สตูล!J97"")"),1.0)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IFERROR(__xludf.DUMMYFUNCTION("IMPORTRANGE(""https://docs.google.com/spreadsheets/d/1IYY_tgx_IHuhSq3AJ5eI5OnqOPBNLWSHKh2a30DoXe8/edit?usp=sharing"",""สตูล!I98"")"),2.0)</f>
        <v>2</v>
      </c>
      <c r="J173" s="223">
        <f>IFERROR(__xludf.DUMMYFUNCTION("IMPORTRANGE(""https://docs.google.com/spreadsheets/d/1IYY_tgx_IHuhSq3AJ5eI5OnqOPBNLWSHKh2a30DoXe8/edit?usp=sharing"",""สตูล!J98"")"),0.0)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IFERROR(__xludf.DUMMYFUNCTION("IMPORTRANGE(""https://docs.google.com/spreadsheets/d/1IYY_tgx_IHuhSq3AJ5eI5OnqOPBNLWSHKh2a30DoXe8/edit?usp=sharing"",""สตูล!J99"")"),0.0)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IFERROR(__xludf.DUMMYFUNCTION("IMPORTRANGE(""https://docs.google.com/spreadsheets/d/1IYY_tgx_IHuhSq3AJ5eI5OnqOPBNLWSHKh2a30DoXe8/edit?usp=sharing"",""สตูล!J100"")"),0.0)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IFERROR(__xludf.DUMMYFUNCTION("IMPORTRANGE(""https://docs.google.com/spreadsheets/d/1IYY_tgx_IHuhSq3AJ5eI5OnqOPBNLWSHKh2a30DoXe8/edit?usp=sharing"",""สตูล!I101"")"),0.0)</f>
        <v>0</v>
      </c>
      <c r="J176" s="317">
        <f>IFERROR(__xludf.DUMMYFUNCTION("IMPORTRANGE(""https://docs.google.com/spreadsheets/d/1IYY_tgx_IHuhSq3AJ5eI5OnqOPBNLWSHKh2a30DoXe8/edit?usp=sharing"",""สตูล!J101"")"),0.0)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IFERROR(__xludf.DUMMYFUNCTION("IMPORTRANGE(""https://docs.google.com/spreadsheets/d/1IYY_tgx_IHuhSq3AJ5eI5OnqOPBNLWSHKh2a30DoXe8/edit?usp=sharing"",""สตูล!J106"")"),0.0)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IFERROR(__xludf.DUMMYFUNCTION("IMPORTRANGE(""https://docs.google.com/spreadsheets/d/1IYY_tgx_IHuhSq3AJ5eI5OnqOPBNLWSHKh2a30DoXe8/edit?usp=sharing"",""สตูล!J107"")"),0.0)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IFERROR(__xludf.DUMMYFUNCTION("IMPORTRANGE(""https://docs.google.com/spreadsheets/d/1IYY_tgx_IHuhSq3AJ5eI5OnqOPBNLWSHKh2a30DoXe8/edit?usp=sharing"",""สตูล!J108"")"),0.0)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IFERROR(__xludf.DUMMYFUNCTION("IMPORTRANGE(""https://docs.google.com/spreadsheets/d/1IYY_tgx_IHuhSq3AJ5eI5OnqOPBNLWSHKh2a30DoXe8/edit?usp=sharing"",""สตูล!J109"")"),0.0)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IFERROR(__xludf.DUMMYFUNCTION("IMPORTRANGE(""https://docs.google.com/spreadsheets/d/1IYY_tgx_IHuhSq3AJ5eI5OnqOPBNLWSHKh2a30DoXe8/edit?usp=sharing"",""สตูล!I110"")"),0.0)</f>
        <v>0</v>
      </c>
      <c r="J185" s="238">
        <f>IFERROR(__xludf.DUMMYFUNCTION("IMPORTRANGE(""https://docs.google.com/spreadsheets/d/1IYY_tgx_IHuhSq3AJ5eI5OnqOPBNLWSHKh2a30DoXe8/edit?usp=sharing"",""สตูล!J110"")"),0.0)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IFERROR(__xludf.DUMMYFUNCTION("IMPORTRANGE(""https://docs.google.com/spreadsheets/d/1IYY_tgx_IHuhSq3AJ5eI5OnqOPBNLWSHKh2a30DoXe8/edit?usp=sharing"",""สตูล!I111"")"),0.0)</f>
        <v>0</v>
      </c>
      <c r="J186" s="238">
        <f>IFERROR(__xludf.DUMMYFUNCTION("IMPORTRANGE(""https://docs.google.com/spreadsheets/d/1IYY_tgx_IHuhSq3AJ5eI5OnqOPBNLWSHKh2a30DoXe8/edit?usp=sharing"",""สตูล!J111"")"),0.0)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IFERROR(__xludf.DUMMYFUNCTION("IMPORTRANGE(""https://docs.google.com/spreadsheets/d/1IYY_tgx_IHuhSq3AJ5eI5OnqOPBNLWSHKh2a30DoXe8/edit?usp=sharing"",""สตูล!J112"")"),0.0)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IFERROR(__xludf.DUMMYFUNCTION("IMPORTRANGE(""https://docs.google.com/spreadsheets/d/1IYY_tgx_IHuhSq3AJ5eI5OnqOPBNLWSHKh2a30DoXe8/edit?usp=sharing"",""สตูล!J113"")"),0.0)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IFERROR(__xludf.DUMMYFUNCTION("IMPORTRANGE(""https://docs.google.com/spreadsheets/d/1IYY_tgx_IHuhSq3AJ5eI5OnqOPBNLWSHKh2a30DoXe8/edit?usp=sharing"",""สตูล!I114"")"),6400.0)</f>
        <v>6400</v>
      </c>
      <c r="J189" s="317">
        <f>IFERROR(__xludf.DUMMYFUNCTION("IMPORTRANGE(""https://docs.google.com/spreadsheets/d/1IYY_tgx_IHuhSq3AJ5eI5OnqOPBNLWSHKh2a30DoXe8/edit?usp=sharing"",""สตูล!J114"")"),0.0)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IFERROR(__xludf.DUMMYFUNCTION("IMPORTRANGE(""https://docs.google.com/spreadsheets/d/1IYY_tgx_IHuhSq3AJ5eI5OnqOPBNLWSHKh2a30DoXe8/edit?usp=sharing"",""สตูล!J119"")"),1.0)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IFERROR(__xludf.DUMMYFUNCTION("IMPORTRANGE(""https://docs.google.com/spreadsheets/d/1IYY_tgx_IHuhSq3AJ5eI5OnqOPBNLWSHKh2a30DoXe8/edit?usp=sharing"",""สตูล!J120"")"),0.0)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IFERROR(__xludf.DUMMYFUNCTION("IMPORTRANGE(""https://docs.google.com/spreadsheets/d/1IYY_tgx_IHuhSq3AJ5eI5OnqOPBNLWSHKh2a30DoXe8/edit?usp=sharing"",""สตูล!J121"")"),0.0)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IFERROR(__xludf.DUMMYFUNCTION("IMPORTRANGE(""https://docs.google.com/spreadsheets/d/1IYY_tgx_IHuhSq3AJ5eI5OnqOPBNLWSHKh2a30DoXe8/edit?usp=sharing"",""สตูล!J122"")"),0.0)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IFERROR(__xludf.DUMMYFUNCTION("IMPORTRANGE(""https://docs.google.com/spreadsheets/d/1IYY_tgx_IHuhSq3AJ5eI5OnqOPBNLWSHKh2a30DoXe8/edit?usp=sharing"",""สตูล!I124"")"),6400.0)</f>
        <v>6400</v>
      </c>
      <c r="J199" s="223">
        <f>IFERROR(__xludf.DUMMYFUNCTION("IMPORTRANGE(""https://docs.google.com/spreadsheets/d/1IYY_tgx_IHuhSq3AJ5eI5OnqOPBNLWSHKh2a30DoXe8/edit?usp=sharing"",""สตูล!J124"")"),0.0)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IFERROR(__xludf.DUMMYFUNCTION("IMPORTRANGE(""https://docs.google.com/spreadsheets/d/1IYY_tgx_IHuhSq3AJ5eI5OnqOPBNLWSHKh2a30DoXe8/edit?usp=sharing"",""สตูล!I125"")"),6400.0)</f>
        <v>6400</v>
      </c>
      <c r="J200" s="223">
        <f>IFERROR(__xludf.DUMMYFUNCTION("IMPORTRANGE(""https://docs.google.com/spreadsheets/d/1IYY_tgx_IHuhSq3AJ5eI5OnqOPBNLWSHKh2a30DoXe8/edit?usp=sharing"",""สตูล!J125"")"),0.0)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IFERROR(__xludf.DUMMYFUNCTION("IMPORTRANGE(""https://docs.google.com/spreadsheets/d/1IYY_tgx_IHuhSq3AJ5eI5OnqOPBNLWSHKh2a30DoXe8/edit?usp=sharing"",""สตูล!I126"")"),0.0)</f>
        <v>0</v>
      </c>
      <c r="J201" s="223">
        <f>IFERROR(__xludf.DUMMYFUNCTION("IMPORTRANGE(""https://docs.google.com/spreadsheets/d/1IYY_tgx_IHuhSq3AJ5eI5OnqOPBNLWSHKh2a30DoXe8/edit?usp=sharing"",""สตูล!J126"")"),0.0)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IFERROR(__xludf.DUMMYFUNCTION("IMPORTRANGE(""https://docs.google.com/spreadsheets/d/1IYY_tgx_IHuhSq3AJ5eI5OnqOPBNLWSHKh2a30DoXe8/edit?usp=sharing"",""สตูล!J127"")"),0.0)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IFERROR(__xludf.DUMMYFUNCTION("IMPORTRANGE(""https://docs.google.com/spreadsheets/d/1IYY_tgx_IHuhSq3AJ5eI5OnqOPBNLWSHKh2a30DoXe8/edit?usp=sharing"",""สตูล!J128"")"),0.0)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IFERROR(__xludf.DUMMYFUNCTION("IMPORTRANGE(""https://docs.google.com/spreadsheets/d/1IYY_tgx_IHuhSq3AJ5eI5OnqOPBNLWSHKh2a30DoXe8/edit?usp=sharing"",""สตูล!I129"")"),0.0)</f>
        <v>0</v>
      </c>
      <c r="J204" s="317">
        <f>IFERROR(__xludf.DUMMYFUNCTION("IMPORTRANGE(""https://docs.google.com/spreadsheets/d/1IYY_tgx_IHuhSq3AJ5eI5OnqOPBNLWSHKh2a30DoXe8/edit?usp=sharing"",""สตูล!J129"")"),0.0)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IFERROR(__xludf.DUMMYFUNCTION("IMPORTRANGE(""https://docs.google.com/spreadsheets/d/1IYY_tgx_IHuhSq3AJ5eI5OnqOPBNLWSHKh2a30DoXe8/edit?usp=sharing"",""สตูล!J134"")"),0.0)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IFERROR(__xludf.DUMMYFUNCTION("IMPORTRANGE(""https://docs.google.com/spreadsheets/d/1IYY_tgx_IHuhSq3AJ5eI5OnqOPBNLWSHKh2a30DoXe8/edit?usp=sharing"",""สตูล!J135"")"),0.0)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IFERROR(__xludf.DUMMYFUNCTION("IMPORTRANGE(""https://docs.google.com/spreadsheets/d/1IYY_tgx_IHuhSq3AJ5eI5OnqOPBNLWSHKh2a30DoXe8/edit?usp=sharing"",""สตูล!J136"")"),0.0)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IFERROR(__xludf.DUMMYFUNCTION("IMPORTRANGE(""https://docs.google.com/spreadsheets/d/1IYY_tgx_IHuhSq3AJ5eI5OnqOPBNLWSHKh2a30DoXe8/edit?usp=sharing"",""สตูล!J137"")"),0.0)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IFERROR(__xludf.DUMMYFUNCTION("IMPORTRANGE(""https://docs.google.com/spreadsheets/d/1IYY_tgx_IHuhSq3AJ5eI5OnqOPBNLWSHKh2a30DoXe8/edit?usp=sharing"",""สตูล!I138"")"),0.0)</f>
        <v>0</v>
      </c>
      <c r="J213" s="238">
        <f>IFERROR(__xludf.DUMMYFUNCTION("IMPORTRANGE(""https://docs.google.com/spreadsheets/d/1IYY_tgx_IHuhSq3AJ5eI5OnqOPBNLWSHKh2a30DoXe8/edit?usp=sharing"",""สตูล!J138"")"),0.0)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IFERROR(__xludf.DUMMYFUNCTION("IMPORTRANGE(""https://docs.google.com/spreadsheets/d/1IYY_tgx_IHuhSq3AJ5eI5OnqOPBNLWSHKh2a30DoXe8/edit?usp=sharing"",""สตูล!I140"")"),0.0)</f>
        <v>0</v>
      </c>
      <c r="J215" s="238">
        <f>IFERROR(__xludf.DUMMYFUNCTION("IMPORTRANGE(""https://docs.google.com/spreadsheets/d/1IYY_tgx_IHuhSq3AJ5eI5OnqOPBNLWSHKh2a30DoXe8/edit?usp=sharing"",""สตูล!J140"")"),0.0)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IFERROR(__xludf.DUMMYFUNCTION("IMPORTRANGE(""https://docs.google.com/spreadsheets/d/1IYY_tgx_IHuhSq3AJ5eI5OnqOPBNLWSHKh2a30DoXe8/edit?usp=sharing"",""สตูล!I141"")"),0.0)</f>
        <v>0</v>
      </c>
      <c r="J216" s="238">
        <f>IFERROR(__xludf.DUMMYFUNCTION("IMPORTRANGE(""https://docs.google.com/spreadsheets/d/1IYY_tgx_IHuhSq3AJ5eI5OnqOPBNLWSHKh2a30DoXe8/edit?usp=sharing"",""สตูล!J141"")"),0.0)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IFERROR(__xludf.DUMMYFUNCTION("IMPORTRANGE(""https://docs.google.com/spreadsheets/d/1IYY_tgx_IHuhSq3AJ5eI5OnqOPBNLWSHKh2a30DoXe8/edit?usp=sharing"",""สตูล!J142"")"),0.0)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IFERROR(__xludf.DUMMYFUNCTION("IMPORTRANGE(""https://docs.google.com/spreadsheets/d/1IYY_tgx_IHuhSq3AJ5eI5OnqOPBNLWSHKh2a30DoXe8/edit?usp=sharing"",""สตูล!J143"")"),0.0)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IFERROR(__xludf.DUMMYFUNCTION("IMPORTRANGE(""https://docs.google.com/spreadsheets/d/1IYY_tgx_IHuhSq3AJ5eI5OnqOPBNLWSHKh2a30DoXe8/edit?usp=sharing"",""สตูล!I144"")"),18.0)</f>
        <v>18</v>
      </c>
      <c r="J219" s="301">
        <f>IFERROR(__xludf.DUMMYFUNCTION("IMPORTRANGE(""https://docs.google.com/spreadsheets/d/1IYY_tgx_IHuhSq3AJ5eI5OnqOPBNLWSHKh2a30DoXe8/edit?usp=sharing"",""สตูล!J144"")"),0.0)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23870</v>
      </c>
      <c r="M220" s="183">
        <f t="shared" si="73"/>
        <v>23870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23870</v>
      </c>
      <c r="M222" s="188">
        <f t="shared" si="77"/>
        <v>23870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23870</v>
      </c>
      <c r="M224" s="201">
        <f>IFERROR(__xludf.DUMMYFUNCTION("IMPORTRANGE(""https://docs.google.com/spreadsheets/d/1Yj_ptqi66GCucihVvJfMjLAmec39IyEx_6qawtMGysU/edit?usp=sharing"",""สบก!BS93"")"),23870.0)</f>
        <v>23870</v>
      </c>
      <c r="N224" s="202">
        <f>IFERROR(__xludf.DUMMYFUNCTION("IMPORTRANGE(""https://docs.google.com/spreadsheets/d/1Yj_ptqi66GCucihVvJfMjLAmec39IyEx_6qawtMGysU/edit?usp=sharing"",""สบก!BT93"")"),0.0)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IFERROR(__xludf.DUMMYFUNCTION("IMPORTRANGE(""https://docs.google.com/spreadsheets/d/1Yj_ptqi66GCucihVvJfMjLAmec39IyEx_6qawtMGysU/edit?usp=sharing"",""สบก!BO93"")"),0.0)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IFERROR(__xludf.DUMMYFUNCTION("IMPORTRANGE(""https://docs.google.com/spreadsheets/d/1Yj_ptqi66GCucihVvJfMjLAmec39IyEx_6qawtMGysU/edit?usp=sharing"",""สบก!BP93"")"),23870.0)</f>
        <v>23870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IFERROR(__xludf.DUMMYFUNCTION("IMPORTRANGE(""https://docs.google.com/spreadsheets/d/1Yj_ptqi66GCucihVvJfMjLAmec39IyEx_6qawtMGysU/edit?usp=sharing"",""สบก!BQ93"")"),0.0)</f>
        <v>0</v>
      </c>
      <c r="M228" s="125"/>
      <c r="N228" s="115">
        <f>IFERROR(__xludf.DUMMYFUNCTION("IMPORTRANGE(""https://docs.google.com/spreadsheets/d/1Yj_ptqi66GCucihVvJfMjLAmec39IyEx_6qawtMGysU/edit?usp=sharing"",""สบก!BU93"")"),0.0)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IFERROR(__xludf.DUMMYFUNCTION("IMPORTRANGE(""https://docs.google.com/spreadsheets/d/1IYY_tgx_IHuhSq3AJ5eI5OnqOPBNLWSHKh2a30DoXe8/edit?usp=sharing"",""สตูล!I149"")"),18.0)</f>
        <v>18</v>
      </c>
      <c r="J229" s="301">
        <f>IFERROR(__xludf.DUMMYFUNCTION("IMPORTRANGE(""https://docs.google.com/spreadsheets/d/1IYY_tgx_IHuhSq3AJ5eI5OnqOPBNLWSHKh2a30DoXe8/edit?usp=sharing"",""สตูล!J149"")"),0.0)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IFERROR(__xludf.DUMMYFUNCTION("IMPORTRANGE(""https://docs.google.com/spreadsheets/d/1IYY_tgx_IHuhSq3AJ5eI5OnqOPBNLWSHKh2a30DoXe8/edit?usp=sharing"",""สตูล!J151"")"),0.0)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IFERROR(__xludf.DUMMYFUNCTION("IMPORTRANGE(""https://docs.google.com/spreadsheets/d/1IYY_tgx_IHuhSq3AJ5eI5OnqOPBNLWSHKh2a30DoXe8/edit?usp=sharing"",""สตูล!J152"")"),1.0)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IFERROR(__xludf.DUMMYFUNCTION("IMPORTRANGE(""https://docs.google.com/spreadsheets/d/1IYY_tgx_IHuhSq3AJ5eI5OnqOPBNLWSHKh2a30DoXe8/edit?usp=sharing"",""สตูล!J153"")"),1.0)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IFERROR(__xludf.DUMMYFUNCTION("IMPORTRANGE(""https://docs.google.com/spreadsheets/d/1IYY_tgx_IHuhSq3AJ5eI5OnqOPBNLWSHKh2a30DoXe8/edit?usp=sharing"",""สตูล!J154"")"),0.0)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IFERROR(__xludf.DUMMYFUNCTION("IMPORTRANGE(""https://docs.google.com/spreadsheets/d/1IYY_tgx_IHuhSq3AJ5eI5OnqOPBNLWSHKh2a30DoXe8/edit?usp=sharing"",""สตูล!I155"")"),18.0)</f>
        <v>18</v>
      </c>
      <c r="J235" s="223">
        <f>IFERROR(__xludf.DUMMYFUNCTION("IMPORTRANGE(""https://docs.google.com/spreadsheets/d/1IYY_tgx_IHuhSq3AJ5eI5OnqOPBNLWSHKh2a30DoXe8/edit?usp=sharing"",""สตูล!J155"")"),0.0)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IFERROR(__xludf.DUMMYFUNCTION("IMPORTRANGE(""https://docs.google.com/spreadsheets/d/1IYY_tgx_IHuhSq3AJ5eI5OnqOPBNLWSHKh2a30DoXe8/edit?usp=sharing"",""สตูล!J156"")"),0.0)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IFERROR(__xludf.DUMMYFUNCTION("IMPORTRANGE(""https://docs.google.com/spreadsheets/d/1IYY_tgx_IHuhSq3AJ5eI5OnqOPBNLWSHKh2a30DoXe8/edit?usp=sharing"",""สตูล!J157"")"),0.0)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IFERROR(__xludf.DUMMYFUNCTION("IMPORTRANGE(""https://docs.google.com/spreadsheets/d/1IYY_tgx_IHuhSq3AJ5eI5OnqOPBNLWSHKh2a30DoXe8/edit?usp=sharing"",""สตูล!I158"")"),0.0)</f>
        <v>0</v>
      </c>
      <c r="J238" s="301">
        <f>IFERROR(__xludf.DUMMYFUNCTION("IMPORTRANGE(""https://docs.google.com/spreadsheets/d/1IYY_tgx_IHuhSq3AJ5eI5OnqOPBNLWSHKh2a30DoXe8/edit?usp=sharing"",""สตูล!J158"")"),0.0)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IFERROR(__xludf.DUMMYFUNCTION("IMPORTRANGE(""https://docs.google.com/spreadsheets/d/1IYY_tgx_IHuhSq3AJ5eI5OnqOPBNLWSHKh2a30DoXe8/edit?usp=sharing"",""สตูล!J159"")"),"")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IFERROR(__xludf.DUMMYFUNCTION("IMPORTRANGE(""https://docs.google.com/spreadsheets/d/1IYY_tgx_IHuhSq3AJ5eI5OnqOPBNLWSHKh2a30DoXe8/edit?usp=sharing"",""สตูล!J161"")"),0.0)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IFERROR(__xludf.DUMMYFUNCTION("IMPORTRANGE(""https://docs.google.com/spreadsheets/d/1IYY_tgx_IHuhSq3AJ5eI5OnqOPBNLWSHKh2a30DoXe8/edit?usp=sharing"",""สตูล!J162"")"),0.0)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IFERROR(__xludf.DUMMYFUNCTION("IMPORTRANGE(""https://docs.google.com/spreadsheets/d/1IYY_tgx_IHuhSq3AJ5eI5OnqOPBNLWSHKh2a30DoXe8/edit?usp=sharing"",""สตูล!J163"")"),0.0)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IFERROR(__xludf.DUMMYFUNCTION("IMPORTRANGE(""https://docs.google.com/spreadsheets/d/1IYY_tgx_IHuhSq3AJ5eI5OnqOPBNLWSHKh2a30DoXe8/edit?usp=sharing"",""สตูล!I164"")"),0.0)</f>
        <v>0</v>
      </c>
      <c r="J244" s="222">
        <f>IFERROR(__xludf.DUMMYFUNCTION("IMPORTRANGE(""https://docs.google.com/spreadsheets/d/1IYY_tgx_IHuhSq3AJ5eI5OnqOPBNLWSHKh2a30DoXe8/edit?usp=sharing"",""สตูล!J164"")"),0.0)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IFERROR(__xludf.DUMMYFUNCTION("IMPORTRANGE(""https://docs.google.com/spreadsheets/d/1IYY_tgx_IHuhSq3AJ5eI5OnqOPBNLWSHKh2a30DoXe8/edit?usp=sharing"",""สตูล!J165"")"),0.0)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IFERROR(__xludf.DUMMYFUNCTION("IMPORTRANGE(""https://docs.google.com/spreadsheets/d/1IYY_tgx_IHuhSq3AJ5eI5OnqOPBNLWSHKh2a30DoXe8/edit?usp=sharing"",""สตูล!J166"")"),0.0)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IFERROR(__xludf.DUMMYFUNCTION("IMPORTRANGE(""https://docs.google.com/spreadsheets/d/1IYY_tgx_IHuhSq3AJ5eI5OnqOPBNLWSHKh2a30DoXe8/edit?usp=sharing"",""สตูล!I169"")"),0.0)</f>
        <v>0</v>
      </c>
      <c r="J249" s="349">
        <f>IFERROR(__xludf.DUMMYFUNCTION("IMPORTRANGE(""https://docs.google.com/spreadsheets/d/1IYY_tgx_IHuhSq3AJ5eI5OnqOPBNLWSHKh2a30DoXe8/edit?usp=sharing"",""สตูล!J169"")"),0.0)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IFERROR(__xludf.DUMMYFUNCTION("IMPORTRANGE(""https://docs.google.com/spreadsheets/d/1Yj_ptqi66GCucihVvJfMjLAmec39IyEx_6qawtMGysU/edit?usp=sharing"",""สบก!CB93"")"),0.0)</f>
        <v>0</v>
      </c>
      <c r="N254" s="202">
        <f>IFERROR(__xludf.DUMMYFUNCTION("IMPORTRANGE(""https://docs.google.com/spreadsheets/d/1Yj_ptqi66GCucihVvJfMjLAmec39IyEx_6qawtMGysU/edit?usp=sharing"",""สบก!CC93"")"),0.0)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IFERROR(__xludf.DUMMYFUNCTION("IMPORTRANGE(""https://docs.google.com/spreadsheets/d/1Yj_ptqi66GCucihVvJfMjLAmec39IyEx_6qawtMGysU/edit?usp=sharing"",""สบก!BX93"")"),0.0)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IFERROR(__xludf.DUMMYFUNCTION("IMPORTRANGE(""https://docs.google.com/spreadsheets/d/1Yj_ptqi66GCucihVvJfMjLAmec39IyEx_6qawtMGysU/edit?usp=sharing"",""สบก!BY93"")"),0.0)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IFERROR(__xludf.DUMMYFUNCTION("IMPORTRANGE(""https://docs.google.com/spreadsheets/d/1Yj_ptqi66GCucihVvJfMjLAmec39IyEx_6qawtMGysU/edit?usp=sharing"",""สบก!BZ93"")"),0.0)</f>
        <v>0</v>
      </c>
      <c r="M258" s="125"/>
      <c r="N258" s="115">
        <f>IFERROR(__xludf.DUMMYFUNCTION("IMPORTRANGE(""https://docs.google.com/spreadsheets/d/1Yj_ptqi66GCucihVvJfMjLAmec39IyEx_6qawtMGysU/edit?usp=sharing"",""สบก!CD93"")"),0.0)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IFERROR(__xludf.DUMMYFUNCTION("IMPORTRANGE(""https://docs.google.com/spreadsheets/d/1IYY_tgx_IHuhSq3AJ5eI5OnqOPBNLWSHKh2a30DoXe8/edit?usp=sharing"",""สตูล!J175"")"),0.0)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IFERROR(__xludf.DUMMYFUNCTION("IMPORTRANGE(""https://docs.google.com/spreadsheets/d/1IYY_tgx_IHuhSq3AJ5eI5OnqOPBNLWSHKh2a30DoXe8/edit?usp=sharing"",""สตูล!J176"")"),0.0)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IFERROR(__xludf.DUMMYFUNCTION("IMPORTRANGE(""https://docs.google.com/spreadsheets/d/1IYY_tgx_IHuhSq3AJ5eI5OnqOPBNLWSHKh2a30DoXe8/edit?usp=sharing"",""สตูล!J177"")"),0.0)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IFERROR(__xludf.DUMMYFUNCTION("IMPORTRANGE(""https://docs.google.com/spreadsheets/d/1IYY_tgx_IHuhSq3AJ5eI5OnqOPBNLWSHKh2a30DoXe8/edit?usp=sharing"",""สตูล!J178"")"),0.0)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IFERROR(__xludf.DUMMYFUNCTION("IMPORTRANGE(""https://docs.google.com/spreadsheets/d/1IYY_tgx_IHuhSq3AJ5eI5OnqOPBNLWSHKh2a30DoXe8/edit?usp=sharing"",""สตูล!I179"")"),0.0)</f>
        <v>0</v>
      </c>
      <c r="J264" s="223">
        <f>IFERROR(__xludf.DUMMYFUNCTION("IMPORTRANGE(""https://docs.google.com/spreadsheets/d/1IYY_tgx_IHuhSq3AJ5eI5OnqOPBNLWSHKh2a30DoXe8/edit?usp=sharing"",""สตูล!J179"")"),0.0)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IFERROR(__xludf.DUMMYFUNCTION("IMPORTRANGE(""https://docs.google.com/spreadsheets/d/1IYY_tgx_IHuhSq3AJ5eI5OnqOPBNLWSHKh2a30DoXe8/edit?usp=sharing"",""สตูล!I180"")"),0.0)</f>
        <v>0</v>
      </c>
      <c r="J265" s="223">
        <f>IFERROR(__xludf.DUMMYFUNCTION("IMPORTRANGE(""https://docs.google.com/spreadsheets/d/1IYY_tgx_IHuhSq3AJ5eI5OnqOPBNLWSHKh2a30DoXe8/edit?usp=sharing"",""สตูล!J180"")"),0.0)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IFERROR(__xludf.DUMMYFUNCTION("IMPORTRANGE(""https://docs.google.com/spreadsheets/d/1IYY_tgx_IHuhSq3AJ5eI5OnqOPBNLWSHKh2a30DoXe8/edit?usp=sharing"",""สตูล!I181"")"),0.0)</f>
        <v>0</v>
      </c>
      <c r="J266" s="223">
        <f>IFERROR(__xludf.DUMMYFUNCTION("IMPORTRANGE(""https://docs.google.com/spreadsheets/d/1IYY_tgx_IHuhSq3AJ5eI5OnqOPBNLWSHKh2a30DoXe8/edit?usp=sharing"",""สตูล!J181"")"),0.0)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IFERROR(__xludf.DUMMYFUNCTION("IMPORTRANGE(""https://docs.google.com/spreadsheets/d/1IYY_tgx_IHuhSq3AJ5eI5OnqOPBNLWSHKh2a30DoXe8/edit?usp=sharing"",""สตูล!I182"")"),0.0)</f>
        <v>0</v>
      </c>
      <c r="J267" s="223">
        <f>IFERROR(__xludf.DUMMYFUNCTION("IMPORTRANGE(""https://docs.google.com/spreadsheets/d/1IYY_tgx_IHuhSq3AJ5eI5OnqOPBNLWSHKh2a30DoXe8/edit?usp=sharing"",""สตูล!J182"")"),0.0)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IFERROR(__xludf.DUMMYFUNCTION("IMPORTRANGE(""https://docs.google.com/spreadsheets/d/1IYY_tgx_IHuhSq3AJ5eI5OnqOPBNLWSHKh2a30DoXe8/edit?usp=sharing"",""สตูล!J183"")"),0.0)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IFERROR(__xludf.DUMMYFUNCTION("IMPORTRANGE(""https://docs.google.com/spreadsheets/d/1IYY_tgx_IHuhSq3AJ5eI5OnqOPBNLWSHKh2a30DoXe8/edit?usp=sharing"",""สตูล!J184"")"),0.0)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IFERROR(__xludf.DUMMYFUNCTION("IMPORTRANGE(""https://docs.google.com/spreadsheets/d/1IYY_tgx_IHuhSq3AJ5eI5OnqOPBNLWSHKh2a30DoXe8/edit?usp=sharing"",""สตูล!I185"")"),15.0)</f>
        <v>15</v>
      </c>
      <c r="J270" s="349">
        <f>IFERROR(__xludf.DUMMYFUNCTION("IMPORTRANGE(""https://docs.google.com/spreadsheets/d/1IYY_tgx_IHuhSq3AJ5eI5OnqOPBNLWSHKh2a30DoXe8/edit?usp=sharing"",""สตูล!J185"")"),15.0)</f>
        <v>15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187200</v>
      </c>
      <c r="M271" s="183">
        <f t="shared" si="84"/>
        <v>98250</v>
      </c>
      <c r="N271" s="183">
        <f t="shared" si="84"/>
        <v>43450</v>
      </c>
      <c r="O271" s="182">
        <f t="shared" ref="O271:O273" si="86">IF(L271&gt;0,N271*100/L271,0)</f>
        <v>23.21047009</v>
      </c>
      <c r="P271" s="182">
        <f t="shared" ref="P271:P273" si="87">IF(M271&gt;0,N271*100/M271,0)</f>
        <v>44.22391858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187200</v>
      </c>
      <c r="M273" s="188">
        <f t="shared" si="88"/>
        <v>98250</v>
      </c>
      <c r="N273" s="188">
        <f t="shared" si="88"/>
        <v>43450</v>
      </c>
      <c r="O273" s="187">
        <f t="shared" si="86"/>
        <v>23.21047009</v>
      </c>
      <c r="P273" s="187">
        <f t="shared" si="87"/>
        <v>44.22391858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187200</v>
      </c>
      <c r="M275" s="201">
        <f>IFERROR(__xludf.DUMMYFUNCTION("IMPORTRANGE(""https://docs.google.com/spreadsheets/d/1Yj_ptqi66GCucihVvJfMjLAmec39IyEx_6qawtMGysU/edit?usp=sharing"",""สบก!CK93"")"),98250.0)</f>
        <v>98250</v>
      </c>
      <c r="N275" s="202">
        <f>IFERROR(__xludf.DUMMYFUNCTION("IMPORTRANGE(""https://docs.google.com/spreadsheets/d/1Yj_ptqi66GCucihVvJfMjLAmec39IyEx_6qawtMGysU/edit?usp=sharing"",""สบก!CL93"")"),43450.0)</f>
        <v>43450</v>
      </c>
      <c r="O275" s="203">
        <f>IF(L275&gt;0,N275*100/L275,0)</f>
        <v>23.21047009</v>
      </c>
      <c r="P275" s="203">
        <f>IF(M275&gt;0,N275*100/M275,0)</f>
        <v>44.22391858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IFERROR(__xludf.DUMMYFUNCTION("IMPORTRANGE(""https://docs.google.com/spreadsheets/d/1Yj_ptqi66GCucihVvJfMjLAmec39IyEx_6qawtMGysU/edit?usp=sharing"",""สบก!CG93"")"),132000.0)</f>
        <v>132000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IFERROR(__xludf.DUMMYFUNCTION("IMPORTRANGE(""https://docs.google.com/spreadsheets/d/1Yj_ptqi66GCucihVvJfMjLAmec39IyEx_6qawtMGysU/edit?usp=sharing"",""สบก!CH93"")"),55200.0)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IFERROR(__xludf.DUMMYFUNCTION("IMPORTRANGE(""https://docs.google.com/spreadsheets/d/1Yj_ptqi66GCucihVvJfMjLAmec39IyEx_6qawtMGysU/edit?usp=sharing"",""สบก!CI93"")"),0.0)</f>
        <v>0</v>
      </c>
      <c r="M279" s="125"/>
      <c r="N279" s="115">
        <f>IFERROR(__xludf.DUMMYFUNCTION("IMPORTRANGE(""https://docs.google.com/spreadsheets/d/1Yj_ptqi66GCucihVvJfMjLAmec39IyEx_6qawtMGysU/edit?usp=sharing"",""สบก!CM93"")"),0.0)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IFERROR(__xludf.DUMMYFUNCTION("IMPORTRANGE(""https://docs.google.com/spreadsheets/d/1IYY_tgx_IHuhSq3AJ5eI5OnqOPBNLWSHKh2a30DoXe8/edit?usp=sharing"",""สตูล!J191"")"),0.0)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IFERROR(__xludf.DUMMYFUNCTION("IMPORTRANGE(""https://docs.google.com/spreadsheets/d/1IYY_tgx_IHuhSq3AJ5eI5OnqOPBNLWSHKh2a30DoXe8/edit?usp=sharing"",""สตูล!J192"")"),1.0)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IFERROR(__xludf.DUMMYFUNCTION("IMPORTRANGE(""https://docs.google.com/spreadsheets/d/1IYY_tgx_IHuhSq3AJ5eI5OnqOPBNLWSHKh2a30DoXe8/edit?usp=sharing"",""สตูล!J193"")"),1.0)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IFERROR(__xludf.DUMMYFUNCTION("IMPORTRANGE(""https://docs.google.com/spreadsheets/d/1IYY_tgx_IHuhSq3AJ5eI5OnqOPBNLWSHKh2a30DoXe8/edit?usp=sharing"",""สตูล!J194"")"),1.0)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IFERROR(__xludf.DUMMYFUNCTION("IMPORTRANGE(""https://docs.google.com/spreadsheets/d/1IYY_tgx_IHuhSq3AJ5eI5OnqOPBNLWSHKh2a30DoXe8/edit?usp=sharing"",""สตูล!I195"")"),15.0)</f>
        <v>15</v>
      </c>
      <c r="J285" s="223">
        <f>IFERROR(__xludf.DUMMYFUNCTION("IMPORTRANGE(""https://docs.google.com/spreadsheets/d/1IYY_tgx_IHuhSq3AJ5eI5OnqOPBNLWSHKh2a30DoXe8/edit?usp=sharing"",""สตูล!J195"")"),15.0)</f>
        <v>15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IFERROR(__xludf.DUMMYFUNCTION("IMPORTRANGE(""https://docs.google.com/spreadsheets/d/1IYY_tgx_IHuhSq3AJ5eI5OnqOPBNLWSHKh2a30DoXe8/edit?usp=sharing"",""สตูล!J196"")"),0.0)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IFERROR(__xludf.DUMMYFUNCTION("IMPORTRANGE(""https://docs.google.com/spreadsheets/d/1IYY_tgx_IHuhSq3AJ5eI5OnqOPBNLWSHKh2a30DoXe8/edit?usp=sharing"",""สตูล!J197"")"),0.0)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IFERROR(__xludf.DUMMYFUNCTION("IMPORTRANGE(""https://docs.google.com/spreadsheets/d/1IYY_tgx_IHuhSq3AJ5eI5OnqOPBNLWSHKh2a30DoXe8/edit?usp=sharing"",""สตูล!I199"")"),0.0)</f>
        <v>0</v>
      </c>
      <c r="J289" s="349">
        <f>IFERROR(__xludf.DUMMYFUNCTION("IMPORTRANGE(""https://docs.google.com/spreadsheets/d/1IYY_tgx_IHuhSq3AJ5eI5OnqOPBNLWSHKh2a30DoXe8/edit?usp=sharing"",""สตูล!J199"")"),0.0)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IFERROR(__xludf.DUMMYFUNCTION("IMPORTRANGE(""https://docs.google.com/spreadsheets/d/1Yj_ptqi66GCucihVvJfMjLAmec39IyEx_6qawtMGysU/edit?usp=sharing"",""สบก!CT93"")"),0.0)</f>
        <v>0</v>
      </c>
      <c r="N294" s="202">
        <f>IFERROR(__xludf.DUMMYFUNCTION("IMPORTRANGE(""https://docs.google.com/spreadsheets/d/1Yj_ptqi66GCucihVvJfMjLAmec39IyEx_6qawtMGysU/edit?usp=sharing"",""สบก!CU93"")"),0.0)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IFERROR(__xludf.DUMMYFUNCTION("IMPORTRANGE(""https://docs.google.com/spreadsheets/d/1Yj_ptqi66GCucihVvJfMjLAmec39IyEx_6qawtMGysU/edit?usp=sharing"",""สบก!CP93"")"),0.0)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IFERROR(__xludf.DUMMYFUNCTION("IMPORTRANGE(""https://docs.google.com/spreadsheets/d/1Yj_ptqi66GCucihVvJfMjLAmec39IyEx_6qawtMGysU/edit?usp=sharing"",""สบก!CQ93"")"),0.0)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IFERROR(__xludf.DUMMYFUNCTION("IMPORTRANGE(""https://docs.google.com/spreadsheets/d/1Yj_ptqi66GCucihVvJfMjLAmec39IyEx_6qawtMGysU/edit?usp=sharing"",""สบก!CR93"")"),0.0)</f>
        <v>0</v>
      </c>
      <c r="M298" s="125"/>
      <c r="N298" s="115">
        <f>IFERROR(__xludf.DUMMYFUNCTION("IMPORTRANGE(""https://docs.google.com/spreadsheets/d/1Yj_ptqi66GCucihVvJfMjLAmec39IyEx_6qawtMGysU/edit?usp=sharing"",""สบก!CV93"")"),0.0)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IFERROR(__xludf.DUMMYFUNCTION("IMPORTRANGE(""https://docs.google.com/spreadsheets/d/1IYY_tgx_IHuhSq3AJ5eI5OnqOPBNLWSHKh2a30DoXe8/edit?usp=sharing"",""สตูล!J205"")"),0.0)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IFERROR(__xludf.DUMMYFUNCTION("IMPORTRANGE(""https://docs.google.com/spreadsheets/d/1IYY_tgx_IHuhSq3AJ5eI5OnqOPBNLWSHKh2a30DoXe8/edit?usp=sharing"",""สตูล!J206"")"),0.0)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IFERROR(__xludf.DUMMYFUNCTION("IMPORTRANGE(""https://docs.google.com/spreadsheets/d/1IYY_tgx_IHuhSq3AJ5eI5OnqOPBNLWSHKh2a30DoXe8/edit?usp=sharing"",""สตูล!J207"")"),0.0)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IFERROR(__xludf.DUMMYFUNCTION("IMPORTRANGE(""https://docs.google.com/spreadsheets/d/1IYY_tgx_IHuhSq3AJ5eI5OnqOPBNLWSHKh2a30DoXe8/edit?usp=sharing"",""สตูล!J208"")"),0.0)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IFERROR(__xludf.DUMMYFUNCTION("IMPORTRANGE(""https://docs.google.com/spreadsheets/d/1IYY_tgx_IHuhSq3AJ5eI5OnqOPBNLWSHKh2a30DoXe8/edit?usp=sharing"",""สตูล!I209"")"),0.0)</f>
        <v>0</v>
      </c>
      <c r="J304" s="238">
        <f>IFERROR(__xludf.DUMMYFUNCTION("IMPORTRANGE(""https://docs.google.com/spreadsheets/d/1IYY_tgx_IHuhSq3AJ5eI5OnqOPBNLWSHKh2a30DoXe8/edit?usp=sharing"",""สตูล!J209"")"),0.0)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IFERROR(__xludf.DUMMYFUNCTION("IMPORTRANGE(""https://docs.google.com/spreadsheets/d/1IYY_tgx_IHuhSq3AJ5eI5OnqOPBNLWSHKh2a30DoXe8/edit?usp=sharing"",""สตูล!I211"")"),0.0)</f>
        <v>0</v>
      </c>
      <c r="J306" s="238">
        <f>IFERROR(__xludf.DUMMYFUNCTION("IMPORTRANGE(""https://docs.google.com/spreadsheets/d/1IYY_tgx_IHuhSq3AJ5eI5OnqOPBNLWSHKh2a30DoXe8/edit?usp=sharing"",""สตูล!J211"")"),0.0)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IFERROR(__xludf.DUMMYFUNCTION("IMPORTRANGE(""https://docs.google.com/spreadsheets/d/1IYY_tgx_IHuhSq3AJ5eI5OnqOPBNLWSHKh2a30DoXe8/edit?usp=sharing"",""สตูล!J212"")"),0.0)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IFERROR(__xludf.DUMMYFUNCTION("IMPORTRANGE(""https://docs.google.com/spreadsheets/d/1IYY_tgx_IHuhSq3AJ5eI5OnqOPBNLWSHKh2a30DoXe8/edit?usp=sharing"",""สตูล!J213"")"),0.0)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IFERROR(__xludf.DUMMYFUNCTION("IMPORTRANGE(""https://docs.google.com/spreadsheets/d/1IYY_tgx_IHuhSq3AJ5eI5OnqOPBNLWSHKh2a30DoXe8/edit?usp=sharing"",""สตูล!I214"")"),0.0)</f>
        <v>0</v>
      </c>
      <c r="J309" s="366">
        <f>IFERROR(__xludf.DUMMYFUNCTION("IMPORTRANGE(""https://docs.google.com/spreadsheets/d/1IYY_tgx_IHuhSq3AJ5eI5OnqOPBNLWSHKh2a30DoXe8/edit?usp=sharing"",""สตูล!J214"")"),0.0)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IFERROR(__xludf.DUMMYFUNCTION("IMPORTRANGE(""https://docs.google.com/spreadsheets/d/1Yj_ptqi66GCucihVvJfMjLAmec39IyEx_6qawtMGysU/edit?usp=sharing"",""สบก!DC93"")"),0.0)</f>
        <v>0</v>
      </c>
      <c r="N314" s="202">
        <f>IFERROR(__xludf.DUMMYFUNCTION("IMPORTRANGE(""https://docs.google.com/spreadsheets/d/1Yj_ptqi66GCucihVvJfMjLAmec39IyEx_6qawtMGysU/edit?usp=sharing"",""สบก!DD93"")"),0.0)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IFERROR(__xludf.DUMMYFUNCTION("IMPORTRANGE(""https://docs.google.com/spreadsheets/d/1Yj_ptqi66GCucihVvJfMjLAmec39IyEx_6qawtMGysU/edit?usp=sharing"",""สบก!CY93"")"),0.0)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IFERROR(__xludf.DUMMYFUNCTION("IMPORTRANGE(""https://docs.google.com/spreadsheets/d/1Yj_ptqi66GCucihVvJfMjLAmec39IyEx_6qawtMGysU/edit?usp=sharing"",""สบก!CZ93"")"),0.0)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IFERROR(__xludf.DUMMYFUNCTION("IMPORTRANGE(""https://docs.google.com/spreadsheets/d/1Yj_ptqi66GCucihVvJfMjLAmec39IyEx_6qawtMGysU/edit?usp=sharing"",""สบก!DA93"")"),0.0)</f>
        <v>0</v>
      </c>
      <c r="M318" s="125"/>
      <c r="N318" s="115">
        <f>IFERROR(__xludf.DUMMYFUNCTION("IMPORTRANGE(""https://docs.google.com/spreadsheets/d/1Yj_ptqi66GCucihVvJfMjLAmec39IyEx_6qawtMGysU/edit?usp=sharing"",""สบก!DE93"")"),0.0)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IFERROR(__xludf.DUMMYFUNCTION("IMPORTRANGE(""https://docs.google.com/spreadsheets/d/1IYY_tgx_IHuhSq3AJ5eI5OnqOPBNLWSHKh2a30DoXe8/edit?usp=sharing"",""สตูล!J220"")"),0.0)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IFERROR(__xludf.DUMMYFUNCTION("IMPORTRANGE(""https://docs.google.com/spreadsheets/d/1IYY_tgx_IHuhSq3AJ5eI5OnqOPBNLWSHKh2a30DoXe8/edit?usp=sharing"",""สตูล!J221"")"),0.0)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IFERROR(__xludf.DUMMYFUNCTION("IMPORTRANGE(""https://docs.google.com/spreadsheets/d/1IYY_tgx_IHuhSq3AJ5eI5OnqOPBNLWSHKh2a30DoXe8/edit?usp=sharing"",""สตูล!J222"")"),0.0)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IFERROR(__xludf.DUMMYFUNCTION("IMPORTRANGE(""https://docs.google.com/spreadsheets/d/1IYY_tgx_IHuhSq3AJ5eI5OnqOPBNLWSHKh2a30DoXe8/edit?usp=sharing"",""สตูล!J223"")"),0.0)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IFERROR(__xludf.DUMMYFUNCTION("IMPORTRANGE(""https://docs.google.com/spreadsheets/d/1IYY_tgx_IHuhSq3AJ5eI5OnqOPBNLWSHKh2a30DoXe8/edit?usp=sharing"",""สตูล!I224"")"),0.0)</f>
        <v>0</v>
      </c>
      <c r="J324" s="238">
        <f>IFERROR(__xludf.DUMMYFUNCTION("IMPORTRANGE(""https://docs.google.com/spreadsheets/d/1IYY_tgx_IHuhSq3AJ5eI5OnqOPBNLWSHKh2a30DoXe8/edit?usp=sharing"",""สตูล!J224"")"),0.0)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IFERROR(__xludf.DUMMYFUNCTION("IMPORTRANGE(""https://docs.google.com/spreadsheets/d/1IYY_tgx_IHuhSq3AJ5eI5OnqOPBNLWSHKh2a30DoXe8/edit?usp=sharing"",""สตูล!J225"")"),0.0)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IFERROR(__xludf.DUMMYFUNCTION("IMPORTRANGE(""https://docs.google.com/spreadsheets/d/1IYY_tgx_IHuhSq3AJ5eI5OnqOPBNLWSHKh2a30DoXe8/edit?usp=sharing"",""สตูล!J226"")"),0.0)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IFERROR(__xludf.DUMMYFUNCTION("IMPORTRANGE(""https://docs.google.com/spreadsheets/d/1IYY_tgx_IHuhSq3AJ5eI5OnqOPBNLWSHKh2a30DoXe8/edit?usp=sharing"",""สตูล!I228"")"),50.0)</f>
        <v>50</v>
      </c>
      <c r="J328" s="372">
        <f>IFERROR(__xludf.DUMMYFUNCTION("IMPORTRANGE(""https://docs.google.com/spreadsheets/d/1IYY_tgx_IHuhSq3AJ5eI5OnqOPBNLWSHKh2a30DoXe8/edit?usp=sharing"",""สตูล!J228"")"),15.0)</f>
        <v>15</v>
      </c>
      <c r="K328" s="350">
        <f>IF(I328&gt;0,J328*100/I328,0)</f>
        <v>30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926350</v>
      </c>
      <c r="M329" s="183">
        <f t="shared" si="99"/>
        <v>386400</v>
      </c>
      <c r="N329" s="183">
        <f t="shared" si="99"/>
        <v>392995</v>
      </c>
      <c r="O329" s="182">
        <f t="shared" ref="O329:O331" si="101">IF(L329&gt;0,N329*100/L329,0)</f>
        <v>42.42402979</v>
      </c>
      <c r="P329" s="182">
        <f t="shared" ref="P329:P331" si="102">IF(M329&gt;0,N329*100/M329,0)</f>
        <v>101.7067805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926350</v>
      </c>
      <c r="M331" s="188">
        <f t="shared" si="103"/>
        <v>386400</v>
      </c>
      <c r="N331" s="188">
        <f t="shared" si="103"/>
        <v>392995</v>
      </c>
      <c r="O331" s="187">
        <f t="shared" si="101"/>
        <v>42.42402979</v>
      </c>
      <c r="P331" s="187">
        <f t="shared" si="102"/>
        <v>101.7067805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757350</v>
      </c>
      <c r="M333" s="201">
        <f>IFERROR(__xludf.DUMMYFUNCTION("IMPORTRANGE(""https://docs.google.com/spreadsheets/d/1Yj_ptqi66GCucihVvJfMjLAmec39IyEx_6qawtMGysU/edit?usp=sharing"",""สบก!DL93"")"),386400.0)</f>
        <v>386400</v>
      </c>
      <c r="N333" s="202">
        <f>IFERROR(__xludf.DUMMYFUNCTION("IMPORTRANGE(""https://docs.google.com/spreadsheets/d/1Yj_ptqi66GCucihVvJfMjLAmec39IyEx_6qawtMGysU/edit?usp=sharing"",""สบก!DM93"")"),223995.0)</f>
        <v>223995</v>
      </c>
      <c r="O333" s="203">
        <f>IF(L333&gt;0,N333*100/L333,0)</f>
        <v>29.57615369</v>
      </c>
      <c r="P333" s="203">
        <f>IF(M333&gt;0,N333*100/M333,0)</f>
        <v>57.9697205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IFERROR(__xludf.DUMMYFUNCTION("IMPORTRANGE(""https://docs.google.com/spreadsheets/d/1Yj_ptqi66GCucihVvJfMjLAmec39IyEx_6qawtMGysU/edit?usp=sharing"",""สบก!DH93"")"),530800.0)</f>
        <v>530800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IFERROR(__xludf.DUMMYFUNCTION("IMPORTRANGE(""https://docs.google.com/spreadsheets/d/1Yj_ptqi66GCucihVvJfMjLAmec39IyEx_6qawtMGysU/edit?usp=sharing"",""สบก!DI93"")"),226550.0)</f>
        <v>226550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IFERROR(__xludf.DUMMYFUNCTION("IMPORTRANGE(""https://docs.google.com/spreadsheets/d/1Yj_ptqi66GCucihVvJfMjLAmec39IyEx_6qawtMGysU/edit?usp=sharing"",""สบก!DJ93"")"),169000.0)</f>
        <v>169000</v>
      </c>
      <c r="M337" s="125"/>
      <c r="N337" s="115">
        <f>IFERROR(__xludf.DUMMYFUNCTION("IMPORTRANGE(""https://docs.google.com/spreadsheets/d/1Yj_ptqi66GCucihVvJfMjLAmec39IyEx_6qawtMGysU/edit?usp=sharing"",""สบก!DN93"")"),169000.0)</f>
        <v>169000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IFERROR(__xludf.DUMMYFUNCTION("IMPORTRANGE(""https://docs.google.com/spreadsheets/d/1IYY_tgx_IHuhSq3AJ5eI5OnqOPBNLWSHKh2a30DoXe8/edit?usp=sharing"",""สตูล!I234"")"),0.0)</f>
        <v>0</v>
      </c>
      <c r="J339" s="222">
        <f>IFERROR(__xludf.DUMMYFUNCTION("IMPORTRANGE(""https://docs.google.com/spreadsheets/d/1IYY_tgx_IHuhSq3AJ5eI5OnqOPBNLWSHKh2a30DoXe8/edit?usp=sharing"",""สตูล!J234"")"),44.0)</f>
        <v>44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IFERROR(__xludf.DUMMYFUNCTION("IMPORTRANGE(""https://docs.google.com/spreadsheets/d/1IYY_tgx_IHuhSq3AJ5eI5OnqOPBNLWSHKh2a30DoXe8/edit?usp=sharing"",""สตูล!I235"")"),480.0)</f>
        <v>480</v>
      </c>
      <c r="J340" s="222">
        <f>IFERROR(__xludf.DUMMYFUNCTION("IMPORTRANGE(""https://docs.google.com/spreadsheets/d/1IYY_tgx_IHuhSq3AJ5eI5OnqOPBNLWSHKh2a30DoXe8/edit?usp=sharing"",""สตูล!J235"")"),196.37)</f>
        <v>196.37</v>
      </c>
      <c r="K340" s="375">
        <f t="shared" si="104"/>
        <v>40.91041667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IFERROR(__xludf.DUMMYFUNCTION("IMPORTRANGE(""https://docs.google.com/spreadsheets/d/1IYY_tgx_IHuhSq3AJ5eI5OnqOPBNLWSHKh2a30DoXe8/edit?usp=sharing"",""สตูล!I236"")"),50.0)</f>
        <v>50</v>
      </c>
      <c r="J341" s="222">
        <f>IFERROR(__xludf.DUMMYFUNCTION("IMPORTRANGE(""https://docs.google.com/spreadsheets/d/1IYY_tgx_IHuhSq3AJ5eI5OnqOPBNLWSHKh2a30DoXe8/edit?usp=sharing"",""สตูล!J236"")"),44.0)</f>
        <v>44</v>
      </c>
      <c r="K341" s="375">
        <f t="shared" si="104"/>
        <v>88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IFERROR(__xludf.DUMMYFUNCTION("IMPORTRANGE(""https://docs.google.com/spreadsheets/d/1IYY_tgx_IHuhSq3AJ5eI5OnqOPBNLWSHKh2a30DoXe8/edit?usp=sharing"",""สตูล!I237"")"),0.0)</f>
        <v>0</v>
      </c>
      <c r="J342" s="222">
        <f>IFERROR(__xludf.DUMMYFUNCTION("IMPORTRANGE(""https://docs.google.com/spreadsheets/d/1IYY_tgx_IHuhSq3AJ5eI5OnqOPBNLWSHKh2a30DoXe8/edit?usp=sharing"",""สตูล!J237"")"),196.37)</f>
        <v>196.37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IFERROR(__xludf.DUMMYFUNCTION("IMPORTRANGE(""https://docs.google.com/spreadsheets/d/1IYY_tgx_IHuhSq3AJ5eI5OnqOPBNLWSHKh2a30DoXe8/edit?usp=sharing"",""สตูล!I238"")"),50.0)</f>
        <v>50</v>
      </c>
      <c r="J343" s="222">
        <f>IFERROR(__xludf.DUMMYFUNCTION("IMPORTRANGE(""https://docs.google.com/spreadsheets/d/1IYY_tgx_IHuhSq3AJ5eI5OnqOPBNLWSHKh2a30DoXe8/edit?usp=sharing"",""สตูล!J238"")"),0.0)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IFERROR(__xludf.DUMMYFUNCTION("IMPORTRANGE(""https://docs.google.com/spreadsheets/d/1IYY_tgx_IHuhSq3AJ5eI5OnqOPBNLWSHKh2a30DoXe8/edit?usp=sharing"",""สตูล!I239"")"),0.0)</f>
        <v>0</v>
      </c>
      <c r="J344" s="222">
        <f>IFERROR(__xludf.DUMMYFUNCTION("IMPORTRANGE(""https://docs.google.com/spreadsheets/d/1IYY_tgx_IHuhSq3AJ5eI5OnqOPBNLWSHKh2a30DoXe8/edit?usp=sharing"",""สตูล!J239"")"),0.0)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IFERROR(__xludf.DUMMYFUNCTION("IMPORTRANGE(""https://docs.google.com/spreadsheets/d/1IYY_tgx_IHuhSq3AJ5eI5OnqOPBNLWSHKh2a30DoXe8/edit?usp=sharing"",""สตูล!I240"")"),50.0)</f>
        <v>50</v>
      </c>
      <c r="J345" s="222">
        <f>IFERROR(__xludf.DUMMYFUNCTION("IMPORTRANGE(""https://docs.google.com/spreadsheets/d/1IYY_tgx_IHuhSq3AJ5eI5OnqOPBNLWSHKh2a30DoXe8/edit?usp=sharing"",""สตูล!J240"")"),15.0)</f>
        <v>15</v>
      </c>
      <c r="K345" s="375">
        <f t="shared" si="104"/>
        <v>30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IFERROR(__xludf.DUMMYFUNCTION("IMPORTRANGE(""https://docs.google.com/spreadsheets/d/1IYY_tgx_IHuhSq3AJ5eI5OnqOPBNLWSHKh2a30DoXe8/edit?usp=sharing"",""สตูล!I241"")"),0.0)</f>
        <v>0</v>
      </c>
      <c r="J346" s="222">
        <f>IFERROR(__xludf.DUMMYFUNCTION("IMPORTRANGE(""https://docs.google.com/spreadsheets/d/1IYY_tgx_IHuhSq3AJ5eI5OnqOPBNLWSHKh2a30DoXe8/edit?usp=sharing"",""สตูล!J241"")"),76.15)</f>
        <v>76.15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IFERROR(__xludf.DUMMYFUNCTION("IMPORTRANGE(""https://docs.google.com/spreadsheets/d/1IYY_tgx_IHuhSq3AJ5eI5OnqOPBNLWSHKh2a30DoXe8/edit?usp=sharing"",""สตูล!L242"")"),496176.0)</f>
        <v>496176</v>
      </c>
      <c r="M347" s="391"/>
      <c r="N347" s="391">
        <f>IFERROR(__xludf.DUMMYFUNCTION("IMPORTRANGE(""https://docs.google.com/spreadsheets/d/1IYY_tgx_IHuhSq3AJ5eI5OnqOPBNLWSHKh2a30DoXe8/edit?usp=sharing"",""สตูล!M242"")"),116636.0)</f>
        <v>116636</v>
      </c>
      <c r="O347" s="391">
        <f>+IF(L347&gt;0,N347*100/L347,0)</f>
        <v>23.50698139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IFERROR(__xludf.DUMMYFUNCTION("IMPORTRANGE(""https://docs.google.com/spreadsheets/d/1IYY_tgx_IHuhSq3AJ5eI5OnqOPBNLWSHKh2a30DoXe8/edit?usp=sharing"",""สตูล!I244"")"),0.0)</f>
        <v>0</v>
      </c>
      <c r="J349" s="404">
        <f>IFERROR(__xludf.DUMMYFUNCTION("IMPORTRANGE(""https://docs.google.com/spreadsheets/d/1IYY_tgx_IHuhSq3AJ5eI5OnqOPBNLWSHKh2a30DoXe8/edit?usp=sharing"",""สตูล!J244"")"),0.0)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IFERROR(__xludf.DUMMYFUNCTION("IMPORTRANGE(""https://docs.google.com/spreadsheets/d/1IYY_tgx_IHuhSq3AJ5eI5OnqOPBNLWSHKh2a30DoXe8/edit?usp=sharing"",""สตูล!L244"")"),0.0)</f>
        <v>0</v>
      </c>
      <c r="M349" s="406"/>
      <c r="N349" s="406">
        <f>IFERROR(__xludf.DUMMYFUNCTION("IMPORTRANGE(""https://docs.google.com/spreadsheets/d/1IYY_tgx_IHuhSq3AJ5eI5OnqOPBNLWSHKh2a30DoXe8/edit?usp=sharing"",""สตูล!M244"")"),0.0)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IFERROR(__xludf.DUMMYFUNCTION("IMPORTRANGE(""https://docs.google.com/spreadsheets/d/1IYY_tgx_IHuhSq3AJ5eI5OnqOPBNLWSHKh2a30DoXe8/edit?usp=sharing"",""สตูล!I245"")"),0.0)</f>
        <v>0</v>
      </c>
      <c r="J350" s="404">
        <f>IFERROR(__xludf.DUMMYFUNCTION("IMPORTRANGE(""https://docs.google.com/spreadsheets/d/1IYY_tgx_IHuhSq3AJ5eI5OnqOPBNLWSHKh2a30DoXe8/edit?usp=sharing"",""สตูล!J245"")"),0.0)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IFERROR(__xludf.DUMMYFUNCTION("IMPORTRANGE(""https://docs.google.com/spreadsheets/d/1IYY_tgx_IHuhSq3AJ5eI5OnqOPBNLWSHKh2a30DoXe8/edit?usp=sharing"",""สตูล!L246"")"),0.0)</f>
        <v>0</v>
      </c>
      <c r="M351" s="197"/>
      <c r="N351" s="197">
        <f>IFERROR(__xludf.DUMMYFUNCTION("IMPORTRANGE(""https://docs.google.com/spreadsheets/d/1IYY_tgx_IHuhSq3AJ5eI5OnqOPBNLWSHKh2a30DoXe8/edit?usp=sharing"",""สตูล!M246"")"),0.0)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IFERROR(__xludf.DUMMYFUNCTION("IMPORTRANGE(""https://docs.google.com/spreadsheets/d/1IYY_tgx_IHuhSq3AJ5eI5OnqOPBNLWSHKh2a30DoXe8/edit?usp=sharing"",""สตูล!L247"")"),0.0)</f>
        <v>0</v>
      </c>
      <c r="M352" s="198"/>
      <c r="N352" s="197">
        <f>IFERROR(__xludf.DUMMYFUNCTION("IMPORTRANGE(""https://docs.google.com/spreadsheets/d/1IYY_tgx_IHuhSq3AJ5eI5OnqOPBNLWSHKh2a30DoXe8/edit?usp=sharing"",""สตูล!M247"")"),0.0)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IFERROR(__xludf.DUMMYFUNCTION("IMPORTRANGE(""https://docs.google.com/spreadsheets/d/1IYY_tgx_IHuhSq3AJ5eI5OnqOPBNLWSHKh2a30DoXe8/edit?usp=sharing"",""สตูล!L248"")"),0.0)</f>
        <v>0</v>
      </c>
      <c r="M353" s="203"/>
      <c r="N353" s="203">
        <f>IFERROR(__xludf.DUMMYFUNCTION("IMPORTRANGE(""https://docs.google.com/spreadsheets/d/1IYY_tgx_IHuhSq3AJ5eI5OnqOPBNLWSHKh2a30DoXe8/edit?usp=sharing"",""สตูล!M248"")"),0.0)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IFERROR(__xludf.DUMMYFUNCTION("IMPORTRANGE(""https://docs.google.com/spreadsheets/d/1IYY_tgx_IHuhSq3AJ5eI5OnqOPBNLWSHKh2a30DoXe8/edit?usp=sharing"",""สตูล!L249"")"),0.0)</f>
        <v>0</v>
      </c>
      <c r="M354" s="203"/>
      <c r="N354" s="200">
        <f>IFERROR(__xludf.DUMMYFUNCTION("IMPORTRANGE(""https://docs.google.com/spreadsheets/d/1IYY_tgx_IHuhSq3AJ5eI5OnqOPBNLWSHKh2a30DoXe8/edit?usp=sharing"",""สตูล!M249"")"),0.0)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IFERROR(__xludf.DUMMYFUNCTION("IMPORTRANGE(""https://docs.google.com/spreadsheets/d/1IYY_tgx_IHuhSq3AJ5eI5OnqOPBNLWSHKh2a30DoXe8/edit?usp=sharing"",""สตูล!M250"")"),0.0)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IFERROR(__xludf.DUMMYFUNCTION("IMPORTRANGE(""https://docs.google.com/spreadsheets/d/1IYY_tgx_IHuhSq3AJ5eI5OnqOPBNLWSHKh2a30DoXe8/edit?usp=sharing"",""สตูล!M251"")"),0.0)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IFERROR(__xludf.DUMMYFUNCTION("IMPORTRANGE(""https://docs.google.com/spreadsheets/d/1IYY_tgx_IHuhSq3AJ5eI5OnqOPBNLWSHKh2a30DoXe8/edit?usp=sharing"",""สตูล!M252"")"),0.0)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IFERROR(__xludf.DUMMYFUNCTION("IMPORTRANGE(""https://docs.google.com/spreadsheets/d/1IYY_tgx_IHuhSq3AJ5eI5OnqOPBNLWSHKh2a30DoXe8/edit?usp=sharing"",""สตูล!M253"")"),0.0)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IFERROR(__xludf.DUMMYFUNCTION("IMPORTRANGE(""https://docs.google.com/spreadsheets/d/1IYY_tgx_IHuhSq3AJ5eI5OnqOPBNLWSHKh2a30DoXe8/edit?usp=sharing"",""สตูล!J255"")"),0.0)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IFERROR(__xludf.DUMMYFUNCTION("IMPORTRANGE(""https://docs.google.com/spreadsheets/d/1IYY_tgx_IHuhSq3AJ5eI5OnqOPBNLWSHKh2a30DoXe8/edit?usp=sharing"",""สตูล!J256"")"),0.0)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IFERROR(__xludf.DUMMYFUNCTION("IMPORTRANGE(""https://docs.google.com/spreadsheets/d/1IYY_tgx_IHuhSq3AJ5eI5OnqOPBNLWSHKh2a30DoXe8/edit?usp=sharing"",""สตูล!J257"")"),0.0)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IFERROR(__xludf.DUMMYFUNCTION("IMPORTRANGE(""https://docs.google.com/spreadsheets/d/1IYY_tgx_IHuhSq3AJ5eI5OnqOPBNLWSHKh2a30DoXe8/edit?usp=sharing"",""สตูล!J258"")"),0.0)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IFERROR(__xludf.DUMMYFUNCTION("IMPORTRANGE(""https://docs.google.com/spreadsheets/d/1IYY_tgx_IHuhSq3AJ5eI5OnqOPBNLWSHKh2a30DoXe8/edit?usp=sharing"",""สตูล!J166"")"),0.0)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IFERROR(__xludf.DUMMYFUNCTION("IMPORTRANGE(""https://docs.google.com/spreadsheets/d/1IYY_tgx_IHuhSq3AJ5eI5OnqOPBNLWSHKh2a30DoXe8/edit?usp=sharing"",""สตูล!J166"")"),0.0)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IFERROR(__xludf.DUMMYFUNCTION("IMPORTRANGE(""https://docs.google.com/spreadsheets/d/1IYY_tgx_IHuhSq3AJ5eI5OnqOPBNLWSHKh2a30DoXe8/edit?usp=sharing"",""สตูล!J166"")"),0.0)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IFERROR(__xludf.DUMMYFUNCTION("IMPORTRANGE(""https://docs.google.com/spreadsheets/d/1IYY_tgx_IHuhSq3AJ5eI5OnqOPBNLWSHKh2a30DoXe8/edit?usp=sharing"",""สตูล!J166"")"),0.0)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IFERROR(__xludf.DUMMYFUNCTION("IMPORTRANGE(""https://docs.google.com/spreadsheets/d/1IYY_tgx_IHuhSq3AJ5eI5OnqOPBNLWSHKh2a30DoXe8/edit?usp=sharing"",""สตูล!I263"")"),0.0)</f>
        <v>0</v>
      </c>
      <c r="J368" s="222">
        <f>IFERROR(__xludf.DUMMYFUNCTION("IMPORTRANGE(""https://docs.google.com/spreadsheets/d/1IYY_tgx_IHuhSq3AJ5eI5OnqOPBNLWSHKh2a30DoXe8/edit?usp=sharing"",""สตูล!J263"")"),0.0)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IFERROR(__xludf.DUMMYFUNCTION("IMPORTRANGE(""https://docs.google.com/spreadsheets/d/1IYY_tgx_IHuhSq3AJ5eI5OnqOPBNLWSHKh2a30DoXe8/edit?usp=sharing"",""สตูล!I164"")"),0.0)</f>
        <v>0</v>
      </c>
      <c r="J369" s="238">
        <f>IFERROR(__xludf.DUMMYFUNCTION("IMPORTRANGE(""https://docs.google.com/spreadsheets/d/1IYY_tgx_IHuhSq3AJ5eI5OnqOPBNLWSHKh2a30DoXe8/edit?usp=sharing"",""สตูล!J164"")"),0.0)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IFERROR(__xludf.DUMMYFUNCTION("IMPORTRANGE(""https://docs.google.com/spreadsheets/d/1IYY_tgx_IHuhSq3AJ5eI5OnqOPBNLWSHKh2a30DoXe8/edit?usp=sharing"",""สตูล!I265"")"),0.0)</f>
        <v>0</v>
      </c>
      <c r="J370" s="238">
        <f>IFERROR(__xludf.DUMMYFUNCTION("IMPORTRANGE(""https://docs.google.com/spreadsheets/d/1IYY_tgx_IHuhSq3AJ5eI5OnqOPBNLWSHKh2a30DoXe8/edit?usp=sharing"",""สตูล!J265"")"),0.0)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IFERROR(__xludf.DUMMYFUNCTION("IMPORTRANGE(""https://docs.google.com/spreadsheets/d/1IYY_tgx_IHuhSq3AJ5eI5OnqOPBNLWSHKh2a30DoXe8/edit?usp=sharing"",""สตูล!I164"")"),0.0)</f>
        <v>0</v>
      </c>
      <c r="J371" s="223">
        <f>IFERROR(__xludf.DUMMYFUNCTION("IMPORTRANGE(""https://docs.google.com/spreadsheets/d/1IYY_tgx_IHuhSq3AJ5eI5OnqOPBNLWSHKh2a30DoXe8/edit?usp=sharing"",""สตูล!J164"")"),0.0)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IFERROR(__xludf.DUMMYFUNCTION("IMPORTRANGE(""https://docs.google.com/spreadsheets/d/1IYY_tgx_IHuhSq3AJ5eI5OnqOPBNLWSHKh2a30DoXe8/edit?usp=sharing"",""สตูล!I267"")"),0.0)</f>
        <v>0</v>
      </c>
      <c r="J372" s="223">
        <f>IFERROR(__xludf.DUMMYFUNCTION("IMPORTRANGE(""https://docs.google.com/spreadsheets/d/1IYY_tgx_IHuhSq3AJ5eI5OnqOPBNLWSHKh2a30DoXe8/edit?usp=sharing"",""สตูล!J267"")"),0.0)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IFERROR(__xludf.DUMMYFUNCTION("IMPORTRANGE(""https://docs.google.com/spreadsheets/d/1IYY_tgx_IHuhSq3AJ5eI5OnqOPBNLWSHKh2a30DoXe8/edit?usp=sharing"",""สตูล!I164"")"),0.0)</f>
        <v>0</v>
      </c>
      <c r="J373" s="238">
        <f>IFERROR(__xludf.DUMMYFUNCTION("IMPORTRANGE(""https://docs.google.com/spreadsheets/d/1IYY_tgx_IHuhSq3AJ5eI5OnqOPBNLWSHKh2a30DoXe8/edit?usp=sharing"",""สตูล!J164"")"),0.0)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IFERROR(__xludf.DUMMYFUNCTION("IMPORTRANGE(""https://docs.google.com/spreadsheets/d/1IYY_tgx_IHuhSq3AJ5eI5OnqOPBNLWSHKh2a30DoXe8/edit?usp=sharing"",""สตูล!I164"")"),0.0)</f>
        <v>0</v>
      </c>
      <c r="J374" s="222">
        <f>IFERROR(__xludf.DUMMYFUNCTION("IMPORTRANGE(""https://docs.google.com/spreadsheets/d/1IYY_tgx_IHuhSq3AJ5eI5OnqOPBNLWSHKh2a30DoXe8/edit?usp=sharing"",""สตูล!J164"")"),0.0)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IFERROR(__xludf.DUMMYFUNCTION("IMPORTRANGE(""https://docs.google.com/spreadsheets/d/1IYY_tgx_IHuhSq3AJ5eI5OnqOPBNLWSHKh2a30DoXe8/edit?usp=sharing"",""สตูล!I270"")"),0.0)</f>
        <v>0</v>
      </c>
      <c r="J375" s="222">
        <f>IFERROR(__xludf.DUMMYFUNCTION("IMPORTRANGE(""https://docs.google.com/spreadsheets/d/1IYY_tgx_IHuhSq3AJ5eI5OnqOPBNLWSHKh2a30DoXe8/edit?usp=sharing"",""สตูล!J270"")"),0.0)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IFERROR(__xludf.DUMMYFUNCTION("IMPORTRANGE(""https://docs.google.com/spreadsheets/d/1IYY_tgx_IHuhSq3AJ5eI5OnqOPBNLWSHKh2a30DoXe8/edit?usp=sharing"",""สตูล!I271"")"),0.0)</f>
        <v>0</v>
      </c>
      <c r="J376" s="223">
        <f>IFERROR(__xludf.DUMMYFUNCTION("IMPORTRANGE(""https://docs.google.com/spreadsheets/d/1IYY_tgx_IHuhSq3AJ5eI5OnqOPBNLWSHKh2a30DoXe8/edit?usp=sharing"",""สตูล!J271"")"),0.0)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IFERROR(__xludf.DUMMYFUNCTION("IMPORTRANGE(""https://docs.google.com/spreadsheets/d/1IYY_tgx_IHuhSq3AJ5eI5OnqOPBNLWSHKh2a30DoXe8/edit?usp=sharing"",""สตูล!I272"")"),0.0)</f>
        <v>0</v>
      </c>
      <c r="J377" s="238">
        <f>IFERROR(__xludf.DUMMYFUNCTION("IMPORTRANGE(""https://docs.google.com/spreadsheets/d/1IYY_tgx_IHuhSq3AJ5eI5OnqOPBNLWSHKh2a30DoXe8/edit?usp=sharing"",""สตูล!J272"")"),0.0)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IFERROR(__xludf.DUMMYFUNCTION("IMPORTRANGE(""https://docs.google.com/spreadsheets/d/1IYY_tgx_IHuhSq3AJ5eI5OnqOPBNLWSHKh2a30DoXe8/edit?usp=sharing"",""สตูล!J273"")"),0.0)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IFERROR(__xludf.DUMMYFUNCTION("IMPORTRANGE(""https://docs.google.com/spreadsheets/d/1IYY_tgx_IHuhSq3AJ5eI5OnqOPBNLWSHKh2a30DoXe8/edit?usp=sharing"",""สตูล!J274"")"),0.0)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IFERROR(__xludf.DUMMYFUNCTION("IMPORTRANGE(""https://docs.google.com/spreadsheets/d/1IYY_tgx_IHuhSq3AJ5eI5OnqOPBNLWSHKh2a30DoXe8/edit?usp=sharing"",""สตูล!I275"")"),50.0)</f>
        <v>50</v>
      </c>
      <c r="J380" s="404">
        <f>IFERROR(__xludf.DUMMYFUNCTION("IMPORTRANGE(""https://docs.google.com/spreadsheets/d/1IYY_tgx_IHuhSq3AJ5eI5OnqOPBNLWSHKh2a30DoXe8/edit?usp=sharing"",""สตูล!J275"")"),0.0)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IFERROR(__xludf.DUMMYFUNCTION("IMPORTRANGE(""https://docs.google.com/spreadsheets/d/1IYY_tgx_IHuhSq3AJ5eI5OnqOPBNLWSHKh2a30DoXe8/edit?usp=sharing"",""สตูล!L275"")"),87710.0)</f>
        <v>87710</v>
      </c>
      <c r="M380" s="406"/>
      <c r="N380" s="406">
        <f>IFERROR(__xludf.DUMMYFUNCTION("IMPORTRANGE(""https://docs.google.com/spreadsheets/d/1IYY_tgx_IHuhSq3AJ5eI5OnqOPBNLWSHKh2a30DoXe8/edit?usp=sharing"",""สตูล!M275"")"),0.0)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IFERROR(__xludf.DUMMYFUNCTION("IMPORTRANGE(""https://docs.google.com/spreadsheets/d/1IYY_tgx_IHuhSq3AJ5eI5OnqOPBNLWSHKh2a30DoXe8/edit?usp=sharing"",""สตูล!I276"")"),5.0)</f>
        <v>5</v>
      </c>
      <c r="J381" s="404">
        <f>IFERROR(__xludf.DUMMYFUNCTION("IMPORTRANGE(""https://docs.google.com/spreadsheets/d/1IYY_tgx_IHuhSq3AJ5eI5OnqOPBNLWSHKh2a30DoXe8/edit?usp=sharing"",""สตูล!J276"")"),0.0)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IFERROR(__xludf.DUMMYFUNCTION("IMPORTRANGE(""https://docs.google.com/spreadsheets/d/1IYY_tgx_IHuhSq3AJ5eI5OnqOPBNLWSHKh2a30DoXe8/edit?usp=sharing"",""สตูล!L277"")"),0.0)</f>
        <v>0</v>
      </c>
      <c r="M382" s="197"/>
      <c r="N382" s="197">
        <f>IFERROR(__xludf.DUMMYFUNCTION("IMPORTRANGE(""https://docs.google.com/spreadsheets/d/1IYY_tgx_IHuhSq3AJ5eI5OnqOPBNLWSHKh2a30DoXe8/edit?usp=sharing"",""สตูล!M277"")"),0.0)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IFERROR(__xludf.DUMMYFUNCTION("IMPORTRANGE(""https://docs.google.com/spreadsheets/d/1IYY_tgx_IHuhSq3AJ5eI5OnqOPBNLWSHKh2a30DoXe8/edit?usp=sharing"",""สตูล!L278"")"),87710.0)</f>
        <v>87710</v>
      </c>
      <c r="M383" s="198"/>
      <c r="N383" s="198">
        <f>IFERROR(__xludf.DUMMYFUNCTION("IMPORTRANGE(""https://docs.google.com/spreadsheets/d/1IYY_tgx_IHuhSq3AJ5eI5OnqOPBNLWSHKh2a30DoXe8/edit?usp=sharing"",""สตูล!M278"")"),0.0)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IFERROR(__xludf.DUMMYFUNCTION("IMPORTRANGE(""https://docs.google.com/spreadsheets/d/1IYY_tgx_IHuhSq3AJ5eI5OnqOPBNLWSHKh2a30DoXe8/edit?usp=sharing"",""สตูล!L279"")"),0.0)</f>
        <v>0</v>
      </c>
      <c r="M384" s="203"/>
      <c r="N384" s="203">
        <f>IFERROR(__xludf.DUMMYFUNCTION("IMPORTRANGE(""https://docs.google.com/spreadsheets/d/1IYY_tgx_IHuhSq3AJ5eI5OnqOPBNLWSHKh2a30DoXe8/edit?usp=sharing"",""สตูล!M279"")"),0.0)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IFERROR(__xludf.DUMMYFUNCTION("IMPORTRANGE(""https://docs.google.com/spreadsheets/d/1IYY_tgx_IHuhSq3AJ5eI5OnqOPBNLWSHKh2a30DoXe8/edit?usp=sharing"",""สตูล!L280"")"),87710.0)</f>
        <v>87710</v>
      </c>
      <c r="M385" s="203"/>
      <c r="N385" s="200">
        <f>IFERROR(__xludf.DUMMYFUNCTION("IMPORTRANGE(""https://docs.google.com/spreadsheets/d/1IYY_tgx_IHuhSq3AJ5eI5OnqOPBNLWSHKh2a30DoXe8/edit?usp=sharing"",""สตูล!M280"")"),0.0)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IFERROR(__xludf.DUMMYFUNCTION("IMPORTRANGE(""https://docs.google.com/spreadsheets/d/1IYY_tgx_IHuhSq3AJ5eI5OnqOPBNLWSHKh2a30DoXe8/edit?usp=sharing"",""สตูล!M281"")"),0.0)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IFERROR(__xludf.DUMMYFUNCTION("IMPORTRANGE(""https://docs.google.com/spreadsheets/d/1IYY_tgx_IHuhSq3AJ5eI5OnqOPBNLWSHKh2a30DoXe8/edit?usp=sharing"",""สตูล!M282"")"),0.0)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IFERROR(__xludf.DUMMYFUNCTION("IMPORTRANGE(""https://docs.google.com/spreadsheets/d/1IYY_tgx_IHuhSq3AJ5eI5OnqOPBNLWSHKh2a30DoXe8/edit?usp=sharing"",""สตูล!M283"")"),0.0)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IFERROR(__xludf.DUMMYFUNCTION("IMPORTRANGE(""https://docs.google.com/spreadsheets/d/1IYY_tgx_IHuhSq3AJ5eI5OnqOPBNLWSHKh2a30DoXe8/edit?usp=sharing"",""สตูล!M284"")"),0.0)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IFERROR(__xludf.DUMMYFUNCTION("IMPORTRANGE(""https://docs.google.com/spreadsheets/d/1IYY_tgx_IHuhSq3AJ5eI5OnqOPBNLWSHKh2a30DoXe8/edit?usp=sharing"",""สตูล!J286"")"),0.0)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IFERROR(__xludf.DUMMYFUNCTION("IMPORTRANGE(""https://docs.google.com/spreadsheets/d/1IYY_tgx_IHuhSq3AJ5eI5OnqOPBNLWSHKh2a30DoXe8/edit?usp=sharing"",""สตูล!J287"")"),1.0)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IFERROR(__xludf.DUMMYFUNCTION("IMPORTRANGE(""https://docs.google.com/spreadsheets/d/1IYY_tgx_IHuhSq3AJ5eI5OnqOPBNLWSHKh2a30DoXe8/edit?usp=sharing"",""สตูล!J288"")"),1.0)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IFERROR(__xludf.DUMMYFUNCTION("IMPORTRANGE(""https://docs.google.com/spreadsheets/d/1IYY_tgx_IHuhSq3AJ5eI5OnqOPBNLWSHKh2a30DoXe8/edit?usp=sharing"",""สตูล!J289"")"),0.0)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IFERROR(__xludf.DUMMYFUNCTION("IMPORTRANGE(""https://docs.google.com/spreadsheets/d/1IYY_tgx_IHuhSq3AJ5eI5OnqOPBNLWSHKh2a30DoXe8/edit?usp=sharing"",""สตูล!I291"")"),5.0)</f>
        <v>5</v>
      </c>
      <c r="J396" s="232">
        <f>IFERROR(__xludf.DUMMYFUNCTION("IMPORTRANGE(""https://docs.google.com/spreadsheets/d/1IYY_tgx_IHuhSq3AJ5eI5OnqOPBNLWSHKh2a30DoXe8/edit?usp=sharing"",""สตูล!J291"")"),0.0)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IFERROR(__xludf.DUMMYFUNCTION("IMPORTRANGE(""https://docs.google.com/spreadsheets/d/1IYY_tgx_IHuhSq3AJ5eI5OnqOPBNLWSHKh2a30DoXe8/edit?usp=sharing"",""สตูล!I292"")"),50.0)</f>
        <v>50</v>
      </c>
      <c r="J397" s="232">
        <f>IFERROR(__xludf.DUMMYFUNCTION("IMPORTRANGE(""https://docs.google.com/spreadsheets/d/1IYY_tgx_IHuhSq3AJ5eI5OnqOPBNLWSHKh2a30DoXe8/edit?usp=sharing"",""สตูล!J292"")"),0.0)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IFERROR(__xludf.DUMMYFUNCTION("IMPORTRANGE(""https://docs.google.com/spreadsheets/d/1IYY_tgx_IHuhSq3AJ5eI5OnqOPBNLWSHKh2a30DoXe8/edit?usp=sharing"",""สตูล!I293"")"),5.0)</f>
        <v>5</v>
      </c>
      <c r="J398" s="232">
        <f>IFERROR(__xludf.DUMMYFUNCTION("IMPORTRANGE(""https://docs.google.com/spreadsheets/d/1IYY_tgx_IHuhSq3AJ5eI5OnqOPBNLWSHKh2a30DoXe8/edit?usp=sharing"",""สตูล!J293"")"),0.0)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IFERROR(__xludf.DUMMYFUNCTION("IMPORTRANGE(""https://docs.google.com/spreadsheets/d/1IYY_tgx_IHuhSq3AJ5eI5OnqOPBNLWSHKh2a30DoXe8/edit?usp=sharing"",""สตูล!J294"")"),0.0)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IFERROR(__xludf.DUMMYFUNCTION("IMPORTRANGE(""https://docs.google.com/spreadsheets/d/1IYY_tgx_IHuhSq3AJ5eI5OnqOPBNLWSHKh2a30DoXe8/edit?usp=sharing"",""สตูล!J295"")"),0.0)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IFERROR(__xludf.DUMMYFUNCTION("IMPORTRANGE(""https://docs.google.com/spreadsheets/d/1IYY_tgx_IHuhSq3AJ5eI5OnqOPBNLWSHKh2a30DoXe8/edit?usp=sharing"",""สตูล!I296"")"),75.0)</f>
        <v>75</v>
      </c>
      <c r="J401" s="404">
        <f>IFERROR(__xludf.DUMMYFUNCTION("IMPORTRANGE(""https://docs.google.com/spreadsheets/d/1IYY_tgx_IHuhSq3AJ5eI5OnqOPBNLWSHKh2a30DoXe8/edit?usp=sharing"",""สตูล!J296"")"),45.0)</f>
        <v>45</v>
      </c>
      <c r="K401" s="405">
        <f t="shared" ref="K401:K402" si="112">IF(I401&gt;0,J401*100/I401,0)</f>
        <v>60</v>
      </c>
      <c r="L401" s="406">
        <f>IFERROR(__xludf.DUMMYFUNCTION("IMPORTRANGE(""https://docs.google.com/spreadsheets/d/1IYY_tgx_IHuhSq3AJ5eI5OnqOPBNLWSHKh2a30DoXe8/edit?usp=sharing"",""สตูล!L296"")"),81620.0)</f>
        <v>81620</v>
      </c>
      <c r="M401" s="406"/>
      <c r="N401" s="406">
        <f>IFERROR(__xludf.DUMMYFUNCTION("IMPORTRANGE(""https://docs.google.com/spreadsheets/d/1IYY_tgx_IHuhSq3AJ5eI5OnqOPBNLWSHKh2a30DoXe8/edit?usp=sharing"",""สตูล!M296"")"),26852.0)</f>
        <v>26852</v>
      </c>
      <c r="O401" s="406">
        <f>+IF(L401&gt;0,N401*100/L401,0)</f>
        <v>32.89879931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IFERROR(__xludf.DUMMYFUNCTION("IMPORTRANGE(""https://docs.google.com/spreadsheets/d/1IYY_tgx_IHuhSq3AJ5eI5OnqOPBNLWSHKh2a30DoXe8/edit?usp=sharing"",""สตูล!I297"")"),25.0)</f>
        <v>25</v>
      </c>
      <c r="J402" s="404">
        <f>IFERROR(__xludf.DUMMYFUNCTION("IMPORTRANGE(""https://docs.google.com/spreadsheets/d/1IYY_tgx_IHuhSq3AJ5eI5OnqOPBNLWSHKh2a30DoXe8/edit?usp=sharing"",""สตูล!J297"")"),25.0)</f>
        <v>25</v>
      </c>
      <c r="K402" s="405">
        <f t="shared" si="112"/>
        <v>100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IFERROR(__xludf.DUMMYFUNCTION("IMPORTRANGE(""https://docs.google.com/spreadsheets/d/1IYY_tgx_IHuhSq3AJ5eI5OnqOPBNLWSHKh2a30DoXe8/edit?usp=sharing"",""สตูล!L298"")"),0.0)</f>
        <v>0</v>
      </c>
      <c r="M403" s="197"/>
      <c r="N403" s="203">
        <f>IFERROR(__xludf.DUMMYFUNCTION("IMPORTRANGE(""https://docs.google.com/spreadsheets/d/1IYY_tgx_IHuhSq3AJ5eI5OnqOPBNLWSHKh2a30DoXe8/edit?usp=sharing"",""สตูล!M298"")"),0.0)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IFERROR(__xludf.DUMMYFUNCTION("IMPORTRANGE(""https://docs.google.com/spreadsheets/d/1IYY_tgx_IHuhSq3AJ5eI5OnqOPBNLWSHKh2a30DoXe8/edit?usp=sharing"",""สตูล!L299"")"),81620.0)</f>
        <v>81620</v>
      </c>
      <c r="M404" s="198"/>
      <c r="N404" s="203">
        <f>IFERROR(__xludf.DUMMYFUNCTION("IMPORTRANGE(""https://docs.google.com/spreadsheets/d/1IYY_tgx_IHuhSq3AJ5eI5OnqOPBNLWSHKh2a30DoXe8/edit?usp=sharing"",""สตูล!M299"")"),26852.0)</f>
        <v>26852</v>
      </c>
      <c r="O404" s="203">
        <f t="shared" si="113"/>
        <v>32.89879931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IFERROR(__xludf.DUMMYFUNCTION("IMPORTRANGE(""https://docs.google.com/spreadsheets/d/1IYY_tgx_IHuhSq3AJ5eI5OnqOPBNLWSHKh2a30DoXe8/edit?usp=sharing"",""สตูล!L300"")"),0.0)</f>
        <v>0</v>
      </c>
      <c r="M405" s="203"/>
      <c r="N405" s="203">
        <f>IFERROR(__xludf.DUMMYFUNCTION("IMPORTRANGE(""https://docs.google.com/spreadsheets/d/1IYY_tgx_IHuhSq3AJ5eI5OnqOPBNLWSHKh2a30DoXe8/edit?usp=sharing"",""สตูล!M300"")"),0.0)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IFERROR(__xludf.DUMMYFUNCTION("IMPORTRANGE(""https://docs.google.com/spreadsheets/d/1IYY_tgx_IHuhSq3AJ5eI5OnqOPBNLWSHKh2a30DoXe8/edit?usp=sharing"",""สตูล!L301"")"),81620.0)</f>
        <v>81620</v>
      </c>
      <c r="M406" s="203"/>
      <c r="N406" s="203">
        <f>IFERROR(__xludf.DUMMYFUNCTION("IMPORTRANGE(""https://docs.google.com/spreadsheets/d/1IYY_tgx_IHuhSq3AJ5eI5OnqOPBNLWSHKh2a30DoXe8/edit?usp=sharing"",""สตูล!M301"")"),26852.0)</f>
        <v>26852</v>
      </c>
      <c r="O406" s="203">
        <f t="shared" si="113"/>
        <v>32.89879931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IFERROR(__xludf.DUMMYFUNCTION("IMPORTRANGE(""https://docs.google.com/spreadsheets/d/1IYY_tgx_IHuhSq3AJ5eI5OnqOPBNLWSHKh2a30DoXe8/edit?usp=sharing"",""สตูล!M302"")"),26852.0)</f>
        <v>26852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IFERROR(__xludf.DUMMYFUNCTION("IMPORTRANGE(""https://docs.google.com/spreadsheets/d/1IYY_tgx_IHuhSq3AJ5eI5OnqOPBNLWSHKh2a30DoXe8/edit?usp=sharing"",""สตูล!M303"")"),0.0)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IFERROR(__xludf.DUMMYFUNCTION("IMPORTRANGE(""https://docs.google.com/spreadsheets/d/1IYY_tgx_IHuhSq3AJ5eI5OnqOPBNLWSHKh2a30DoXe8/edit?usp=sharing"",""สตูล!M304"")"),0.0)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IFERROR(__xludf.DUMMYFUNCTION("IMPORTRANGE(""https://docs.google.com/spreadsheets/d/1IYY_tgx_IHuhSq3AJ5eI5OnqOPBNLWSHKh2a30DoXe8/edit?usp=sharing"",""สตูล!M305"")"),0.0)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IFERROR(__xludf.DUMMYFUNCTION("IMPORTRANGE(""https://docs.google.com/spreadsheets/d/1IYY_tgx_IHuhSq3AJ5eI5OnqOPBNLWSHKh2a30DoXe8/edit?usp=sharing"",""สตูล!J307"")"),0.0)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IFERROR(__xludf.DUMMYFUNCTION("IMPORTRANGE(""https://docs.google.com/spreadsheets/d/1IYY_tgx_IHuhSq3AJ5eI5OnqOPBNLWSHKh2a30DoXe8/edit?usp=sharing"",""สตูล!J308"")"),1.0)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IFERROR(__xludf.DUMMYFUNCTION("IMPORTRANGE(""https://docs.google.com/spreadsheets/d/1IYY_tgx_IHuhSq3AJ5eI5OnqOPBNLWSHKh2a30DoXe8/edit?usp=sharing"",""สตูล!J309"")"),1.0)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IFERROR(__xludf.DUMMYFUNCTION("IMPORTRANGE(""https://docs.google.com/spreadsheets/d/1IYY_tgx_IHuhSq3AJ5eI5OnqOPBNLWSHKh2a30DoXe8/edit?usp=sharing"",""สตูล!J310"")"),1.0)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IFERROR(__xludf.DUMMYFUNCTION("IMPORTRANGE(""https://docs.google.com/spreadsheets/d/1IYY_tgx_IHuhSq3AJ5eI5OnqOPBNLWSHKh2a30DoXe8/edit?usp=sharing"",""สตูล!I311"")"),25.0)</f>
        <v>25</v>
      </c>
      <c r="J416" s="235">
        <f>IFERROR(__xludf.DUMMYFUNCTION("IMPORTRANGE(""https://docs.google.com/spreadsheets/d/1IYY_tgx_IHuhSq3AJ5eI5OnqOPBNLWSHKh2a30DoXe8/edit?usp=sharing"",""สตูล!J311"")"),25.0)</f>
        <v>25</v>
      </c>
      <c r="K416" s="236">
        <f t="shared" ref="K416:K432" si="114">IF(I416&gt;0,J416*100/I416,0)</f>
        <v>100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IFERROR(__xludf.DUMMYFUNCTION("IMPORTRANGE(""https://docs.google.com/spreadsheets/d/1IYY_tgx_IHuhSq3AJ5eI5OnqOPBNLWSHKh2a30DoXe8/edit?usp=sharing"",""สตูล!I312"")"),10.0)</f>
        <v>10</v>
      </c>
      <c r="J417" s="425">
        <f>IFERROR(__xludf.DUMMYFUNCTION("IMPORTRANGE(""https://docs.google.com/spreadsheets/d/1IYY_tgx_IHuhSq3AJ5eI5OnqOPBNLWSHKh2a30DoXe8/edit?usp=sharing"",""สตูล!J312"")"),10.0)</f>
        <v>10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IFERROR(__xludf.DUMMYFUNCTION("IMPORTRANGE(""https://docs.google.com/spreadsheets/d/1IYY_tgx_IHuhSq3AJ5eI5OnqOPBNLWSHKh2a30DoXe8/edit?usp=sharing"",""สตูล!I313"")"),30.0)</f>
        <v>30</v>
      </c>
      <c r="J418" s="426">
        <f>IFERROR(__xludf.DUMMYFUNCTION("IMPORTRANGE(""https://docs.google.com/spreadsheets/d/1IYY_tgx_IHuhSq3AJ5eI5OnqOPBNLWSHKh2a30DoXe8/edit?usp=sharing"",""สตูล!J313"")"),0.0)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IFERROR(__xludf.DUMMYFUNCTION("IMPORTRANGE(""https://docs.google.com/spreadsheets/d/1IYY_tgx_IHuhSq3AJ5eI5OnqOPBNLWSHKh2a30DoXe8/edit?usp=sharing"",""สตูล!I314"")"),10.0)</f>
        <v>10</v>
      </c>
      <c r="J419" s="427">
        <f>IFERROR(__xludf.DUMMYFUNCTION("IMPORTRANGE(""https://docs.google.com/spreadsheets/d/1IYY_tgx_IHuhSq3AJ5eI5OnqOPBNLWSHKh2a30DoXe8/edit?usp=sharing"",""สตูล!J314"")"),10.0)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IFERROR(__xludf.DUMMYFUNCTION("IMPORTRANGE(""https://docs.google.com/spreadsheets/d/1IYY_tgx_IHuhSq3AJ5eI5OnqOPBNLWSHKh2a30DoXe8/edit?usp=sharing"",""สตูล!I315"")"),10.0)</f>
        <v>10</v>
      </c>
      <c r="J420" s="427">
        <f>IFERROR(__xludf.DUMMYFUNCTION("IMPORTRANGE(""https://docs.google.com/spreadsheets/d/1IYY_tgx_IHuhSq3AJ5eI5OnqOPBNLWSHKh2a30DoXe8/edit?usp=sharing"",""สตูล!J315"")"),10.0)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IFERROR(__xludf.DUMMYFUNCTION("IMPORTRANGE(""https://docs.google.com/spreadsheets/d/1IYY_tgx_IHuhSq3AJ5eI5OnqOPBNLWSHKh2a30DoXe8/edit?usp=sharing"",""สตูล!I316"")"),0.0)</f>
        <v>0</v>
      </c>
      <c r="J421" s="425">
        <f>IFERROR(__xludf.DUMMYFUNCTION("IMPORTRANGE(""https://docs.google.com/spreadsheets/d/1IYY_tgx_IHuhSq3AJ5eI5OnqOPBNLWSHKh2a30DoXe8/edit?usp=sharing"",""สตูล!J316"")"),0.0)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IFERROR(__xludf.DUMMYFUNCTION("IMPORTRANGE(""https://docs.google.com/spreadsheets/d/1IYY_tgx_IHuhSq3AJ5eI5OnqOPBNLWSHKh2a30DoXe8/edit?usp=sharing"",""สตูล!I317"")"),0.0)</f>
        <v>0</v>
      </c>
      <c r="J422" s="426">
        <f>IFERROR(__xludf.DUMMYFUNCTION("IMPORTRANGE(""https://docs.google.com/spreadsheets/d/1IYY_tgx_IHuhSq3AJ5eI5OnqOPBNLWSHKh2a30DoXe8/edit?usp=sharing"",""สตูล!J317"")"),0.0)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IFERROR(__xludf.DUMMYFUNCTION("IMPORTRANGE(""https://docs.google.com/spreadsheets/d/1IYY_tgx_IHuhSq3AJ5eI5OnqOPBNLWSHKh2a30DoXe8/edit?usp=sharing"",""สตูล!I318"")"),0.0)</f>
        <v>0</v>
      </c>
      <c r="J423" s="427" t="str">
        <f>IFERROR(__xludf.DUMMYFUNCTION("IMPORTRANGE(""https://docs.google.com/spreadsheets/d/1IYY_tgx_IHuhSq3AJ5eI5OnqOPBNLWSHKh2a30DoXe8/edit?usp=sharing"",""สตูล!J318"")"),"")</f>
        <v/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IFERROR(__xludf.DUMMYFUNCTION("IMPORTRANGE(""https://docs.google.com/spreadsheets/d/1IYY_tgx_IHuhSq3AJ5eI5OnqOPBNLWSHKh2a30DoXe8/edit?usp=sharing"",""สตูล!I319"")"),0.0)</f>
        <v>0</v>
      </c>
      <c r="J424" s="427" t="str">
        <f>IFERROR(__xludf.DUMMYFUNCTION("IMPORTRANGE(""https://docs.google.com/spreadsheets/d/1IYY_tgx_IHuhSq3AJ5eI5OnqOPBNLWSHKh2a30DoXe8/edit?usp=sharing"",""สตูล!J319"")"),"")</f>
        <v/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IFERROR(__xludf.DUMMYFUNCTION("IMPORTRANGE(""https://docs.google.com/spreadsheets/d/1IYY_tgx_IHuhSq3AJ5eI5OnqOPBNLWSHKh2a30DoXe8/edit?usp=sharing"",""สตูล!I320"")"),0.0)</f>
        <v>0</v>
      </c>
      <c r="J425" s="427">
        <f>IFERROR(__xludf.DUMMYFUNCTION("IMPORTRANGE(""https://docs.google.com/spreadsheets/d/1IYY_tgx_IHuhSq3AJ5eI5OnqOPBNLWSHKh2a30DoXe8/edit?usp=sharing"",""สตูล!J320"")"),0.0)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IFERROR(__xludf.DUMMYFUNCTION("IMPORTRANGE(""https://docs.google.com/spreadsheets/d/1IYY_tgx_IHuhSq3AJ5eI5OnqOPBNLWSHKh2a30DoXe8/edit?usp=sharing"",""สตูล!I321"")"),15.0)</f>
        <v>15</v>
      </c>
      <c r="J426" s="425">
        <f>IFERROR(__xludf.DUMMYFUNCTION("IMPORTRANGE(""https://docs.google.com/spreadsheets/d/1IYY_tgx_IHuhSq3AJ5eI5OnqOPBNLWSHKh2a30DoXe8/edit?usp=sharing"",""สตูล!J321"")"),15.0)</f>
        <v>15</v>
      </c>
      <c r="K426" s="236">
        <f t="shared" si="114"/>
        <v>100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IFERROR(__xludf.DUMMYFUNCTION("IMPORTRANGE(""https://docs.google.com/spreadsheets/d/1IYY_tgx_IHuhSq3AJ5eI5OnqOPBNLWSHKh2a30DoXe8/edit?usp=sharing"",""สตูล!I322"")"),45.0)</f>
        <v>45</v>
      </c>
      <c r="J427" s="426">
        <f>IFERROR(__xludf.DUMMYFUNCTION("IMPORTRANGE(""https://docs.google.com/spreadsheets/d/1IYY_tgx_IHuhSq3AJ5eI5OnqOPBNLWSHKh2a30DoXe8/edit?usp=sharing"",""สตูล!J322"")"),45.0)</f>
        <v>45</v>
      </c>
      <c r="K427" s="236">
        <f t="shared" si="114"/>
        <v>100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IFERROR(__xludf.DUMMYFUNCTION("IMPORTRANGE(""https://docs.google.com/spreadsheets/d/1IYY_tgx_IHuhSq3AJ5eI5OnqOPBNLWSHKh2a30DoXe8/edit?usp=sharing"",""สตูล!I323"")"),15.0)</f>
        <v>15</v>
      </c>
      <c r="J428" s="427">
        <f>IFERROR(__xludf.DUMMYFUNCTION("IMPORTRANGE(""https://docs.google.com/spreadsheets/d/1IYY_tgx_IHuhSq3AJ5eI5OnqOPBNLWSHKh2a30DoXe8/edit?usp=sharing"",""สตูล!J323"")"),15.0)</f>
        <v>15</v>
      </c>
      <c r="K428" s="196">
        <f t="shared" si="114"/>
        <v>100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IFERROR(__xludf.DUMMYFUNCTION("IMPORTRANGE(""https://docs.google.com/spreadsheets/d/1IYY_tgx_IHuhSq3AJ5eI5OnqOPBNLWSHKh2a30DoXe8/edit?usp=sharing"",""สตูล!I324"")"),15.0)</f>
        <v>15</v>
      </c>
      <c r="J429" s="427">
        <f>IFERROR(__xludf.DUMMYFUNCTION("IMPORTRANGE(""https://docs.google.com/spreadsheets/d/1IYY_tgx_IHuhSq3AJ5eI5OnqOPBNLWSHKh2a30DoXe8/edit?usp=sharing"",""สตูล!J324"")"),15.0)</f>
        <v>15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IFERROR(__xludf.DUMMYFUNCTION("IMPORTRANGE(""https://docs.google.com/spreadsheets/d/1IYY_tgx_IHuhSq3AJ5eI5OnqOPBNLWSHKh2a30DoXe8/edit?usp=sharing"",""สตูล!I325"")"),10.0)</f>
        <v>10</v>
      </c>
      <c r="J430" s="425">
        <f>IFERROR(__xludf.DUMMYFUNCTION("IMPORTRANGE(""https://docs.google.com/spreadsheets/d/1IYY_tgx_IHuhSq3AJ5eI5OnqOPBNLWSHKh2a30DoXe8/edit?usp=sharing"",""สตูล!J325"")"),10.0)</f>
        <v>10</v>
      </c>
      <c r="K430" s="236">
        <f t="shared" si="114"/>
        <v>100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IFERROR(__xludf.DUMMYFUNCTION("IMPORTRANGE(""https://docs.google.com/spreadsheets/d/1IYY_tgx_IHuhSq3AJ5eI5OnqOPBNLWSHKh2a30DoXe8/edit?usp=sharing"",""สตูล!I326"")"),10.0)</f>
        <v>10</v>
      </c>
      <c r="J431" s="427">
        <f>IFERROR(__xludf.DUMMYFUNCTION("IMPORTRANGE(""https://docs.google.com/spreadsheets/d/1IYY_tgx_IHuhSq3AJ5eI5OnqOPBNLWSHKh2a30DoXe8/edit?usp=sharing"",""สตูล!J326"")"),10.0)</f>
        <v>10</v>
      </c>
      <c r="K431" s="196">
        <f t="shared" si="114"/>
        <v>100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IFERROR(__xludf.DUMMYFUNCTION("IMPORTRANGE(""https://docs.google.com/spreadsheets/d/1IYY_tgx_IHuhSq3AJ5eI5OnqOPBNLWSHKh2a30DoXe8/edit?usp=sharing"",""สตูล!I327"")"),0.0)</f>
        <v>0</v>
      </c>
      <c r="J432" s="427">
        <f>IFERROR(__xludf.DUMMYFUNCTION("IMPORTRANGE(""https://docs.google.com/spreadsheets/d/1IYY_tgx_IHuhSq3AJ5eI5OnqOPBNLWSHKh2a30DoXe8/edit?usp=sharing"",""สตูล!J327"")"),0.0)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IFERROR(__xludf.DUMMYFUNCTION("IMPORTRANGE(""https://docs.google.com/spreadsheets/d/1IYY_tgx_IHuhSq3AJ5eI5OnqOPBNLWSHKh2a30DoXe8/edit?usp=sharing"",""สตูล!J328"")"),0.0)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IFERROR(__xludf.DUMMYFUNCTION("IMPORTRANGE(""https://docs.google.com/spreadsheets/d/1IYY_tgx_IHuhSq3AJ5eI5OnqOPBNLWSHKh2a30DoXe8/edit?usp=sharing"",""สตูล!J329"")"),0.0)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IFERROR(__xludf.DUMMYFUNCTION("IMPORTRANGE(""https://docs.google.com/spreadsheets/d/1IYY_tgx_IHuhSq3AJ5eI5OnqOPBNLWSHKh2a30DoXe8/edit?usp=sharing"",""สตูล!I330"")"),10.0)</f>
        <v>10</v>
      </c>
      <c r="J435" s="443">
        <f>IFERROR(__xludf.DUMMYFUNCTION("IMPORTRANGE(""https://docs.google.com/spreadsheets/d/1IYY_tgx_IHuhSq3AJ5eI5OnqOPBNLWSHKh2a30DoXe8/edit?usp=sharing"",""สตูล!J330"")"),10.0)</f>
        <v>10</v>
      </c>
      <c r="K435" s="444">
        <f>IF(I435&gt;0,J435*100/I435,0)</f>
        <v>100</v>
      </c>
      <c r="L435" s="445">
        <f>IFERROR(__xludf.DUMMYFUNCTION("IMPORTRANGE(""https://docs.google.com/spreadsheets/d/1IYY_tgx_IHuhSq3AJ5eI5OnqOPBNLWSHKh2a30DoXe8/edit?usp=sharing"",""สตูล!L330"")"),71000.0)</f>
        <v>71000</v>
      </c>
      <c r="M435" s="445"/>
      <c r="N435" s="445">
        <f>IFERROR(__xludf.DUMMYFUNCTION("IMPORTRANGE(""https://docs.google.com/spreadsheets/d/1IYY_tgx_IHuhSq3AJ5eI5OnqOPBNLWSHKh2a30DoXe8/edit?usp=sharing"",""สตูล!M330"")"),49430.0)</f>
        <v>49430</v>
      </c>
      <c r="O435" s="445">
        <f t="shared" ref="O435:O439" si="115">+IF(L435&gt;0,N435*100/L435,0)</f>
        <v>69.61971831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IFERROR(__xludf.DUMMYFUNCTION("IMPORTRANGE(""https://docs.google.com/spreadsheets/d/1IYY_tgx_IHuhSq3AJ5eI5OnqOPBNLWSHKh2a30DoXe8/edit?usp=sharing"",""สตูล!L331"")"),0.0)</f>
        <v>0</v>
      </c>
      <c r="M436" s="197"/>
      <c r="N436" s="203">
        <f>IFERROR(__xludf.DUMMYFUNCTION("IMPORTRANGE(""https://docs.google.com/spreadsheets/d/1IYY_tgx_IHuhSq3AJ5eI5OnqOPBNLWSHKh2a30DoXe8/edit?usp=sharing"",""สตูล!M331"")"),0.0)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IFERROR(__xludf.DUMMYFUNCTION("IMPORTRANGE(""https://docs.google.com/spreadsheets/d/1IYY_tgx_IHuhSq3AJ5eI5OnqOPBNLWSHKh2a30DoXe8/edit?usp=sharing"",""สตูล!L332"")"),71000.0)</f>
        <v>71000</v>
      </c>
      <c r="M437" s="198"/>
      <c r="N437" s="203">
        <f>IFERROR(__xludf.DUMMYFUNCTION("IMPORTRANGE(""https://docs.google.com/spreadsheets/d/1IYY_tgx_IHuhSq3AJ5eI5OnqOPBNLWSHKh2a30DoXe8/edit?usp=sharing"",""สตูล!M332"")"),49430.0)</f>
        <v>49430</v>
      </c>
      <c r="O437" s="203">
        <f t="shared" si="115"/>
        <v>69.61971831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IFERROR(__xludf.DUMMYFUNCTION("IMPORTRANGE(""https://docs.google.com/spreadsheets/d/1IYY_tgx_IHuhSq3AJ5eI5OnqOPBNLWSHKh2a30DoXe8/edit?usp=sharing"",""สตูล!L333"")"),0.0)</f>
        <v>0</v>
      </c>
      <c r="M438" s="203"/>
      <c r="N438" s="203">
        <f>IFERROR(__xludf.DUMMYFUNCTION("IMPORTRANGE(""https://docs.google.com/spreadsheets/d/1IYY_tgx_IHuhSq3AJ5eI5OnqOPBNLWSHKh2a30DoXe8/edit?usp=sharing"",""สตูล!M333"")"),0.0)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IFERROR(__xludf.DUMMYFUNCTION("IMPORTRANGE(""https://docs.google.com/spreadsheets/d/1IYY_tgx_IHuhSq3AJ5eI5OnqOPBNLWSHKh2a30DoXe8/edit?usp=sharing"",""สตูล!L334"")"),71000.0)</f>
        <v>71000</v>
      </c>
      <c r="M439" s="203"/>
      <c r="N439" s="203">
        <f>IFERROR(__xludf.DUMMYFUNCTION("IMPORTRANGE(""https://docs.google.com/spreadsheets/d/1IYY_tgx_IHuhSq3AJ5eI5OnqOPBNLWSHKh2a30DoXe8/edit?usp=sharing"",""สตูล!M334"")"),49430.0)</f>
        <v>49430</v>
      </c>
      <c r="O439" s="203">
        <f t="shared" si="115"/>
        <v>69.61971831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IFERROR(__xludf.DUMMYFUNCTION("IMPORTRANGE(""https://docs.google.com/spreadsheets/d/1IYY_tgx_IHuhSq3AJ5eI5OnqOPBNLWSHKh2a30DoXe8/edit?usp=sharing"",""สตูล!M335"")"),20200.0)</f>
        <v>20200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IFERROR(__xludf.DUMMYFUNCTION("IMPORTRANGE(""https://docs.google.com/spreadsheets/d/1IYY_tgx_IHuhSq3AJ5eI5OnqOPBNLWSHKh2a30DoXe8/edit?usp=sharing"",""สตูล!M336"")"),0.0)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IFERROR(__xludf.DUMMYFUNCTION("IMPORTRANGE(""https://docs.google.com/spreadsheets/d/1IYY_tgx_IHuhSq3AJ5eI5OnqOPBNLWSHKh2a30DoXe8/edit?usp=sharing"",""สตูล!M337"")"),0.0)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IFERROR(__xludf.DUMMYFUNCTION("IMPORTRANGE(""https://docs.google.com/spreadsheets/d/1IYY_tgx_IHuhSq3AJ5eI5OnqOPBNLWSHKh2a30DoXe8/edit?usp=sharing"",""สตูล!M338"")"),29230.0)</f>
        <v>29230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IFERROR(__xludf.DUMMYFUNCTION("IMPORTRANGE(""https://docs.google.com/spreadsheets/d/1IYY_tgx_IHuhSq3AJ5eI5OnqOPBNLWSHKh2a30DoXe8/edit?usp=sharing"",""สตูล!J340"")"),0.0)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IFERROR(__xludf.DUMMYFUNCTION("IMPORTRANGE(""https://docs.google.com/spreadsheets/d/1IYY_tgx_IHuhSq3AJ5eI5OnqOPBNLWSHKh2a30DoXe8/edit?usp=sharing"",""สตูล!J341"")"),1.0)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IFERROR(__xludf.DUMMYFUNCTION("IMPORTRANGE(""https://docs.google.com/spreadsheets/d/1IYY_tgx_IHuhSq3AJ5eI5OnqOPBNLWSHKh2a30DoXe8/edit?usp=sharing"",""สตูล!J342"")"),1.0)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IFERROR(__xludf.DUMMYFUNCTION("IMPORTRANGE(""https://docs.google.com/spreadsheets/d/1IYY_tgx_IHuhSq3AJ5eI5OnqOPBNLWSHKh2a30DoXe8/edit?usp=sharing"",""สตูล!J343"")"),1.0)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IFERROR(__xludf.DUMMYFUNCTION("IMPORTRANGE(""https://docs.google.com/spreadsheets/d/1IYY_tgx_IHuhSq3AJ5eI5OnqOPBNLWSHKh2a30DoXe8/edit?usp=sharing"",""สตูล!I344"")"),10.0)</f>
        <v>10</v>
      </c>
      <c r="J449" s="235">
        <f>IFERROR(__xludf.DUMMYFUNCTION("IMPORTRANGE(""https://docs.google.com/spreadsheets/d/1IYY_tgx_IHuhSq3AJ5eI5OnqOPBNLWSHKh2a30DoXe8/edit?usp=sharing"",""สตูล!J344"")"),10.0)</f>
        <v>10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IFERROR(__xludf.DUMMYFUNCTION("IMPORTRANGE(""https://docs.google.com/spreadsheets/d/1IYY_tgx_IHuhSq3AJ5eI5OnqOPBNLWSHKh2a30DoXe8/edit?usp=sharing"",""สตูล!I345"")"),10.0)</f>
        <v>10</v>
      </c>
      <c r="J450" s="223">
        <f>IFERROR(__xludf.DUMMYFUNCTION("IMPORTRANGE(""https://docs.google.com/spreadsheets/d/1IYY_tgx_IHuhSq3AJ5eI5OnqOPBNLWSHKh2a30DoXe8/edit?usp=sharing"",""สตูล!J345"")"),10.0)</f>
        <v>10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IFERROR(__xludf.DUMMYFUNCTION("IMPORTRANGE(""https://docs.google.com/spreadsheets/d/1IYY_tgx_IHuhSq3AJ5eI5OnqOPBNLWSHKh2a30DoXe8/edit?usp=sharing"",""สตูล!I346"")"),0.0)</f>
        <v>0</v>
      </c>
      <c r="J451" s="222">
        <f>IFERROR(__xludf.DUMMYFUNCTION("IMPORTRANGE(""https://docs.google.com/spreadsheets/d/1IYY_tgx_IHuhSq3AJ5eI5OnqOPBNLWSHKh2a30DoXe8/edit?usp=sharing"",""สตูล!J346"")"),0.0)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IFERROR(__xludf.DUMMYFUNCTION("IMPORTRANGE(""https://docs.google.com/spreadsheets/d/1IYY_tgx_IHuhSq3AJ5eI5OnqOPBNLWSHKh2a30DoXe8/edit?usp=sharing"",""สตูล!I347"")"),0.0)</f>
        <v>0</v>
      </c>
      <c r="J452" s="222">
        <f>IFERROR(__xludf.DUMMYFUNCTION("IMPORTRANGE(""https://docs.google.com/spreadsheets/d/1IYY_tgx_IHuhSq3AJ5eI5OnqOPBNLWSHKh2a30DoXe8/edit?usp=sharing"",""สตูล!J347"")"),0.0)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IFERROR(__xludf.DUMMYFUNCTION("IMPORTRANGE(""https://docs.google.com/spreadsheets/d/1IYY_tgx_IHuhSq3AJ5eI5OnqOPBNLWSHKh2a30DoXe8/edit?usp=sharing"",""สตูล!J348"")"),0.0)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IFERROR(__xludf.DUMMYFUNCTION("IMPORTRANGE(""https://docs.google.com/spreadsheets/d/1IYY_tgx_IHuhSq3AJ5eI5OnqOPBNLWSHKh2a30DoXe8/edit?usp=sharing"",""สตูล!J349"")"),0.0)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IFERROR(__xludf.DUMMYFUNCTION("IMPORTRANGE(""https://docs.google.com/spreadsheets/d/1IYY_tgx_IHuhSq3AJ5eI5OnqOPBNLWSHKh2a30DoXe8/edit?usp=sharing"",""สตูล!I350"")"),9219.0)</f>
        <v>9219</v>
      </c>
      <c r="J455" s="404">
        <f>IFERROR(__xludf.DUMMYFUNCTION("IMPORTRANGE(""https://docs.google.com/spreadsheets/d/1IYY_tgx_IHuhSq3AJ5eI5OnqOPBNLWSHKh2a30DoXe8/edit?usp=sharing"",""สตูล!J350"")"),0.0)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IFERROR(__xludf.DUMMYFUNCTION("IMPORTRANGE(""https://docs.google.com/spreadsheets/d/1IYY_tgx_IHuhSq3AJ5eI5OnqOPBNLWSHKh2a30DoXe8/edit?usp=sharing"",""สตูล!L350"")"),90626.0)</f>
        <v>90626</v>
      </c>
      <c r="M455" s="406"/>
      <c r="N455" s="406">
        <f>IFERROR(__xludf.DUMMYFUNCTION("IMPORTRANGE(""https://docs.google.com/spreadsheets/d/1IYY_tgx_IHuhSq3AJ5eI5OnqOPBNLWSHKh2a30DoXe8/edit?usp=sharing"",""สตูล!M350"")"),7269.0)</f>
        <v>7269</v>
      </c>
      <c r="O455" s="406">
        <f t="shared" ref="O455:O459" si="117">+IF(L455&gt;0,N455*100/L455,0)</f>
        <v>8.020877011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IFERROR(__xludf.DUMMYFUNCTION("IMPORTRANGE(""https://docs.google.com/spreadsheets/d/1IYY_tgx_IHuhSq3AJ5eI5OnqOPBNLWSHKh2a30DoXe8/edit?usp=sharing"",""สตูล!L351"")"),0.0)</f>
        <v>0</v>
      </c>
      <c r="M456" s="197"/>
      <c r="N456" s="203">
        <f>IFERROR(__xludf.DUMMYFUNCTION("IMPORTRANGE(""https://docs.google.com/spreadsheets/d/1IYY_tgx_IHuhSq3AJ5eI5OnqOPBNLWSHKh2a30DoXe8/edit?usp=sharing"",""สตูล!M351"")"),0.0)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IFERROR(__xludf.DUMMYFUNCTION("IMPORTRANGE(""https://docs.google.com/spreadsheets/d/1IYY_tgx_IHuhSq3AJ5eI5OnqOPBNLWSHKh2a30DoXe8/edit?usp=sharing"",""สตูล!L352"")"),90626.0)</f>
        <v>90626</v>
      </c>
      <c r="M457" s="198"/>
      <c r="N457" s="203">
        <f>IFERROR(__xludf.DUMMYFUNCTION("IMPORTRANGE(""https://docs.google.com/spreadsheets/d/1IYY_tgx_IHuhSq3AJ5eI5OnqOPBNLWSHKh2a30DoXe8/edit?usp=sharing"",""สตูล!M352"")"),7269.0)</f>
        <v>7269</v>
      </c>
      <c r="O457" s="203">
        <f t="shared" si="117"/>
        <v>8.020877011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IFERROR(__xludf.DUMMYFUNCTION("IMPORTRANGE(""https://docs.google.com/spreadsheets/d/1IYY_tgx_IHuhSq3AJ5eI5OnqOPBNLWSHKh2a30DoXe8/edit?usp=sharing"",""สตูล!L353"")"),0.0)</f>
        <v>0</v>
      </c>
      <c r="M458" s="203"/>
      <c r="N458" s="203">
        <f>IFERROR(__xludf.DUMMYFUNCTION("IMPORTRANGE(""https://docs.google.com/spreadsheets/d/1IYY_tgx_IHuhSq3AJ5eI5OnqOPBNLWSHKh2a30DoXe8/edit?usp=sharing"",""สตูล!M353"")"),0.0)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IFERROR(__xludf.DUMMYFUNCTION("IMPORTRANGE(""https://docs.google.com/spreadsheets/d/1IYY_tgx_IHuhSq3AJ5eI5OnqOPBNLWSHKh2a30DoXe8/edit?usp=sharing"",""สตูล!L354"")"),90626.0)</f>
        <v>90626</v>
      </c>
      <c r="M459" s="203"/>
      <c r="N459" s="203">
        <f>IFERROR(__xludf.DUMMYFUNCTION("IMPORTRANGE(""https://docs.google.com/spreadsheets/d/1IYY_tgx_IHuhSq3AJ5eI5OnqOPBNLWSHKh2a30DoXe8/edit?usp=sharing"",""สตูล!M354"")"),7269.0)</f>
        <v>7269</v>
      </c>
      <c r="O459" s="203">
        <f t="shared" si="117"/>
        <v>8.020877011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IFERROR(__xludf.DUMMYFUNCTION("IMPORTRANGE(""https://docs.google.com/spreadsheets/d/1IYY_tgx_IHuhSq3AJ5eI5OnqOPBNLWSHKh2a30DoXe8/edit?usp=sharing"",""สตูล!M355"")"),0.0)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IFERROR(__xludf.DUMMYFUNCTION("IMPORTRANGE(""https://docs.google.com/spreadsheets/d/1IYY_tgx_IHuhSq3AJ5eI5OnqOPBNLWSHKh2a30DoXe8/edit?usp=sharing"",""สตูล!M356"")"),0.0)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IFERROR(__xludf.DUMMYFUNCTION("IMPORTRANGE(""https://docs.google.com/spreadsheets/d/1IYY_tgx_IHuhSq3AJ5eI5OnqOPBNLWSHKh2a30DoXe8/edit?usp=sharing"",""สตูล!M357"")"),0.0)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IFERROR(__xludf.DUMMYFUNCTION("IMPORTRANGE(""https://docs.google.com/spreadsheets/d/1IYY_tgx_IHuhSq3AJ5eI5OnqOPBNLWSHKh2a30DoXe8/edit?usp=sharing"",""สตูล!M358"")"),7269.0)</f>
        <v>7269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IFERROR(__xludf.DUMMYFUNCTION("IMPORTRANGE(""https://docs.google.com/spreadsheets/d/1IYY_tgx_IHuhSq3AJ5eI5OnqOPBNLWSHKh2a30DoXe8/edit?usp=sharing"",""สตูล!I359"")"),9219.0)</f>
        <v>9219</v>
      </c>
      <c r="J464" s="301">
        <f>IFERROR(__xludf.DUMMYFUNCTION("IMPORTRANGE(""https://docs.google.com/spreadsheets/d/1IYY_tgx_IHuhSq3AJ5eI5OnqOPBNLWSHKh2a30DoXe8/edit?usp=sharing"",""สตูล!J359"")"),0.0)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IFERROR(__xludf.DUMMYFUNCTION("IMPORTRANGE(""https://docs.google.com/spreadsheets/d/1IYY_tgx_IHuhSq3AJ5eI5OnqOPBNLWSHKh2a30DoXe8/edit?usp=sharing"",""สตูล!I360"")"),9219.0)</f>
        <v>9219</v>
      </c>
      <c r="J465" s="453">
        <f>IFERROR(__xludf.DUMMYFUNCTION("IMPORTRANGE(""https://docs.google.com/spreadsheets/d/1IYY_tgx_IHuhSq3AJ5eI5OnqOPBNLWSHKh2a30DoXe8/edit?usp=sharing"",""สตูล!J360"")"),0.0)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IFERROR(__xludf.DUMMYFUNCTION("IMPORTRANGE(""https://docs.google.com/spreadsheets/d/1IYY_tgx_IHuhSq3AJ5eI5OnqOPBNLWSHKh2a30DoXe8/edit?usp=sharing"",""สตูล!I361"")"),1411.0)</f>
        <v>1411</v>
      </c>
      <c r="J466" s="453">
        <f>IFERROR(__xludf.DUMMYFUNCTION("IMPORTRANGE(""https://docs.google.com/spreadsheets/d/1IYY_tgx_IHuhSq3AJ5eI5OnqOPBNLWSHKh2a30DoXe8/edit?usp=sharing"",""สตูล!J361"")"),0.0)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IFERROR(__xludf.DUMMYFUNCTION("IMPORTRANGE(""https://docs.google.com/spreadsheets/d/1IYY_tgx_IHuhSq3AJ5eI5OnqOPBNLWSHKh2a30DoXe8/edit?usp=sharing"",""สตูล!I362"")"),0.0)</f>
        <v>0</v>
      </c>
      <c r="J467" s="223">
        <f>IFERROR(__xludf.DUMMYFUNCTION("IMPORTRANGE(""https://docs.google.com/spreadsheets/d/1IYY_tgx_IHuhSq3AJ5eI5OnqOPBNLWSHKh2a30DoXe8/edit?usp=sharing"",""สตูล!J362"")"),0.0)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IFERROR(__xludf.DUMMYFUNCTION("IMPORTRANGE(""https://docs.google.com/spreadsheets/d/1IYY_tgx_IHuhSq3AJ5eI5OnqOPBNLWSHKh2a30DoXe8/edit?usp=sharing"",""สตูล!I363"")"),0.0)</f>
        <v>0</v>
      </c>
      <c r="J468" s="223">
        <f>IFERROR(__xludf.DUMMYFUNCTION("IMPORTRANGE(""https://docs.google.com/spreadsheets/d/1IYY_tgx_IHuhSq3AJ5eI5OnqOPBNLWSHKh2a30DoXe8/edit?usp=sharing"",""สตูล!J363"")"),0.0)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IFERROR(__xludf.DUMMYFUNCTION("IMPORTRANGE(""https://docs.google.com/spreadsheets/d/1IYY_tgx_IHuhSq3AJ5eI5OnqOPBNLWSHKh2a30DoXe8/edit?usp=sharing"",""สตูล!I364"")"),0.0)</f>
        <v>0</v>
      </c>
      <c r="J469" s="223">
        <f>IFERROR(__xludf.DUMMYFUNCTION("IMPORTRANGE(""https://docs.google.com/spreadsheets/d/1IYY_tgx_IHuhSq3AJ5eI5OnqOPBNLWSHKh2a30DoXe8/edit?usp=sharing"",""สตูล!J364"")"),0.0)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IFERROR(__xludf.DUMMYFUNCTION("IMPORTRANGE(""https://docs.google.com/spreadsheets/d/1IYY_tgx_IHuhSq3AJ5eI5OnqOPBNLWSHKh2a30DoXe8/edit?usp=sharing"",""สตูล!I365"")"),0.0)</f>
        <v>0</v>
      </c>
      <c r="J470" s="223">
        <f>IFERROR(__xludf.DUMMYFUNCTION("IMPORTRANGE(""https://docs.google.com/spreadsheets/d/1IYY_tgx_IHuhSq3AJ5eI5OnqOPBNLWSHKh2a30DoXe8/edit?usp=sharing"",""สตูล!J365"")"),0.0)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IFERROR(__xludf.DUMMYFUNCTION("IMPORTRANGE(""https://docs.google.com/spreadsheets/d/1IYY_tgx_IHuhSq3AJ5eI5OnqOPBNLWSHKh2a30DoXe8/edit?usp=sharing"",""สตูล!I366"")"),0.0)</f>
        <v>0</v>
      </c>
      <c r="J471" s="223">
        <f>IFERROR(__xludf.DUMMYFUNCTION("IMPORTRANGE(""https://docs.google.com/spreadsheets/d/1IYY_tgx_IHuhSq3AJ5eI5OnqOPBNLWSHKh2a30DoXe8/edit?usp=sharing"",""สตูล!J366"")"),0.0)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IFERROR(__xludf.DUMMYFUNCTION("IMPORTRANGE(""https://docs.google.com/spreadsheets/d/1IYY_tgx_IHuhSq3AJ5eI5OnqOPBNLWSHKh2a30DoXe8/edit?usp=sharing"",""สตูล!I367"")"),0.0)</f>
        <v>0</v>
      </c>
      <c r="J472" s="223">
        <f>IFERROR(__xludf.DUMMYFUNCTION("IMPORTRANGE(""https://docs.google.com/spreadsheets/d/1IYY_tgx_IHuhSq3AJ5eI5OnqOPBNLWSHKh2a30DoXe8/edit?usp=sharing"",""สตูล!J367"")"),0.0)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IFERROR(__xludf.DUMMYFUNCTION("IMPORTRANGE(""https://docs.google.com/spreadsheets/d/1IYY_tgx_IHuhSq3AJ5eI5OnqOPBNLWSHKh2a30DoXe8/edit?usp=sharing"",""สตูล!I368"")"),9219.0)</f>
        <v>9219</v>
      </c>
      <c r="J473" s="453">
        <f>IFERROR(__xludf.DUMMYFUNCTION("IMPORTRANGE(""https://docs.google.com/spreadsheets/d/1IYY_tgx_IHuhSq3AJ5eI5OnqOPBNLWSHKh2a30DoXe8/edit?usp=sharing"",""สตูล!J368"")"),0.0)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IFERROR(__xludf.DUMMYFUNCTION("IMPORTRANGE(""https://docs.google.com/spreadsheets/d/1IYY_tgx_IHuhSq3AJ5eI5OnqOPBNLWSHKh2a30DoXe8/edit?usp=sharing"",""สตูล!I369"")"),1411.0)</f>
        <v>1411</v>
      </c>
      <c r="J474" s="453">
        <f>IFERROR(__xludf.DUMMYFUNCTION("IMPORTRANGE(""https://docs.google.com/spreadsheets/d/1IYY_tgx_IHuhSq3AJ5eI5OnqOPBNLWSHKh2a30DoXe8/edit?usp=sharing"",""สตูล!J369"")"),0.0)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IFERROR(__xludf.DUMMYFUNCTION("IMPORTRANGE(""https://docs.google.com/spreadsheets/d/1IYY_tgx_IHuhSq3AJ5eI5OnqOPBNLWSHKh2a30DoXe8/edit?usp=sharing"",""สตูล!I370"")"),0.0)</f>
        <v>0</v>
      </c>
      <c r="J475" s="223">
        <f>IFERROR(__xludf.DUMMYFUNCTION("IMPORTRANGE(""https://docs.google.com/spreadsheets/d/1IYY_tgx_IHuhSq3AJ5eI5OnqOPBNLWSHKh2a30DoXe8/edit?usp=sharing"",""สตูล!J370"")"),0.0)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IFERROR(__xludf.DUMMYFUNCTION("IMPORTRANGE(""https://docs.google.com/spreadsheets/d/1IYY_tgx_IHuhSq3AJ5eI5OnqOPBNLWSHKh2a30DoXe8/edit?usp=sharing"",""สตูล!I371"")"),0.0)</f>
        <v>0</v>
      </c>
      <c r="J476" s="223">
        <f>IFERROR(__xludf.DUMMYFUNCTION("IMPORTRANGE(""https://docs.google.com/spreadsheets/d/1IYY_tgx_IHuhSq3AJ5eI5OnqOPBNLWSHKh2a30DoXe8/edit?usp=sharing"",""สตูล!J371"")"),0.0)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IFERROR(__xludf.DUMMYFUNCTION("IMPORTRANGE(""https://docs.google.com/spreadsheets/d/1IYY_tgx_IHuhSq3AJ5eI5OnqOPBNLWSHKh2a30DoXe8/edit?usp=sharing"",""สตูล!I372"")"),0.0)</f>
        <v>0</v>
      </c>
      <c r="J477" s="223">
        <f>IFERROR(__xludf.DUMMYFUNCTION("IMPORTRANGE(""https://docs.google.com/spreadsheets/d/1IYY_tgx_IHuhSq3AJ5eI5OnqOPBNLWSHKh2a30DoXe8/edit?usp=sharing"",""สตูล!J372"")"),0.0)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IFERROR(__xludf.DUMMYFUNCTION("IMPORTRANGE(""https://docs.google.com/spreadsheets/d/1IYY_tgx_IHuhSq3AJ5eI5OnqOPBNLWSHKh2a30DoXe8/edit?usp=sharing"",""สตูล!I373"")"),0.0)</f>
        <v>0</v>
      </c>
      <c r="J478" s="223">
        <f>IFERROR(__xludf.DUMMYFUNCTION("IMPORTRANGE(""https://docs.google.com/spreadsheets/d/1IYY_tgx_IHuhSq3AJ5eI5OnqOPBNLWSHKh2a30DoXe8/edit?usp=sharing"",""สตูล!J373"")"),0.0)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IFERROR(__xludf.DUMMYFUNCTION("IMPORTRANGE(""https://docs.google.com/spreadsheets/d/1IYY_tgx_IHuhSq3AJ5eI5OnqOPBNLWSHKh2a30DoXe8/edit?usp=sharing"",""สตูล!I374"")"),0.0)</f>
        <v>0</v>
      </c>
      <c r="J479" s="223">
        <f>IFERROR(__xludf.DUMMYFUNCTION("IMPORTRANGE(""https://docs.google.com/spreadsheets/d/1IYY_tgx_IHuhSq3AJ5eI5OnqOPBNLWSHKh2a30DoXe8/edit?usp=sharing"",""สตูล!J374"")"),0.0)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IFERROR(__xludf.DUMMYFUNCTION("IMPORTRANGE(""https://docs.google.com/spreadsheets/d/1IYY_tgx_IHuhSq3AJ5eI5OnqOPBNLWSHKh2a30DoXe8/edit?usp=sharing"",""สตูล!I375"")"),0.0)</f>
        <v>0</v>
      </c>
      <c r="J480" s="223">
        <f>IFERROR(__xludf.DUMMYFUNCTION("IMPORTRANGE(""https://docs.google.com/spreadsheets/d/1IYY_tgx_IHuhSq3AJ5eI5OnqOPBNLWSHKh2a30DoXe8/edit?usp=sharing"",""สตูล!J375"")"),0.0)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IFERROR(__xludf.DUMMYFUNCTION("IMPORTRANGE(""https://docs.google.com/spreadsheets/d/1IYY_tgx_IHuhSq3AJ5eI5OnqOPBNLWSHKh2a30DoXe8/edit?usp=sharing"",""สตูล!I376"")"),9219.0)</f>
        <v>9219</v>
      </c>
      <c r="J481" s="453">
        <f>IFERROR(__xludf.DUMMYFUNCTION("IMPORTRANGE(""https://docs.google.com/spreadsheets/d/1IYY_tgx_IHuhSq3AJ5eI5OnqOPBNLWSHKh2a30DoXe8/edit?usp=sharing"",""สตูล!J376"")"),0.0)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IFERROR(__xludf.DUMMYFUNCTION("IMPORTRANGE(""https://docs.google.com/spreadsheets/d/1IYY_tgx_IHuhSq3AJ5eI5OnqOPBNLWSHKh2a30DoXe8/edit?usp=sharing"",""สตูล!I377"")"),1411.0)</f>
        <v>1411</v>
      </c>
      <c r="J482" s="453">
        <f>IFERROR(__xludf.DUMMYFUNCTION("IMPORTRANGE(""https://docs.google.com/spreadsheets/d/1IYY_tgx_IHuhSq3AJ5eI5OnqOPBNLWSHKh2a30DoXe8/edit?usp=sharing"",""สตูล!J377"")"),0.0)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IFERROR(__xludf.DUMMYFUNCTION("IMPORTRANGE(""https://docs.google.com/spreadsheets/d/1IYY_tgx_IHuhSq3AJ5eI5OnqOPBNLWSHKh2a30DoXe8/edit?usp=sharing"",""สตูล!I378"")"),0.0)</f>
        <v>0</v>
      </c>
      <c r="J483" s="223">
        <f>IFERROR(__xludf.DUMMYFUNCTION("IMPORTRANGE(""https://docs.google.com/spreadsheets/d/1IYY_tgx_IHuhSq3AJ5eI5OnqOPBNLWSHKh2a30DoXe8/edit?usp=sharing"",""สตูล!J378"")"),0.0)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IFERROR(__xludf.DUMMYFUNCTION("IMPORTRANGE(""https://docs.google.com/spreadsheets/d/1IYY_tgx_IHuhSq3AJ5eI5OnqOPBNLWSHKh2a30DoXe8/edit?usp=sharing"",""สตูล!I379"")"),0.0)</f>
        <v>0</v>
      </c>
      <c r="J484" s="223">
        <f>IFERROR(__xludf.DUMMYFUNCTION("IMPORTRANGE(""https://docs.google.com/spreadsheets/d/1IYY_tgx_IHuhSq3AJ5eI5OnqOPBNLWSHKh2a30DoXe8/edit?usp=sharing"",""สตูล!J379"")"),0.0)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IFERROR(__xludf.DUMMYFUNCTION("IMPORTRANGE(""https://docs.google.com/spreadsheets/d/1IYY_tgx_IHuhSq3AJ5eI5OnqOPBNLWSHKh2a30DoXe8/edit?usp=sharing"",""สตูล!I380"")"),0.0)</f>
        <v>0</v>
      </c>
      <c r="J485" s="223">
        <f>IFERROR(__xludf.DUMMYFUNCTION("IMPORTRANGE(""https://docs.google.com/spreadsheets/d/1IYY_tgx_IHuhSq3AJ5eI5OnqOPBNLWSHKh2a30DoXe8/edit?usp=sharing"",""สตูล!J380"")"),0.0)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IFERROR(__xludf.DUMMYFUNCTION("IMPORTRANGE(""https://docs.google.com/spreadsheets/d/1IYY_tgx_IHuhSq3AJ5eI5OnqOPBNLWSHKh2a30DoXe8/edit?usp=sharing"",""สตูล!I381"")"),0.0)</f>
        <v>0</v>
      </c>
      <c r="J486" s="223">
        <f>IFERROR(__xludf.DUMMYFUNCTION("IMPORTRANGE(""https://docs.google.com/spreadsheets/d/1IYY_tgx_IHuhSq3AJ5eI5OnqOPBNLWSHKh2a30DoXe8/edit?usp=sharing"",""สตูล!J381"")"),0.0)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IFERROR(__xludf.DUMMYFUNCTION("IMPORTRANGE(""https://docs.google.com/spreadsheets/d/1IYY_tgx_IHuhSq3AJ5eI5OnqOPBNLWSHKh2a30DoXe8/edit?usp=sharing"",""สตูล!I382"")"),0.0)</f>
        <v>0</v>
      </c>
      <c r="J487" s="453">
        <f>IFERROR(__xludf.DUMMYFUNCTION("IMPORTRANGE(""https://docs.google.com/spreadsheets/d/1IYY_tgx_IHuhSq3AJ5eI5OnqOPBNLWSHKh2a30DoXe8/edit?usp=sharing"",""สตูล!J382"")"),0.0)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IFERROR(__xludf.DUMMYFUNCTION("IMPORTRANGE(""https://docs.google.com/spreadsheets/d/1IYY_tgx_IHuhSq3AJ5eI5OnqOPBNLWSHKh2a30DoXe8/edit?usp=sharing"",""สตูล!I383"")"),0.0)</f>
        <v>0</v>
      </c>
      <c r="J488" s="453">
        <f>IFERROR(__xludf.DUMMYFUNCTION("IMPORTRANGE(""https://docs.google.com/spreadsheets/d/1IYY_tgx_IHuhSq3AJ5eI5OnqOPBNLWSHKh2a30DoXe8/edit?usp=sharing"",""สตูล!J383"")"),0.0)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IFERROR(__xludf.DUMMYFUNCTION("IMPORTRANGE(""https://docs.google.com/spreadsheets/d/1IYY_tgx_IHuhSq3AJ5eI5OnqOPBNLWSHKh2a30DoXe8/edit?usp=sharing"",""สตูล!I384"")"),0.0)</f>
        <v>0</v>
      </c>
      <c r="J489" s="223">
        <f>IFERROR(__xludf.DUMMYFUNCTION("IMPORTRANGE(""https://docs.google.com/spreadsheets/d/1IYY_tgx_IHuhSq3AJ5eI5OnqOPBNLWSHKh2a30DoXe8/edit?usp=sharing"",""สตูล!J384"")"),0.0)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IFERROR(__xludf.DUMMYFUNCTION("IMPORTRANGE(""https://docs.google.com/spreadsheets/d/1IYY_tgx_IHuhSq3AJ5eI5OnqOPBNLWSHKh2a30DoXe8/edit?usp=sharing"",""สตูล!I385"")"),0.0)</f>
        <v>0</v>
      </c>
      <c r="J490" s="223">
        <f>IFERROR(__xludf.DUMMYFUNCTION("IMPORTRANGE(""https://docs.google.com/spreadsheets/d/1IYY_tgx_IHuhSq3AJ5eI5OnqOPBNLWSHKh2a30DoXe8/edit?usp=sharing"",""สตูล!J385"")"),0.0)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IFERROR(__xludf.DUMMYFUNCTION("IMPORTRANGE(""https://docs.google.com/spreadsheets/d/1IYY_tgx_IHuhSq3AJ5eI5OnqOPBNLWSHKh2a30DoXe8/edit?usp=sharing"",""สตูล!I386"")"),0.0)</f>
        <v>0</v>
      </c>
      <c r="J491" s="223">
        <f>IFERROR(__xludf.DUMMYFUNCTION("IMPORTRANGE(""https://docs.google.com/spreadsheets/d/1IYY_tgx_IHuhSq3AJ5eI5OnqOPBNLWSHKh2a30DoXe8/edit?usp=sharing"",""สตูล!J386"")"),0.0)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IFERROR(__xludf.DUMMYFUNCTION("IMPORTRANGE(""https://docs.google.com/spreadsheets/d/1IYY_tgx_IHuhSq3AJ5eI5OnqOPBNLWSHKh2a30DoXe8/edit?usp=sharing"",""สตูล!I387"")"),0.0)</f>
        <v>0</v>
      </c>
      <c r="J492" s="223">
        <f>IFERROR(__xludf.DUMMYFUNCTION("IMPORTRANGE(""https://docs.google.com/spreadsheets/d/1IYY_tgx_IHuhSq3AJ5eI5OnqOPBNLWSHKh2a30DoXe8/edit?usp=sharing"",""สตูล!J387"")"),0.0)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IFERROR(__xludf.DUMMYFUNCTION("IMPORTRANGE(""https://docs.google.com/spreadsheets/d/1IYY_tgx_IHuhSq3AJ5eI5OnqOPBNLWSHKh2a30DoXe8/edit?usp=sharing"",""สตูล!I388"")"),0.0)</f>
        <v>0</v>
      </c>
      <c r="J493" s="223">
        <f>IFERROR(__xludf.DUMMYFUNCTION("IMPORTRANGE(""https://docs.google.com/spreadsheets/d/1IYY_tgx_IHuhSq3AJ5eI5OnqOPBNLWSHKh2a30DoXe8/edit?usp=sharing"",""สตูล!J388"")"),0.0)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IFERROR(__xludf.DUMMYFUNCTION("IMPORTRANGE(""https://docs.google.com/spreadsheets/d/1IYY_tgx_IHuhSq3AJ5eI5OnqOPBNLWSHKh2a30DoXe8/edit?usp=sharing"",""สตูล!I389"")"),0.0)</f>
        <v>0</v>
      </c>
      <c r="J494" s="469">
        <f>IFERROR(__xludf.DUMMYFUNCTION("IMPORTRANGE(""https://docs.google.com/spreadsheets/d/1IYY_tgx_IHuhSq3AJ5eI5OnqOPBNLWSHKh2a30DoXe8/edit?usp=sharing"",""สตูล!J389"")"),0.0)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IFERROR(__xludf.DUMMYFUNCTION("IMPORTRANGE(""https://docs.google.com/spreadsheets/d/1IYY_tgx_IHuhSq3AJ5eI5OnqOPBNLWSHKh2a30DoXe8/edit?usp=sharing"",""สตูล!I390"")"),0.0)</f>
        <v>0</v>
      </c>
      <c r="J495" s="469">
        <f>IFERROR(__xludf.DUMMYFUNCTION("IMPORTRANGE(""https://docs.google.com/spreadsheets/d/1IYY_tgx_IHuhSq3AJ5eI5OnqOPBNLWSHKh2a30DoXe8/edit?usp=sharing"",""สตูล!J390"")"),0.0)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IFERROR(__xludf.DUMMYFUNCTION("IMPORTRANGE(""https://docs.google.com/spreadsheets/d/1IYY_tgx_IHuhSq3AJ5eI5OnqOPBNLWSHKh2a30DoXe8/edit?usp=sharing"",""สตูล!I391"")"),0.0)</f>
        <v>0</v>
      </c>
      <c r="J496" s="469">
        <f>IFERROR(__xludf.DUMMYFUNCTION("IMPORTRANGE(""https://docs.google.com/spreadsheets/d/1IYY_tgx_IHuhSq3AJ5eI5OnqOPBNLWSHKh2a30DoXe8/edit?usp=sharing"",""สตูล!J391"")"),0.0)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IFERROR(__xludf.DUMMYFUNCTION("IMPORTRANGE(""https://docs.google.com/spreadsheets/d/1IYY_tgx_IHuhSq3AJ5eI5OnqOPBNLWSHKh2a30DoXe8/edit?usp=sharing"",""สตูล!I392"")"),0.0)</f>
        <v>0</v>
      </c>
      <c r="J497" s="476">
        <f>IFERROR(__xludf.DUMMYFUNCTION("IMPORTRANGE(""https://docs.google.com/spreadsheets/d/1IYY_tgx_IHuhSq3AJ5eI5OnqOPBNLWSHKh2a30DoXe8/edit?usp=sharing"",""สตูล!J392"")"),0.0)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IFERROR(__xludf.DUMMYFUNCTION("IMPORTRANGE(""https://docs.google.com/spreadsheets/d/1IYY_tgx_IHuhSq3AJ5eI5OnqOPBNLWSHKh2a30DoXe8/edit?usp=sharing"",""สตูล!I393"")"),0.0)</f>
        <v>0</v>
      </c>
      <c r="J498" s="453">
        <f>IFERROR(__xludf.DUMMYFUNCTION("IMPORTRANGE(""https://docs.google.com/spreadsheets/d/1IYY_tgx_IHuhSq3AJ5eI5OnqOPBNLWSHKh2a30DoXe8/edit?usp=sharing"",""สตูล!J393"")"),0.0)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IFERROR(__xludf.DUMMYFUNCTION("IMPORTRANGE(""https://docs.google.com/spreadsheets/d/1IYY_tgx_IHuhSq3AJ5eI5OnqOPBNLWSHKh2a30DoXe8/edit?usp=sharing"",""สตูล!I394"")"),0.0)</f>
        <v>0</v>
      </c>
      <c r="J499" s="453">
        <f>IFERROR(__xludf.DUMMYFUNCTION("IMPORTRANGE(""https://docs.google.com/spreadsheets/d/1IYY_tgx_IHuhSq3AJ5eI5OnqOPBNLWSHKh2a30DoXe8/edit?usp=sharing"",""สตูล!J394"")"),0.0)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IFERROR(__xludf.DUMMYFUNCTION("IMPORTRANGE(""https://docs.google.com/spreadsheets/d/1IYY_tgx_IHuhSq3AJ5eI5OnqOPBNLWSHKh2a30DoXe8/edit?usp=sharing"",""สตูล!I395"")"),0.0)</f>
        <v>0</v>
      </c>
      <c r="J500" s="195">
        <f>IFERROR(__xludf.DUMMYFUNCTION("IMPORTRANGE(""https://docs.google.com/spreadsheets/d/1IYY_tgx_IHuhSq3AJ5eI5OnqOPBNLWSHKh2a30DoXe8/edit?usp=sharing"",""สตูล!J395"")"),0.0)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IFERROR(__xludf.DUMMYFUNCTION("IMPORTRANGE(""https://docs.google.com/spreadsheets/d/1IYY_tgx_IHuhSq3AJ5eI5OnqOPBNLWSHKh2a30DoXe8/edit?usp=sharing"",""สตูล!I396"")"),0.0)</f>
        <v>0</v>
      </c>
      <c r="J501" s="195">
        <f>IFERROR(__xludf.DUMMYFUNCTION("IMPORTRANGE(""https://docs.google.com/spreadsheets/d/1IYY_tgx_IHuhSq3AJ5eI5OnqOPBNLWSHKh2a30DoXe8/edit?usp=sharing"",""สตูล!J396"")"),0.0)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IFERROR(__xludf.DUMMYFUNCTION("IMPORTRANGE(""https://docs.google.com/spreadsheets/d/1IYY_tgx_IHuhSq3AJ5eI5OnqOPBNLWSHKh2a30DoXe8/edit?usp=sharing"",""สตูล!I397"")"),0.0)</f>
        <v>0</v>
      </c>
      <c r="J502" s="223">
        <f>IFERROR(__xludf.DUMMYFUNCTION("IMPORTRANGE(""https://docs.google.com/spreadsheets/d/1IYY_tgx_IHuhSq3AJ5eI5OnqOPBNLWSHKh2a30DoXe8/edit?usp=sharing"",""สตูล!J397"")"),0.0)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IFERROR(__xludf.DUMMYFUNCTION("IMPORTRANGE(""https://docs.google.com/spreadsheets/d/1IYY_tgx_IHuhSq3AJ5eI5OnqOPBNLWSHKh2a30DoXe8/edit?usp=sharing"",""สตูล!I398"")"),0.0)</f>
        <v>0</v>
      </c>
      <c r="J503" s="232">
        <f>IFERROR(__xludf.DUMMYFUNCTION("IMPORTRANGE(""https://docs.google.com/spreadsheets/d/1IYY_tgx_IHuhSq3AJ5eI5OnqOPBNLWSHKh2a30DoXe8/edit?usp=sharing"",""สตูล!J398"")"),0.0)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IFERROR(__xludf.DUMMYFUNCTION("IMPORTRANGE(""https://docs.google.com/spreadsheets/d/1IYY_tgx_IHuhSq3AJ5eI5OnqOPBNLWSHKh2a30DoXe8/edit?usp=sharing"",""สตูล!I399"")"),0.0)</f>
        <v>0</v>
      </c>
      <c r="J504" s="223">
        <f>IFERROR(__xludf.DUMMYFUNCTION("IMPORTRANGE(""https://docs.google.com/spreadsheets/d/1IYY_tgx_IHuhSq3AJ5eI5OnqOPBNLWSHKh2a30DoXe8/edit?usp=sharing"",""สตูล!J399"")"),0.0)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IFERROR(__xludf.DUMMYFUNCTION("IMPORTRANGE(""https://docs.google.com/spreadsheets/d/1IYY_tgx_IHuhSq3AJ5eI5OnqOPBNLWSHKh2a30DoXe8/edit?usp=sharing"",""สตูล!I400"")"),0.0)</f>
        <v>0</v>
      </c>
      <c r="J505" s="232">
        <f>IFERROR(__xludf.DUMMYFUNCTION("IMPORTRANGE(""https://docs.google.com/spreadsheets/d/1IYY_tgx_IHuhSq3AJ5eI5OnqOPBNLWSHKh2a30DoXe8/edit?usp=sharing"",""สตูล!J400"")"),0.0)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IFERROR(__xludf.DUMMYFUNCTION("IMPORTRANGE(""https://docs.google.com/spreadsheets/d/1IYY_tgx_IHuhSq3AJ5eI5OnqOPBNLWSHKh2a30DoXe8/edit?usp=sharing"",""สตูล!I401"")"),0.0)</f>
        <v>0</v>
      </c>
      <c r="J506" s="223">
        <f>IFERROR(__xludf.DUMMYFUNCTION("IMPORTRANGE(""https://docs.google.com/spreadsheets/d/1IYY_tgx_IHuhSq3AJ5eI5OnqOPBNLWSHKh2a30DoXe8/edit?usp=sharing"",""สตูล!J401"")"),0.0)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IFERROR(__xludf.DUMMYFUNCTION("IMPORTRANGE(""https://docs.google.com/spreadsheets/d/1IYY_tgx_IHuhSq3AJ5eI5OnqOPBNLWSHKh2a30DoXe8/edit?usp=sharing"",""สตูล!I402"")"),0.0)</f>
        <v>0</v>
      </c>
      <c r="J507" s="232">
        <f>IFERROR(__xludf.DUMMYFUNCTION("IMPORTRANGE(""https://docs.google.com/spreadsheets/d/1IYY_tgx_IHuhSq3AJ5eI5OnqOPBNLWSHKh2a30DoXe8/edit?usp=sharing"",""สตูล!J402"")"),0.0)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IFERROR(__xludf.DUMMYFUNCTION("IMPORTRANGE(""https://docs.google.com/spreadsheets/d/1IYY_tgx_IHuhSq3AJ5eI5OnqOPBNLWSHKh2a30DoXe8/edit?usp=sharing"",""สตูล!I403"")"),0.0)</f>
        <v>0</v>
      </c>
      <c r="J508" s="195">
        <f>IFERROR(__xludf.DUMMYFUNCTION("IMPORTRANGE(""https://docs.google.com/spreadsheets/d/1IYY_tgx_IHuhSq3AJ5eI5OnqOPBNLWSHKh2a30DoXe8/edit?usp=sharing"",""สตูล!J403"")"),0.0)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IFERROR(__xludf.DUMMYFUNCTION("IMPORTRANGE(""https://docs.google.com/spreadsheets/d/1IYY_tgx_IHuhSq3AJ5eI5OnqOPBNLWSHKh2a30DoXe8/edit?usp=sharing"",""สตูล!I404"")"),0.0)</f>
        <v>0</v>
      </c>
      <c r="J509" s="195">
        <f>IFERROR(__xludf.DUMMYFUNCTION("IMPORTRANGE(""https://docs.google.com/spreadsheets/d/1IYY_tgx_IHuhSq3AJ5eI5OnqOPBNLWSHKh2a30DoXe8/edit?usp=sharing"",""สตูล!J404"")"),0.0)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IFERROR(__xludf.DUMMYFUNCTION("IMPORTRANGE(""https://docs.google.com/spreadsheets/d/1IYY_tgx_IHuhSq3AJ5eI5OnqOPBNLWSHKh2a30DoXe8/edit?usp=sharing"",""สตูล!I405"")"),0.0)</f>
        <v>0</v>
      </c>
      <c r="J510" s="232">
        <f>IFERROR(__xludf.DUMMYFUNCTION("IMPORTRANGE(""https://docs.google.com/spreadsheets/d/1IYY_tgx_IHuhSq3AJ5eI5OnqOPBNLWSHKh2a30DoXe8/edit?usp=sharing"",""สตูล!J405"")"),0.0)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IFERROR(__xludf.DUMMYFUNCTION("IMPORTRANGE(""https://docs.google.com/spreadsheets/d/1IYY_tgx_IHuhSq3AJ5eI5OnqOPBNLWSHKh2a30DoXe8/edit?usp=sharing"",""สตูล!I406"")"),0.0)</f>
        <v>0</v>
      </c>
      <c r="J511" s="232">
        <f>IFERROR(__xludf.DUMMYFUNCTION("IMPORTRANGE(""https://docs.google.com/spreadsheets/d/1IYY_tgx_IHuhSq3AJ5eI5OnqOPBNLWSHKh2a30DoXe8/edit?usp=sharing"",""สตูล!J406"")"),0.0)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IFERROR(__xludf.DUMMYFUNCTION("IMPORTRANGE(""https://docs.google.com/spreadsheets/d/1IYY_tgx_IHuhSq3AJ5eI5OnqOPBNLWSHKh2a30DoXe8/edit?usp=sharing"",""สตูล!I407"")"),0.0)</f>
        <v>0</v>
      </c>
      <c r="J512" s="232">
        <f>IFERROR(__xludf.DUMMYFUNCTION("IMPORTRANGE(""https://docs.google.com/spreadsheets/d/1IYY_tgx_IHuhSq3AJ5eI5OnqOPBNLWSHKh2a30DoXe8/edit?usp=sharing"",""สตูล!J407"")"),0.0)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IFERROR(__xludf.DUMMYFUNCTION("IMPORTRANGE(""https://docs.google.com/spreadsheets/d/1IYY_tgx_IHuhSq3AJ5eI5OnqOPBNLWSHKh2a30DoXe8/edit?usp=sharing"",""สตูล!I408"")"),0.0)</f>
        <v>0</v>
      </c>
      <c r="J513" s="232">
        <f>IFERROR(__xludf.DUMMYFUNCTION("IMPORTRANGE(""https://docs.google.com/spreadsheets/d/1IYY_tgx_IHuhSq3AJ5eI5OnqOPBNLWSHKh2a30DoXe8/edit?usp=sharing"",""สตูล!J408"")"),0.0)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IFERROR(__xludf.DUMMYFUNCTION("IMPORTRANGE(""https://docs.google.com/spreadsheets/d/1IYY_tgx_IHuhSq3AJ5eI5OnqOPBNLWSHKh2a30DoXe8/edit?usp=sharing"",""สตูล!I409"")"),0.0)</f>
        <v>0</v>
      </c>
      <c r="J514" s="232">
        <f>IFERROR(__xludf.DUMMYFUNCTION("IMPORTRANGE(""https://docs.google.com/spreadsheets/d/1IYY_tgx_IHuhSq3AJ5eI5OnqOPBNLWSHKh2a30DoXe8/edit?usp=sharing"",""สตูล!J409"")"),0.0)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IFERROR(__xludf.DUMMYFUNCTION("IMPORTRANGE(""https://docs.google.com/spreadsheets/d/1IYY_tgx_IHuhSq3AJ5eI5OnqOPBNLWSHKh2a30DoXe8/edit?usp=sharing"",""สตูล!I410"")"),0.0)</f>
        <v>0</v>
      </c>
      <c r="J515" s="232">
        <f>IFERROR(__xludf.DUMMYFUNCTION("IMPORTRANGE(""https://docs.google.com/spreadsheets/d/1IYY_tgx_IHuhSq3AJ5eI5OnqOPBNLWSHKh2a30DoXe8/edit?usp=sharing"",""สตูล!J410"")"),0.0)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IFERROR(__xludf.DUMMYFUNCTION("IMPORTRANGE(""https://docs.google.com/spreadsheets/d/1IYY_tgx_IHuhSq3AJ5eI5OnqOPBNLWSHKh2a30DoXe8/edit?usp=sharing"",""สตูล!I411"")"),0.0)</f>
        <v>0</v>
      </c>
      <c r="J516" s="301">
        <f>IFERROR(__xludf.DUMMYFUNCTION("IMPORTRANGE(""https://docs.google.com/spreadsheets/d/1IYY_tgx_IHuhSq3AJ5eI5OnqOPBNLWSHKh2a30DoXe8/edit?usp=sharing"",""สตูล!J411"")"),0.0)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IFERROR(__xludf.DUMMYFUNCTION("IMPORTRANGE(""https://docs.google.com/spreadsheets/d/1IYY_tgx_IHuhSq3AJ5eI5OnqOPBNLWSHKh2a30DoXe8/edit?usp=sharing"",""สตูล!I412"")"),0.0)</f>
        <v>0</v>
      </c>
      <c r="J517" s="317">
        <f>IFERROR(__xludf.DUMMYFUNCTION("IMPORTRANGE(""https://docs.google.com/spreadsheets/d/1IYY_tgx_IHuhSq3AJ5eI5OnqOPBNLWSHKh2a30DoXe8/edit?usp=sharing"",""สตูล!J412"")"),0.0)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IFERROR(__xludf.DUMMYFUNCTION("IMPORTRANGE(""https://docs.google.com/spreadsheets/d/1IYY_tgx_IHuhSq3AJ5eI5OnqOPBNLWSHKh2a30DoXe8/edit?usp=sharing"",""สตูล!I413"")"),0.0)</f>
        <v>0</v>
      </c>
      <c r="J518" s="317">
        <f>IFERROR(__xludf.DUMMYFUNCTION("IMPORTRANGE(""https://docs.google.com/spreadsheets/d/1IYY_tgx_IHuhSq3AJ5eI5OnqOPBNLWSHKh2a30DoXe8/edit?usp=sharing"",""สตูล!J413"")"),0.0)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IFERROR(__xludf.DUMMYFUNCTION("IMPORTRANGE(""https://docs.google.com/spreadsheets/d/1IYY_tgx_IHuhSq3AJ5eI5OnqOPBNLWSHKh2a30DoXe8/edit?usp=sharing"",""สตูล!I414"")"),0.0)</f>
        <v>0</v>
      </c>
      <c r="J519" s="222">
        <f>IFERROR(__xludf.DUMMYFUNCTION("IMPORTRANGE(""https://docs.google.com/spreadsheets/d/1IYY_tgx_IHuhSq3AJ5eI5OnqOPBNLWSHKh2a30DoXe8/edit?usp=sharing"",""สตูล!J414"")"),0.0)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IFERROR(__xludf.DUMMYFUNCTION("IMPORTRANGE(""https://docs.google.com/spreadsheets/d/1IYY_tgx_IHuhSq3AJ5eI5OnqOPBNLWSHKh2a30DoXe8/edit?usp=sharing"",""สตูล!I415"")"),0.0)</f>
        <v>0</v>
      </c>
      <c r="J520" s="222">
        <f>IFERROR(__xludf.DUMMYFUNCTION("IMPORTRANGE(""https://docs.google.com/spreadsheets/d/1IYY_tgx_IHuhSq3AJ5eI5OnqOPBNLWSHKh2a30DoXe8/edit?usp=sharing"",""สตูล!J415"")"),0.0)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IFERROR(__xludf.DUMMYFUNCTION("IMPORTRANGE(""https://docs.google.com/spreadsheets/d/1IYY_tgx_IHuhSq3AJ5eI5OnqOPBNLWSHKh2a30DoXe8/edit?usp=sharing"",""สตูล!I416"")"),0.0)</f>
        <v>0</v>
      </c>
      <c r="J521" s="222">
        <f>IFERROR(__xludf.DUMMYFUNCTION("IMPORTRANGE(""https://docs.google.com/spreadsheets/d/1IYY_tgx_IHuhSq3AJ5eI5OnqOPBNLWSHKh2a30DoXe8/edit?usp=sharing"",""สตูล!J416"")"),0.0)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IFERROR(__xludf.DUMMYFUNCTION("IMPORTRANGE(""https://docs.google.com/spreadsheets/d/1IYY_tgx_IHuhSq3AJ5eI5OnqOPBNLWSHKh2a30DoXe8/edit?usp=sharing"",""สตูล!I417"")"),0.0)</f>
        <v>0</v>
      </c>
      <c r="J522" s="222">
        <f>IFERROR(__xludf.DUMMYFUNCTION("IMPORTRANGE(""https://docs.google.com/spreadsheets/d/1IYY_tgx_IHuhSq3AJ5eI5OnqOPBNLWSHKh2a30DoXe8/edit?usp=sharing"",""สตูล!J417"")"),0.0)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IFERROR(__xludf.DUMMYFUNCTION("IMPORTRANGE(""https://docs.google.com/spreadsheets/d/1IYY_tgx_IHuhSq3AJ5eI5OnqOPBNLWSHKh2a30DoXe8/edit?usp=sharing"",""สตูล!I418"")"),0.0)</f>
        <v>0</v>
      </c>
      <c r="J523" s="222">
        <f>IFERROR(__xludf.DUMMYFUNCTION("IMPORTRANGE(""https://docs.google.com/spreadsheets/d/1IYY_tgx_IHuhSq3AJ5eI5OnqOPBNLWSHKh2a30DoXe8/edit?usp=sharing"",""สตูล!J418"")"),0.0)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IFERROR(__xludf.DUMMYFUNCTION("IMPORTRANGE(""https://docs.google.com/spreadsheets/d/1IYY_tgx_IHuhSq3AJ5eI5OnqOPBNLWSHKh2a30DoXe8/edit?usp=sharing"",""สตูล!I419"")"),0.0)</f>
        <v>0</v>
      </c>
      <c r="J524" s="222">
        <f>IFERROR(__xludf.DUMMYFUNCTION("IMPORTRANGE(""https://docs.google.com/spreadsheets/d/1IYY_tgx_IHuhSq3AJ5eI5OnqOPBNLWSHKh2a30DoXe8/edit?usp=sharing"",""สตูล!J419"")"),0.0)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IFERROR(__xludf.DUMMYFUNCTION("IMPORTRANGE(""https://docs.google.com/spreadsheets/d/1IYY_tgx_IHuhSq3AJ5eI5OnqOPBNLWSHKh2a30DoXe8/edit?usp=sharing"",""สตูล!I420"")"),0.0)</f>
        <v>0</v>
      </c>
      <c r="J525" s="317">
        <f>IFERROR(__xludf.DUMMYFUNCTION("IMPORTRANGE(""https://docs.google.com/spreadsheets/d/1IYY_tgx_IHuhSq3AJ5eI5OnqOPBNLWSHKh2a30DoXe8/edit?usp=sharing"",""สตูล!J420"")"),0.0)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IFERROR(__xludf.DUMMYFUNCTION("IMPORTRANGE(""https://docs.google.com/spreadsheets/d/1IYY_tgx_IHuhSq3AJ5eI5OnqOPBNLWSHKh2a30DoXe8/edit?usp=sharing"",""สตูล!I421"")"),0.0)</f>
        <v>0</v>
      </c>
      <c r="J526" s="317">
        <f>IFERROR(__xludf.DUMMYFUNCTION("IMPORTRANGE(""https://docs.google.com/spreadsheets/d/1IYY_tgx_IHuhSq3AJ5eI5OnqOPBNLWSHKh2a30DoXe8/edit?usp=sharing"",""สตูล!J421"")"),0.0)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IFERROR(__xludf.DUMMYFUNCTION("IMPORTRANGE(""https://docs.google.com/spreadsheets/d/1IYY_tgx_IHuhSq3AJ5eI5OnqOPBNLWSHKh2a30DoXe8/edit?usp=sharing"",""สตูล!I422"")"),0.0)</f>
        <v>0</v>
      </c>
      <c r="J527" s="232">
        <f>IFERROR(__xludf.DUMMYFUNCTION("IMPORTRANGE(""https://docs.google.com/spreadsheets/d/1IYY_tgx_IHuhSq3AJ5eI5OnqOPBNLWSHKh2a30DoXe8/edit?usp=sharing"",""สตูล!J422"")"),0.0)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IFERROR(__xludf.DUMMYFUNCTION("IMPORTRANGE(""https://docs.google.com/spreadsheets/d/1IYY_tgx_IHuhSq3AJ5eI5OnqOPBNLWSHKh2a30DoXe8/edit?usp=sharing"",""สตูล!I423"")"),0.0)</f>
        <v>0</v>
      </c>
      <c r="J528" s="232">
        <f>IFERROR(__xludf.DUMMYFUNCTION("IMPORTRANGE(""https://docs.google.com/spreadsheets/d/1IYY_tgx_IHuhSq3AJ5eI5OnqOPBNLWSHKh2a30DoXe8/edit?usp=sharing"",""สตูล!J423"")"),0.0)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IFERROR(__xludf.DUMMYFUNCTION("IMPORTRANGE(""https://docs.google.com/spreadsheets/d/1IYY_tgx_IHuhSq3AJ5eI5OnqOPBNLWSHKh2a30DoXe8/edit?usp=sharing"",""สตูล!I424"")"),0.0)</f>
        <v>0</v>
      </c>
      <c r="J529" s="232">
        <f>IFERROR(__xludf.DUMMYFUNCTION("IMPORTRANGE(""https://docs.google.com/spreadsheets/d/1IYY_tgx_IHuhSq3AJ5eI5OnqOPBNLWSHKh2a30DoXe8/edit?usp=sharing"",""สตูล!J424"")"),0.0)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IFERROR(__xludf.DUMMYFUNCTION("IMPORTRANGE(""https://docs.google.com/spreadsheets/d/1IYY_tgx_IHuhSq3AJ5eI5OnqOPBNLWSHKh2a30DoXe8/edit?usp=sharing"",""สตูล!I425"")"),0.0)</f>
        <v>0</v>
      </c>
      <c r="J530" s="232">
        <f>IFERROR(__xludf.DUMMYFUNCTION("IMPORTRANGE(""https://docs.google.com/spreadsheets/d/1IYY_tgx_IHuhSq3AJ5eI5OnqOPBNLWSHKh2a30DoXe8/edit?usp=sharing"",""สตูล!J425"")"),0.0)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IFERROR(__xludf.DUMMYFUNCTION("IMPORTRANGE(""https://docs.google.com/spreadsheets/d/1IYY_tgx_IHuhSq3AJ5eI5OnqOPBNLWSHKh2a30DoXe8/edit?usp=sharing"",""สตูล!I426"")"),0.0)</f>
        <v>0</v>
      </c>
      <c r="J531" s="232">
        <f>IFERROR(__xludf.DUMMYFUNCTION("IMPORTRANGE(""https://docs.google.com/spreadsheets/d/1IYY_tgx_IHuhSq3AJ5eI5OnqOPBNLWSHKh2a30DoXe8/edit?usp=sharing"",""สตูล!J426"")"),0.0)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IFERROR(__xludf.DUMMYFUNCTION("IMPORTRANGE(""https://docs.google.com/spreadsheets/d/1IYY_tgx_IHuhSq3AJ5eI5OnqOPBNLWSHKh2a30DoXe8/edit?usp=sharing"",""สตูล!I427"")"),0.0)</f>
        <v>0</v>
      </c>
      <c r="J532" s="499">
        <f>IFERROR(__xludf.DUMMYFUNCTION("IMPORTRANGE(""https://docs.google.com/spreadsheets/d/1IYY_tgx_IHuhSq3AJ5eI5OnqOPBNLWSHKh2a30DoXe8/edit?usp=sharing"",""สตูล!J427"")"),0.0)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IFERROR(__xludf.DUMMYFUNCTION("IMPORTRANGE(""https://docs.google.com/spreadsheets/d/1IYY_tgx_IHuhSq3AJ5eI5OnqOPBNLWSHKh2a30DoXe8/edit?usp=sharing"",""สตูล!I428"")"),20.0)</f>
        <v>20</v>
      </c>
      <c r="J533" s="443">
        <f>IFERROR(__xludf.DUMMYFUNCTION("IMPORTRANGE(""https://docs.google.com/spreadsheets/d/1IYY_tgx_IHuhSq3AJ5eI5OnqOPBNLWSHKh2a30DoXe8/edit?usp=sharing"",""สตูล!J428"")"),20.0)</f>
        <v>20</v>
      </c>
      <c r="K533" s="444">
        <f>IF(I533&gt;0,J533*100/I533,0)</f>
        <v>100</v>
      </c>
      <c r="L533" s="445">
        <f>IFERROR(__xludf.DUMMYFUNCTION("IMPORTRANGE(""https://docs.google.com/spreadsheets/d/1IYY_tgx_IHuhSq3AJ5eI5OnqOPBNLWSHKh2a30DoXe8/edit?usp=sharing"",""สตูล!L428"")"),32640.0)</f>
        <v>32640</v>
      </c>
      <c r="M533" s="445"/>
      <c r="N533" s="445">
        <f>IFERROR(__xludf.DUMMYFUNCTION("IMPORTRANGE(""https://docs.google.com/spreadsheets/d/1IYY_tgx_IHuhSq3AJ5eI5OnqOPBNLWSHKh2a30DoXe8/edit?usp=sharing"",""สตูล!M428"")"),23520.0)</f>
        <v>23520</v>
      </c>
      <c r="O533" s="445">
        <f t="shared" ref="O533:O537" si="119">+IF(L533&gt;0,N533*100/L533,0)</f>
        <v>72.05882353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IFERROR(__xludf.DUMMYFUNCTION("IMPORTRANGE(""https://docs.google.com/spreadsheets/d/1IYY_tgx_IHuhSq3AJ5eI5OnqOPBNLWSHKh2a30DoXe8/edit?usp=sharing"",""สตูล!L429"")"),0.0)</f>
        <v>0</v>
      </c>
      <c r="M534" s="197"/>
      <c r="N534" s="203">
        <f>IFERROR(__xludf.DUMMYFUNCTION("IMPORTRANGE(""https://docs.google.com/spreadsheets/d/1IYY_tgx_IHuhSq3AJ5eI5OnqOPBNLWSHKh2a30DoXe8/edit?usp=sharing"",""สตูล!M429"")"),0.0)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IFERROR(__xludf.DUMMYFUNCTION("IMPORTRANGE(""https://docs.google.com/spreadsheets/d/1IYY_tgx_IHuhSq3AJ5eI5OnqOPBNLWSHKh2a30DoXe8/edit?usp=sharing"",""สตูล!L430"")"),32640.0)</f>
        <v>32640</v>
      </c>
      <c r="M535" s="198"/>
      <c r="N535" s="203">
        <f>IFERROR(__xludf.DUMMYFUNCTION("IMPORTRANGE(""https://docs.google.com/spreadsheets/d/1IYY_tgx_IHuhSq3AJ5eI5OnqOPBNLWSHKh2a30DoXe8/edit?usp=sharing"",""สตูล!M430"")"),23520.0)</f>
        <v>23520</v>
      </c>
      <c r="O535" s="203">
        <f t="shared" si="119"/>
        <v>72.05882353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IFERROR(__xludf.DUMMYFUNCTION("IMPORTRANGE(""https://docs.google.com/spreadsheets/d/1IYY_tgx_IHuhSq3AJ5eI5OnqOPBNLWSHKh2a30DoXe8/edit?usp=sharing"",""สตูล!L431"")"),0.0)</f>
        <v>0</v>
      </c>
      <c r="M536" s="203"/>
      <c r="N536" s="203">
        <f>IFERROR(__xludf.DUMMYFUNCTION("IMPORTRANGE(""https://docs.google.com/spreadsheets/d/1IYY_tgx_IHuhSq3AJ5eI5OnqOPBNLWSHKh2a30DoXe8/edit?usp=sharing"",""สตูล!M431"")"),0.0)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IFERROR(__xludf.DUMMYFUNCTION("IMPORTRANGE(""https://docs.google.com/spreadsheets/d/1IYY_tgx_IHuhSq3AJ5eI5OnqOPBNLWSHKh2a30DoXe8/edit?usp=sharing"",""สตูล!L432"")"),32640.0)</f>
        <v>32640</v>
      </c>
      <c r="M537" s="203"/>
      <c r="N537" s="203">
        <f>IFERROR(__xludf.DUMMYFUNCTION("IMPORTRANGE(""https://docs.google.com/spreadsheets/d/1IYY_tgx_IHuhSq3AJ5eI5OnqOPBNLWSHKh2a30DoXe8/edit?usp=sharing"",""สตูล!M432"")"),23520.0)</f>
        <v>23520</v>
      </c>
      <c r="O537" s="203">
        <f t="shared" si="119"/>
        <v>72.05882353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IFERROR(__xludf.DUMMYFUNCTION("IMPORTRANGE(""https://docs.google.com/spreadsheets/d/1IYY_tgx_IHuhSq3AJ5eI5OnqOPBNLWSHKh2a30DoXe8/edit?usp=sharing"",""สตูล!M433"")"),17040.0)</f>
        <v>17040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IFERROR(__xludf.DUMMYFUNCTION("IMPORTRANGE(""https://docs.google.com/spreadsheets/d/1IYY_tgx_IHuhSq3AJ5eI5OnqOPBNLWSHKh2a30DoXe8/edit?usp=sharing"",""สตูล!M434"")"),0.0)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IFERROR(__xludf.DUMMYFUNCTION("IMPORTRANGE(""https://docs.google.com/spreadsheets/d/1IYY_tgx_IHuhSq3AJ5eI5OnqOPBNLWSHKh2a30DoXe8/edit?usp=sharing"",""สตูล!M435"")"),0.0)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IFERROR(__xludf.DUMMYFUNCTION("IMPORTRANGE(""https://docs.google.com/spreadsheets/d/1IYY_tgx_IHuhSq3AJ5eI5OnqOPBNLWSHKh2a30DoXe8/edit?usp=sharing"",""สตูล!M436"")"),6480.0)</f>
        <v>6480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IFERROR(__xludf.DUMMYFUNCTION("IMPORTRANGE(""https://docs.google.com/spreadsheets/d/1IYY_tgx_IHuhSq3AJ5eI5OnqOPBNLWSHKh2a30DoXe8/edit?usp=sharing"",""สตูล!J438"")"),0.0)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IFERROR(__xludf.DUMMYFUNCTION("IMPORTRANGE(""https://docs.google.com/spreadsheets/d/1IYY_tgx_IHuhSq3AJ5eI5OnqOPBNLWSHKh2a30DoXe8/edit?usp=sharing"",""สตูล!J439"")"),1.0)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IFERROR(__xludf.DUMMYFUNCTION("IMPORTRANGE(""https://docs.google.com/spreadsheets/d/1IYY_tgx_IHuhSq3AJ5eI5OnqOPBNLWSHKh2a30DoXe8/edit?usp=sharing"",""สตูล!J440"")"),1.0)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IFERROR(__xludf.DUMMYFUNCTION("IMPORTRANGE(""https://docs.google.com/spreadsheets/d/1IYY_tgx_IHuhSq3AJ5eI5OnqOPBNLWSHKh2a30DoXe8/edit?usp=sharing"",""สตูล!J441"")"),1.0)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IFERROR(__xludf.DUMMYFUNCTION("IMPORTRANGE(""https://docs.google.com/spreadsheets/d/1IYY_tgx_IHuhSq3AJ5eI5OnqOPBNLWSHKh2a30DoXe8/edit?usp=sharing"",""สตูล!I442"")"),20.0)</f>
        <v>20</v>
      </c>
      <c r="J547" s="223">
        <f>IFERROR(__xludf.DUMMYFUNCTION("IMPORTRANGE(""https://docs.google.com/spreadsheets/d/1IYY_tgx_IHuhSq3AJ5eI5OnqOPBNLWSHKh2a30DoXe8/edit?usp=sharing"",""สตูล!J442"")"),20.0)</f>
        <v>20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IFERROR(__xludf.DUMMYFUNCTION("IMPORTRANGE(""https://docs.google.com/spreadsheets/d/1IYY_tgx_IHuhSq3AJ5eI5OnqOPBNLWSHKh2a30DoXe8/edit?usp=sharing"",""สตูล!J166"")"),0.0)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IFERROR(__xludf.DUMMYFUNCTION("IMPORTRANGE(""https://docs.google.com/spreadsheets/d/1IYY_tgx_IHuhSq3AJ5eI5OnqOPBNLWSHKh2a30DoXe8/edit?usp=sharing"",""สตูล!J444"")"),0.0)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IFERROR(__xludf.DUMMYFUNCTION("IMPORTRANGE(""https://docs.google.com/spreadsheets/d/1IYY_tgx_IHuhSq3AJ5eI5OnqOPBNLWSHKh2a30DoXe8/edit?usp=sharing"",""สตูล!J445"")"),0.0)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IFERROR(__xludf.DUMMYFUNCTION("IMPORTRANGE(""https://docs.google.com/spreadsheets/d/1IYY_tgx_IHuhSq3AJ5eI5OnqOPBNLWSHKh2a30DoXe8/edit?usp=sharing"",""สตูล!I446"")"),0.0)</f>
        <v>0</v>
      </c>
      <c r="J551" s="443">
        <f>IFERROR(__xludf.DUMMYFUNCTION("IMPORTRANGE(""https://docs.google.com/spreadsheets/d/1IYY_tgx_IHuhSq3AJ5eI5OnqOPBNLWSHKh2a30DoXe8/edit?usp=sharing"",""สตูล!J446"")"),0.0)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IFERROR(__xludf.DUMMYFUNCTION("IMPORTRANGE(""https://docs.google.com/spreadsheets/d/1IYY_tgx_IHuhSq3AJ5eI5OnqOPBNLWSHKh2a30DoXe8/edit?usp=sharing"",""สตูล!L446"")"),0.0)</f>
        <v>0</v>
      </c>
      <c r="M551" s="445"/>
      <c r="N551" s="445">
        <f>IFERROR(__xludf.DUMMYFUNCTION("IMPORTRANGE(""https://docs.google.com/spreadsheets/d/1IYY_tgx_IHuhSq3AJ5eI5OnqOPBNLWSHKh2a30DoXe8/edit?usp=sharing"",""สตูล!M446"")"),0.0)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IFERROR(__xludf.DUMMYFUNCTION("IMPORTRANGE(""https://docs.google.com/spreadsheets/d/1IYY_tgx_IHuhSq3AJ5eI5OnqOPBNLWSHKh2a30DoXe8/edit?usp=sharing"",""สตูล!L447"")"),0.0)</f>
        <v>0</v>
      </c>
      <c r="M552" s="197"/>
      <c r="N552" s="203">
        <f>IFERROR(__xludf.DUMMYFUNCTION("IMPORTRANGE(""https://docs.google.com/spreadsheets/d/1IYY_tgx_IHuhSq3AJ5eI5OnqOPBNLWSHKh2a30DoXe8/edit?usp=sharing"",""สตูล!M447"")"),0.0)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IFERROR(__xludf.DUMMYFUNCTION("IMPORTRANGE(""https://docs.google.com/spreadsheets/d/1IYY_tgx_IHuhSq3AJ5eI5OnqOPBNLWSHKh2a30DoXe8/edit?usp=sharing"",""สตูล!L448"")"),0.0)</f>
        <v>0</v>
      </c>
      <c r="M553" s="198"/>
      <c r="N553" s="203">
        <f>IFERROR(__xludf.DUMMYFUNCTION("IMPORTRANGE(""https://docs.google.com/spreadsheets/d/1IYY_tgx_IHuhSq3AJ5eI5OnqOPBNLWSHKh2a30DoXe8/edit?usp=sharing"",""สตูล!M448"")"),0.0)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IFERROR(__xludf.DUMMYFUNCTION("IMPORTRANGE(""https://docs.google.com/spreadsheets/d/1IYY_tgx_IHuhSq3AJ5eI5OnqOPBNLWSHKh2a30DoXe8/edit?usp=sharing"",""สตูล!L449"")"),0.0)</f>
        <v>0</v>
      </c>
      <c r="M554" s="203"/>
      <c r="N554" s="203">
        <f>IFERROR(__xludf.DUMMYFUNCTION("IMPORTRANGE(""https://docs.google.com/spreadsheets/d/1IYY_tgx_IHuhSq3AJ5eI5OnqOPBNLWSHKh2a30DoXe8/edit?usp=sharing"",""สตูล!M449"")"),0.0)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IFERROR(__xludf.DUMMYFUNCTION("IMPORTRANGE(""https://docs.google.com/spreadsheets/d/1IYY_tgx_IHuhSq3AJ5eI5OnqOPBNLWSHKh2a30DoXe8/edit?usp=sharing"",""สตูล!L450"")"),0.0)</f>
        <v>0</v>
      </c>
      <c r="M555" s="203"/>
      <c r="N555" s="203">
        <f>IFERROR(__xludf.DUMMYFUNCTION("IMPORTRANGE(""https://docs.google.com/spreadsheets/d/1IYY_tgx_IHuhSq3AJ5eI5OnqOPBNLWSHKh2a30DoXe8/edit?usp=sharing"",""สตูล!M450"")"),0.0)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IFERROR(__xludf.DUMMYFUNCTION("IMPORTRANGE(""https://docs.google.com/spreadsheets/d/1IYY_tgx_IHuhSq3AJ5eI5OnqOPBNLWSHKh2a30DoXe8/edit?usp=sharing"",""สตูล!M451"")"),0.0)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IFERROR(__xludf.DUMMYFUNCTION("IMPORTRANGE(""https://docs.google.com/spreadsheets/d/1IYY_tgx_IHuhSq3AJ5eI5OnqOPBNLWSHKh2a30DoXe8/edit?usp=sharing"",""สตูล!M452"")"),0.0)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IFERROR(__xludf.DUMMYFUNCTION("IMPORTRANGE(""https://docs.google.com/spreadsheets/d/1IYY_tgx_IHuhSq3AJ5eI5OnqOPBNLWSHKh2a30DoXe8/edit?usp=sharing"",""สตูล!M453"")"),0.0)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IFERROR(__xludf.DUMMYFUNCTION("IMPORTRANGE(""https://docs.google.com/spreadsheets/d/1IYY_tgx_IHuhSq3AJ5eI5OnqOPBNLWSHKh2a30DoXe8/edit?usp=sharing"",""สตูล!M454"")"),0.0)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IFERROR(__xludf.DUMMYFUNCTION("IMPORTRANGE(""https://docs.google.com/spreadsheets/d/1IYY_tgx_IHuhSq3AJ5eI5OnqOPBNLWSHKh2a30DoXe8/edit?usp=sharing"",""สตูล!I455"")"),0.0)</f>
        <v>0</v>
      </c>
      <c r="J560" s="195">
        <f>IFERROR(__xludf.DUMMYFUNCTION("IMPORTRANGE(""https://docs.google.com/spreadsheets/d/1IYY_tgx_IHuhSq3AJ5eI5OnqOPBNLWSHKh2a30DoXe8/edit?usp=sharing"",""สตูล!J455"")"),0.0)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IFERROR(__xludf.DUMMYFUNCTION("IMPORTRANGE(""https://docs.google.com/spreadsheets/d/1IYY_tgx_IHuhSq3AJ5eI5OnqOPBNLWSHKh2a30DoXe8/edit?usp=sharing"",""สตูล!I456"")"),0.0)</f>
        <v>0</v>
      </c>
      <c r="J561" s="238">
        <f>IFERROR(__xludf.DUMMYFUNCTION("IMPORTRANGE(""https://docs.google.com/spreadsheets/d/1IYY_tgx_IHuhSq3AJ5eI5OnqOPBNLWSHKh2a30DoXe8/edit?usp=sharing"",""สตูล!J456"")"),0.0)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IFERROR(__xludf.DUMMYFUNCTION("IMPORTRANGE(""https://docs.google.com/spreadsheets/d/1IYY_tgx_IHuhSq3AJ5eI5OnqOPBNLWSHKh2a30DoXe8/edit?usp=sharing"",""สตูล!I457"")"),"")</f>
        <v/>
      </c>
      <c r="J562" s="238" t="str">
        <f>IFERROR(__xludf.DUMMYFUNCTION("IMPORTRANGE(""https://docs.google.com/spreadsheets/d/1IYY_tgx_IHuhSq3AJ5eI5OnqOPBNLWSHKh2a30DoXe8/edit?usp=sharing"",""สตูล!J457"")"),"")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IFERROR(__xludf.DUMMYFUNCTION("IMPORTRANGE(""https://docs.google.com/spreadsheets/d/1IYY_tgx_IHuhSq3AJ5eI5OnqOPBNLWSHKh2a30DoXe8/edit?usp=sharing"",""สตูล!I458"")"),"")</f>
        <v/>
      </c>
      <c r="J563" s="222" t="str">
        <f>IFERROR(__xludf.DUMMYFUNCTION("IMPORTRANGE(""https://docs.google.com/spreadsheets/d/1IYY_tgx_IHuhSq3AJ5eI5OnqOPBNLWSHKh2a30DoXe8/edit?usp=sharing"",""สตูล!J458"")"),"")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IFERROR(__xludf.DUMMYFUNCTION("IMPORTRANGE(""https://docs.google.com/spreadsheets/d/1IYY_tgx_IHuhSq3AJ5eI5OnqOPBNLWSHKh2a30DoXe8/edit?usp=sharing"",""สตูล!I459"")"),200.0)</f>
        <v>200</v>
      </c>
      <c r="J564" s="404">
        <f>IFERROR(__xludf.DUMMYFUNCTION("IMPORTRANGE(""https://docs.google.com/spreadsheets/d/1IYY_tgx_IHuhSq3AJ5eI5OnqOPBNLWSHKh2a30DoXe8/edit?usp=sharing"",""สตูล!J459"")"),81.0)</f>
        <v>81</v>
      </c>
      <c r="K564" s="405">
        <f t="shared" si="122"/>
        <v>40.5</v>
      </c>
      <c r="L564" s="406">
        <f>IFERROR(__xludf.DUMMYFUNCTION("IMPORTRANGE(""https://docs.google.com/spreadsheets/d/1IYY_tgx_IHuhSq3AJ5eI5OnqOPBNLWSHKh2a30DoXe8/edit?usp=sharing"",""สตูล!L459"")"),124480.0)</f>
        <v>124480</v>
      </c>
      <c r="M564" s="406"/>
      <c r="N564" s="406">
        <f>IFERROR(__xludf.DUMMYFUNCTION("IMPORTRANGE(""https://docs.google.com/spreadsheets/d/1IYY_tgx_IHuhSq3AJ5eI5OnqOPBNLWSHKh2a30DoXe8/edit?usp=sharing"",""สตูล!M459"")"),8665.0)</f>
        <v>8665</v>
      </c>
      <c r="O564" s="406">
        <f t="shared" ref="O564:O568" si="123">+IF(L564&gt;0,N564*100/L564,0)</f>
        <v>6.960957584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IFERROR(__xludf.DUMMYFUNCTION("IMPORTRANGE(""https://docs.google.com/spreadsheets/d/1IYY_tgx_IHuhSq3AJ5eI5OnqOPBNLWSHKh2a30DoXe8/edit?usp=sharing"",""สตูล!L460"")"),0.0)</f>
        <v>0</v>
      </c>
      <c r="M565" s="197"/>
      <c r="N565" s="203">
        <f>IFERROR(__xludf.DUMMYFUNCTION("IMPORTRANGE(""https://docs.google.com/spreadsheets/d/1IYY_tgx_IHuhSq3AJ5eI5OnqOPBNLWSHKh2a30DoXe8/edit?usp=sharing"",""สตูล!M460"")"),0.0)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IFERROR(__xludf.DUMMYFUNCTION("IMPORTRANGE(""https://docs.google.com/spreadsheets/d/1IYY_tgx_IHuhSq3AJ5eI5OnqOPBNLWSHKh2a30DoXe8/edit?usp=sharing"",""สตูล!L461"")"),124480.0)</f>
        <v>124480</v>
      </c>
      <c r="M566" s="198"/>
      <c r="N566" s="203">
        <f>IFERROR(__xludf.DUMMYFUNCTION("IMPORTRANGE(""https://docs.google.com/spreadsheets/d/1IYY_tgx_IHuhSq3AJ5eI5OnqOPBNLWSHKh2a30DoXe8/edit?usp=sharing"",""สตูล!M461"")"),8665.0)</f>
        <v>8665</v>
      </c>
      <c r="O566" s="203">
        <f t="shared" si="123"/>
        <v>6.960957584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IFERROR(__xludf.DUMMYFUNCTION("IMPORTRANGE(""https://docs.google.com/spreadsheets/d/1IYY_tgx_IHuhSq3AJ5eI5OnqOPBNLWSHKh2a30DoXe8/edit?usp=sharing"",""สตูล!L462"")"),0.0)</f>
        <v>0</v>
      </c>
      <c r="M567" s="203"/>
      <c r="N567" s="203">
        <f>IFERROR(__xludf.DUMMYFUNCTION("IMPORTRANGE(""https://docs.google.com/spreadsheets/d/1IYY_tgx_IHuhSq3AJ5eI5OnqOPBNLWSHKh2a30DoXe8/edit?usp=sharing"",""สตูล!M462"")"),0.0)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IFERROR(__xludf.DUMMYFUNCTION("IMPORTRANGE(""https://docs.google.com/spreadsheets/d/1IYY_tgx_IHuhSq3AJ5eI5OnqOPBNLWSHKh2a30DoXe8/edit?usp=sharing"",""สตูล!L463"")"),124480.0)</f>
        <v>124480</v>
      </c>
      <c r="M568" s="203"/>
      <c r="N568" s="203">
        <f>IFERROR(__xludf.DUMMYFUNCTION("IMPORTRANGE(""https://docs.google.com/spreadsheets/d/1IYY_tgx_IHuhSq3AJ5eI5OnqOPBNLWSHKh2a30DoXe8/edit?usp=sharing"",""สตูล!M463"")"),8665.0)</f>
        <v>8665</v>
      </c>
      <c r="O568" s="203">
        <f t="shared" si="123"/>
        <v>6.960957584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IFERROR(__xludf.DUMMYFUNCTION("IMPORTRANGE(""https://docs.google.com/spreadsheets/d/1IYY_tgx_IHuhSq3AJ5eI5OnqOPBNLWSHKh2a30DoXe8/edit?usp=sharing"",""สตูล!M464"")"),0.0)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IFERROR(__xludf.DUMMYFUNCTION("IMPORTRANGE(""https://docs.google.com/spreadsheets/d/1IYY_tgx_IHuhSq3AJ5eI5OnqOPBNLWSHKh2a30DoXe8/edit?usp=sharing"",""สตูล!M465"")"),0.0)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IFERROR(__xludf.DUMMYFUNCTION("IMPORTRANGE(""https://docs.google.com/spreadsheets/d/1IYY_tgx_IHuhSq3AJ5eI5OnqOPBNLWSHKh2a30DoXe8/edit?usp=sharing"",""สตูล!M466"")"),0.0)</f>
        <v>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IFERROR(__xludf.DUMMYFUNCTION("IMPORTRANGE(""https://docs.google.com/spreadsheets/d/1IYY_tgx_IHuhSq3AJ5eI5OnqOPBNLWSHKh2a30DoXe8/edit?usp=sharing"",""สตูล!M467"")"),8665.0)</f>
        <v>8665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IFERROR(__xludf.DUMMYFUNCTION("IMPORTRANGE(""https://docs.google.com/spreadsheets/d/1IYY_tgx_IHuhSq3AJ5eI5OnqOPBNLWSHKh2a30DoXe8/edit?usp=sharing"",""สตูล!I468"")"),200.0)</f>
        <v>200</v>
      </c>
      <c r="J573" s="453">
        <f>IFERROR(__xludf.DUMMYFUNCTION("IMPORTRANGE(""https://docs.google.com/spreadsheets/d/1IYY_tgx_IHuhSq3AJ5eI5OnqOPBNLWSHKh2a30DoXe8/edit?usp=sharing"",""สตูล!J468"")"),81.0)</f>
        <v>81</v>
      </c>
      <c r="K573" s="236">
        <f>IF(I573&gt;0,J573*100/I573,0)</f>
        <v>40.5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IFERROR(__xludf.DUMMYFUNCTION("IMPORTRANGE(""https://docs.google.com/spreadsheets/d/1IYY_tgx_IHuhSq3AJ5eI5OnqOPBNLWSHKh2a30DoXe8/edit?usp=sharing"",""สตูล!I470"")"),0.0)</f>
        <v>0</v>
      </c>
      <c r="J575" s="232">
        <f>IFERROR(__xludf.DUMMYFUNCTION("IMPORTRANGE(""https://docs.google.com/spreadsheets/d/1IYY_tgx_IHuhSq3AJ5eI5OnqOPBNLWSHKh2a30DoXe8/edit?usp=sharing"",""สตูล!J470"")"),4.0)</f>
        <v>4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IFERROR(__xludf.DUMMYFUNCTION("IMPORTRANGE(""https://docs.google.com/spreadsheets/d/1IYY_tgx_IHuhSq3AJ5eI5OnqOPBNLWSHKh2a30DoXe8/edit?usp=sharing"",""สตูล!I471"")"),0.0)</f>
        <v>0</v>
      </c>
      <c r="J576" s="232">
        <f>IFERROR(__xludf.DUMMYFUNCTION("IMPORTRANGE(""https://docs.google.com/spreadsheets/d/1IYY_tgx_IHuhSq3AJ5eI5OnqOPBNLWSHKh2a30DoXe8/edit?usp=sharing"",""สตูล!J471"")"),81.0)</f>
        <v>81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IFERROR(__xludf.DUMMYFUNCTION("IMPORTRANGE(""https://docs.google.com/spreadsheets/d/1IYY_tgx_IHuhSq3AJ5eI5OnqOPBNLWSHKh2a30DoXe8/edit?usp=sharing"",""สตูล!I472"")"),0.0)</f>
        <v>0</v>
      </c>
      <c r="J577" s="223">
        <f>IFERROR(__xludf.DUMMYFUNCTION("IMPORTRANGE(""https://docs.google.com/spreadsheets/d/1IYY_tgx_IHuhSq3AJ5eI5OnqOPBNLWSHKh2a30DoXe8/edit?usp=sharing"",""สตูล!J472"")"),0.0)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IFERROR(__xludf.DUMMYFUNCTION("IMPORTRANGE(""https://docs.google.com/spreadsheets/d/1IYY_tgx_IHuhSq3AJ5eI5OnqOPBNLWSHKh2a30DoXe8/edit?usp=sharing"",""สตูล!I473"")"),0.0)</f>
        <v>0</v>
      </c>
      <c r="J578" s="232">
        <f>IFERROR(__xludf.DUMMYFUNCTION("IMPORTRANGE(""https://docs.google.com/spreadsheets/d/1IYY_tgx_IHuhSq3AJ5eI5OnqOPBNLWSHKh2a30DoXe8/edit?usp=sharing"",""สตูล!J473"")"),0.0)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IFERROR(__xludf.DUMMYFUNCTION("IMPORTRANGE(""https://docs.google.com/spreadsheets/d/1IYY_tgx_IHuhSq3AJ5eI5OnqOPBNLWSHKh2a30DoXe8/edit?usp=sharing"",""สตูล!I474"")"),0.0)</f>
        <v>0</v>
      </c>
      <c r="J579" s="232">
        <f>IFERROR(__xludf.DUMMYFUNCTION("IMPORTRANGE(""https://docs.google.com/spreadsheets/d/1IYY_tgx_IHuhSq3AJ5eI5OnqOPBNLWSHKh2a30DoXe8/edit?usp=sharing"",""สตูล!J474"")"),0.0)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IFERROR(__xludf.DUMMYFUNCTION("IMPORTRANGE(""https://docs.google.com/spreadsheets/d/1IYY_tgx_IHuhSq3AJ5eI5OnqOPBNLWSHKh2a30DoXe8/edit?usp=sharing"",""สตูล!I475"")"),0.0)</f>
        <v>0</v>
      </c>
      <c r="J580" s="404">
        <f>IFERROR(__xludf.DUMMYFUNCTION("IMPORTRANGE(""https://docs.google.com/spreadsheets/d/1IYY_tgx_IHuhSq3AJ5eI5OnqOPBNLWSHKh2a30DoXe8/edit?usp=sharing"",""สตูล!J475"")"),0.0)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IFERROR(__xludf.DUMMYFUNCTION("IMPORTRANGE(""https://docs.google.com/spreadsheets/d/1IYY_tgx_IHuhSq3AJ5eI5OnqOPBNLWSHKh2a30DoXe8/edit?usp=sharing"",""สตูล!L475"")"),0.0)</f>
        <v>0</v>
      </c>
      <c r="M580" s="406"/>
      <c r="N580" s="406">
        <f>IFERROR(__xludf.DUMMYFUNCTION("IMPORTRANGE(""https://docs.google.com/spreadsheets/d/1IYY_tgx_IHuhSq3AJ5eI5OnqOPBNLWSHKh2a30DoXe8/edit?usp=sharing"",""สตูล!M475"")"),0.0)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IFERROR(__xludf.DUMMYFUNCTION("IMPORTRANGE(""https://docs.google.com/spreadsheets/d/1IYY_tgx_IHuhSq3AJ5eI5OnqOPBNLWSHKh2a30DoXe8/edit?usp=sharing"",""สตูล!L476"")"),0.0)</f>
        <v>0</v>
      </c>
      <c r="M581" s="197"/>
      <c r="N581" s="203">
        <f>IFERROR(__xludf.DUMMYFUNCTION("IMPORTRANGE(""https://docs.google.com/spreadsheets/d/1IYY_tgx_IHuhSq3AJ5eI5OnqOPBNLWSHKh2a30DoXe8/edit?usp=sharing"",""สตูล!M476"")"),0.0)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IFERROR(__xludf.DUMMYFUNCTION("IMPORTRANGE(""https://docs.google.com/spreadsheets/d/1IYY_tgx_IHuhSq3AJ5eI5OnqOPBNLWSHKh2a30DoXe8/edit?usp=sharing"",""สตูล!L477"")"),0.0)</f>
        <v>0</v>
      </c>
      <c r="M582" s="198"/>
      <c r="N582" s="203">
        <f>IFERROR(__xludf.DUMMYFUNCTION("IMPORTRANGE(""https://docs.google.com/spreadsheets/d/1IYY_tgx_IHuhSq3AJ5eI5OnqOPBNLWSHKh2a30DoXe8/edit?usp=sharing"",""สตูล!M477"")"),0.0)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IFERROR(__xludf.DUMMYFUNCTION("IMPORTRANGE(""https://docs.google.com/spreadsheets/d/1IYY_tgx_IHuhSq3AJ5eI5OnqOPBNLWSHKh2a30DoXe8/edit?usp=sharing"",""สตูล!L478"")"),0.0)</f>
        <v>0</v>
      </c>
      <c r="M583" s="203"/>
      <c r="N583" s="203">
        <f>IFERROR(__xludf.DUMMYFUNCTION("IMPORTRANGE(""https://docs.google.com/spreadsheets/d/1IYY_tgx_IHuhSq3AJ5eI5OnqOPBNLWSHKh2a30DoXe8/edit?usp=sharing"",""สตูล!M478"")"),0.0)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IFERROR(__xludf.DUMMYFUNCTION("IMPORTRANGE(""https://docs.google.com/spreadsheets/d/1IYY_tgx_IHuhSq3AJ5eI5OnqOPBNLWSHKh2a30DoXe8/edit?usp=sharing"",""สตูล!L479"")"),0.0)</f>
        <v>0</v>
      </c>
      <c r="M584" s="203"/>
      <c r="N584" s="203">
        <f>IFERROR(__xludf.DUMMYFUNCTION("IMPORTRANGE(""https://docs.google.com/spreadsheets/d/1IYY_tgx_IHuhSq3AJ5eI5OnqOPBNLWSHKh2a30DoXe8/edit?usp=sharing"",""สตูล!M479"")"),0.0)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IFERROR(__xludf.DUMMYFUNCTION("IMPORTRANGE(""https://docs.google.com/spreadsheets/d/1IYY_tgx_IHuhSq3AJ5eI5OnqOPBNLWSHKh2a30DoXe8/edit?usp=sharing"",""สตูล!M480"")"),0.0)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IFERROR(__xludf.DUMMYFUNCTION("IMPORTRANGE(""https://docs.google.com/spreadsheets/d/1IYY_tgx_IHuhSq3AJ5eI5OnqOPBNLWSHKh2a30DoXe8/edit?usp=sharing"",""สตูล!M481"")"),0.0)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IFERROR(__xludf.DUMMYFUNCTION("IMPORTRANGE(""https://docs.google.com/spreadsheets/d/1IYY_tgx_IHuhSq3AJ5eI5OnqOPBNLWSHKh2a30DoXe8/edit?usp=sharing"",""สตูล!M482"")"),0.0)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IFERROR(__xludf.DUMMYFUNCTION("IMPORTRANGE(""https://docs.google.com/spreadsheets/d/1IYY_tgx_IHuhSq3AJ5eI5OnqOPBNLWSHKh2a30DoXe8/edit?usp=sharing"",""สตูล!M483"")"),0.0)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IFERROR(__xludf.DUMMYFUNCTION("IMPORTRANGE(""https://docs.google.com/spreadsheets/d/1IYY_tgx_IHuhSq3AJ5eI5OnqOPBNLWSHKh2a30DoXe8/edit?usp=sharing"",""สตูล!I484"")"),0.0)</f>
        <v>0</v>
      </c>
      <c r="J589" s="222">
        <f>IFERROR(__xludf.DUMMYFUNCTION("IMPORTRANGE(""https://docs.google.com/spreadsheets/d/1IYY_tgx_IHuhSq3AJ5eI5OnqOPBNLWSHKh2a30DoXe8/edit?usp=sharing"",""สตูล!J484"")"),0.0)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IFERROR(__xludf.DUMMYFUNCTION("IMPORTRANGE(""https://docs.google.com/spreadsheets/d/1IYY_tgx_IHuhSq3AJ5eI5OnqOPBNLWSHKh2a30DoXe8/edit?usp=sharing"",""สตูล!I485"")"),0.0)</f>
        <v>0</v>
      </c>
      <c r="J590" s="222">
        <f>IFERROR(__xludf.DUMMYFUNCTION("IMPORTRANGE(""https://docs.google.com/spreadsheets/d/1IYY_tgx_IHuhSq3AJ5eI5OnqOPBNLWSHKh2a30DoXe8/edit?usp=sharing"",""สตูล!J485"")"),0.0)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IFERROR(__xludf.DUMMYFUNCTION("IMPORTRANGE(""https://docs.google.com/spreadsheets/d/1IYY_tgx_IHuhSq3AJ5eI5OnqOPBNLWSHKh2a30DoXe8/edit?usp=sharing"",""สตูล!I486"")"),0.0)</f>
        <v>0</v>
      </c>
      <c r="J591" s="222">
        <f>IFERROR(__xludf.DUMMYFUNCTION("IMPORTRANGE(""https://docs.google.com/spreadsheets/d/1IYY_tgx_IHuhSq3AJ5eI5OnqOPBNLWSHKh2a30DoXe8/edit?usp=sharing"",""สตูล!J486"")"),0.0)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IFERROR(__xludf.DUMMYFUNCTION("IMPORTRANGE(""https://docs.google.com/spreadsheets/d/1IYY_tgx_IHuhSq3AJ5eI5OnqOPBNLWSHKh2a30DoXe8/edit?usp=sharing"",""สตูล!I487"")"),0.0)</f>
        <v>0</v>
      </c>
      <c r="J592" s="222">
        <f>IFERROR(__xludf.DUMMYFUNCTION("IMPORTRANGE(""https://docs.google.com/spreadsheets/d/1IYY_tgx_IHuhSq3AJ5eI5OnqOPBNLWSHKh2a30DoXe8/edit?usp=sharing"",""สตูล!J487"")"),0.0)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IFERROR(__xludf.DUMMYFUNCTION("IMPORTRANGE(""https://docs.google.com/spreadsheets/d/1IYY_tgx_IHuhSq3AJ5eI5OnqOPBNLWSHKh2a30DoXe8/edit?usp=sharing"",""สตูล!I488"")"),0.0)</f>
        <v>0</v>
      </c>
      <c r="J593" s="222">
        <f>IFERROR(__xludf.DUMMYFUNCTION("IMPORTRANGE(""https://docs.google.com/spreadsheets/d/1IYY_tgx_IHuhSq3AJ5eI5OnqOPBNLWSHKh2a30DoXe8/edit?usp=sharing"",""สตูล!J488"")"),0.0)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IFERROR(__xludf.DUMMYFUNCTION("IMPORTRANGE(""https://docs.google.com/spreadsheets/d/1IYY_tgx_IHuhSq3AJ5eI5OnqOPBNLWSHKh2a30DoXe8/edit?usp=sharing"",""สตูล!I489"")"),0.0)</f>
        <v>0</v>
      </c>
      <c r="J594" s="222">
        <f>IFERROR(__xludf.DUMMYFUNCTION("IMPORTRANGE(""https://docs.google.com/spreadsheets/d/1IYY_tgx_IHuhSq3AJ5eI5OnqOPBNLWSHKh2a30DoXe8/edit?usp=sharing"",""สตูล!J489"")"),0.0)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IFERROR(__xludf.DUMMYFUNCTION("IMPORTRANGE(""https://docs.google.com/spreadsheets/d/1IYY_tgx_IHuhSq3AJ5eI5OnqOPBNLWSHKh2a30DoXe8/edit?usp=sharing"",""สตูล!I490"")"),0.0)</f>
        <v>0</v>
      </c>
      <c r="J595" s="222">
        <f>IFERROR(__xludf.DUMMYFUNCTION("IMPORTRANGE(""https://docs.google.com/spreadsheets/d/1IYY_tgx_IHuhSq3AJ5eI5OnqOPBNLWSHKh2a30DoXe8/edit?usp=sharing"",""สตูล!J490"")"),0.0)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IFERROR(__xludf.DUMMYFUNCTION("IMPORTRANGE(""https://docs.google.com/spreadsheets/d/1IYY_tgx_IHuhSq3AJ5eI5OnqOPBNLWSHKh2a30DoXe8/edit?usp=sharing"",""สตูล!I491"")"),0.0)</f>
        <v>0</v>
      </c>
      <c r="J596" s="275">
        <f>IFERROR(__xludf.DUMMYFUNCTION("IMPORTRANGE(""https://docs.google.com/spreadsheets/d/1IYY_tgx_IHuhSq3AJ5eI5OnqOPBNLWSHKh2a30DoXe8/edit?usp=sharing"",""สตูล!J491"")"),0.0)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IFERROR(__xludf.DUMMYFUNCTION("IMPORTRANGE(""https://docs.google.com/spreadsheets/d/1IYY_tgx_IHuhSq3AJ5eI5OnqOPBNLWSHKh2a30DoXe8/edit?usp=sharing"",""สตูล!I492"")"),100.0)</f>
        <v>100</v>
      </c>
      <c r="J597" s="520">
        <f>IFERROR(__xludf.DUMMYFUNCTION("IMPORTRANGE(""https://docs.google.com/spreadsheets/d/1IYY_tgx_IHuhSq3AJ5eI5OnqOPBNLWSHKh2a30DoXe8/edit?usp=sharing"",""สตูล!J492"")"),0.0)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IFERROR(__xludf.DUMMYFUNCTION("IMPORTRANGE(""https://docs.google.com/spreadsheets/d/1IYY_tgx_IHuhSq3AJ5eI5OnqOPBNLWSHKh2a30DoXe8/edit?usp=sharing"",""สตูล!L492"")"),8100.0)</f>
        <v>8100</v>
      </c>
      <c r="M597" s="445"/>
      <c r="N597" s="445">
        <f>IFERROR(__xludf.DUMMYFUNCTION("IMPORTRANGE(""https://docs.google.com/spreadsheets/d/1IYY_tgx_IHuhSq3AJ5eI5OnqOPBNLWSHKh2a30DoXe8/edit?usp=sharing"",""สตูล!M492"")"),900.0)</f>
        <v>900</v>
      </c>
      <c r="O597" s="445">
        <f t="shared" ref="O597:O601" si="127">+IF(L597&gt;0,N597*100/L597,0)</f>
        <v>11.11111111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IFERROR(__xludf.DUMMYFUNCTION("IMPORTRANGE(""https://docs.google.com/spreadsheets/d/1IYY_tgx_IHuhSq3AJ5eI5OnqOPBNLWSHKh2a30DoXe8/edit?usp=sharing"",""สตูล!L493"")"),0.0)</f>
        <v>0</v>
      </c>
      <c r="M598" s="197"/>
      <c r="N598" s="203">
        <f>IFERROR(__xludf.DUMMYFUNCTION("IMPORTRANGE(""https://docs.google.com/spreadsheets/d/1IYY_tgx_IHuhSq3AJ5eI5OnqOPBNLWSHKh2a30DoXe8/edit?usp=sharing"",""สตูล!M493"")"),0.0)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IFERROR(__xludf.DUMMYFUNCTION("IMPORTRANGE(""https://docs.google.com/spreadsheets/d/1IYY_tgx_IHuhSq3AJ5eI5OnqOPBNLWSHKh2a30DoXe8/edit?usp=sharing"",""สตูล!L494"")"),8100.0)</f>
        <v>8100</v>
      </c>
      <c r="M599" s="198"/>
      <c r="N599" s="203">
        <f>IFERROR(__xludf.DUMMYFUNCTION("IMPORTRANGE(""https://docs.google.com/spreadsheets/d/1IYY_tgx_IHuhSq3AJ5eI5OnqOPBNLWSHKh2a30DoXe8/edit?usp=sharing"",""สตูล!M494"")"),900.0)</f>
        <v>900</v>
      </c>
      <c r="O599" s="203">
        <f t="shared" si="127"/>
        <v>11.11111111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IFERROR(__xludf.DUMMYFUNCTION("IMPORTRANGE(""https://docs.google.com/spreadsheets/d/1IYY_tgx_IHuhSq3AJ5eI5OnqOPBNLWSHKh2a30DoXe8/edit?usp=sharing"",""สตูล!L495"")"),0.0)</f>
        <v>0</v>
      </c>
      <c r="M600" s="203"/>
      <c r="N600" s="203">
        <f>IFERROR(__xludf.DUMMYFUNCTION("IMPORTRANGE(""https://docs.google.com/spreadsheets/d/1IYY_tgx_IHuhSq3AJ5eI5OnqOPBNLWSHKh2a30DoXe8/edit?usp=sharing"",""สตูล!M495"")"),0.0)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IFERROR(__xludf.DUMMYFUNCTION("IMPORTRANGE(""https://docs.google.com/spreadsheets/d/1IYY_tgx_IHuhSq3AJ5eI5OnqOPBNLWSHKh2a30DoXe8/edit?usp=sharing"",""สตูล!L496"")"),8100.0)</f>
        <v>8100</v>
      </c>
      <c r="M601" s="203"/>
      <c r="N601" s="203">
        <f>IFERROR(__xludf.DUMMYFUNCTION("IMPORTRANGE(""https://docs.google.com/spreadsheets/d/1IYY_tgx_IHuhSq3AJ5eI5OnqOPBNLWSHKh2a30DoXe8/edit?usp=sharing"",""สตูล!M496"")"),900.0)</f>
        <v>900</v>
      </c>
      <c r="O601" s="203">
        <f t="shared" si="127"/>
        <v>11.11111111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IFERROR(__xludf.DUMMYFUNCTION("IMPORTRANGE(""https://docs.google.com/spreadsheets/d/1IYY_tgx_IHuhSq3AJ5eI5OnqOPBNLWSHKh2a30DoXe8/edit?usp=sharing"",""สตูล!M497"")"),0.0)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IFERROR(__xludf.DUMMYFUNCTION("IMPORTRANGE(""https://docs.google.com/spreadsheets/d/1IYY_tgx_IHuhSq3AJ5eI5OnqOPBNLWSHKh2a30DoXe8/edit?usp=sharing"",""สตูล!M498"")"),0.0)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IFERROR(__xludf.DUMMYFUNCTION("IMPORTRANGE(""https://docs.google.com/spreadsheets/d/1IYY_tgx_IHuhSq3AJ5eI5OnqOPBNLWSHKh2a30DoXe8/edit?usp=sharing"",""สตูล!M499"")"),0.0)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IFERROR(__xludf.DUMMYFUNCTION("IMPORTRANGE(""https://docs.google.com/spreadsheets/d/1IYY_tgx_IHuhSq3AJ5eI5OnqOPBNLWSHKh2a30DoXe8/edit?usp=sharing"",""สตูล!M500"")"),900.0)</f>
        <v>900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IFERROR(__xludf.DUMMYFUNCTION("IMPORTRANGE(""https://docs.google.com/spreadsheets/d/1IYY_tgx_IHuhSq3AJ5eI5OnqOPBNLWSHKh2a30DoXe8/edit?usp=sharing"",""สตูล!J502"")"),0.0)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IFERROR(__xludf.DUMMYFUNCTION("IMPORTRANGE(""https://docs.google.com/spreadsheets/d/1IYY_tgx_IHuhSq3AJ5eI5OnqOPBNLWSHKh2a30DoXe8/edit?usp=sharing"",""สตูล!J503"")"),1.0)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IFERROR(__xludf.DUMMYFUNCTION("IMPORTRANGE(""https://docs.google.com/spreadsheets/d/1IYY_tgx_IHuhSq3AJ5eI5OnqOPBNLWSHKh2a30DoXe8/edit?usp=sharing"",""สตูล!J166"")"),0.0)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IFERROR(__xludf.DUMMYFUNCTION("IMPORTRANGE(""https://docs.google.com/spreadsheets/d/1IYY_tgx_IHuhSq3AJ5eI5OnqOPBNLWSHKh2a30DoXe8/edit?usp=sharing"",""สตูล!J166"")"),0.0)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IFERROR(__xludf.DUMMYFUNCTION("IMPORTRANGE(""https://docs.google.com/spreadsheets/d/1IYY_tgx_IHuhSq3AJ5eI5OnqOPBNLWSHKh2a30DoXe8/edit?usp=sharing"",""สตูล!I506"")"),100.0)</f>
        <v>100</v>
      </c>
      <c r="J611" s="195">
        <f>IFERROR(__xludf.DUMMYFUNCTION("IMPORTRANGE(""https://docs.google.com/spreadsheets/d/1IYY_tgx_IHuhSq3AJ5eI5OnqOPBNLWSHKh2a30DoXe8/edit?usp=sharing"",""สตูล!J506"")"),0.0)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IFERROR(__xludf.DUMMYFUNCTION("IMPORTRANGE(""https://docs.google.com/spreadsheets/d/1IYY_tgx_IHuhSq3AJ5eI5OnqOPBNLWSHKh2a30DoXe8/edit?usp=sharing"",""สตูล!I507"")"),0.0)</f>
        <v>0</v>
      </c>
      <c r="J612" s="232">
        <f>IFERROR(__xludf.DUMMYFUNCTION("IMPORTRANGE(""https://docs.google.com/spreadsheets/d/1IYY_tgx_IHuhSq3AJ5eI5OnqOPBNLWSHKh2a30DoXe8/edit?usp=sharing"",""สตูล!J507"")"),0.0)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IFERROR(__xludf.DUMMYFUNCTION("IMPORTRANGE(""https://docs.google.com/spreadsheets/d/1IYY_tgx_IHuhSq3AJ5eI5OnqOPBNLWSHKh2a30DoXe8/edit?usp=sharing"",""สตูล!I508"")"),0.0)</f>
        <v>0</v>
      </c>
      <c r="J613" s="232">
        <f>IFERROR(__xludf.DUMMYFUNCTION("IMPORTRANGE(""https://docs.google.com/spreadsheets/d/1IYY_tgx_IHuhSq3AJ5eI5OnqOPBNLWSHKh2a30DoXe8/edit?usp=sharing"",""สตูล!J508"")"),0.0)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IFERROR(__xludf.DUMMYFUNCTION("IMPORTRANGE(""https://docs.google.com/spreadsheets/d/1IYY_tgx_IHuhSq3AJ5eI5OnqOPBNLWSHKh2a30DoXe8/edit?usp=sharing"",""สตูล!I509"")"),0.0)</f>
        <v>0</v>
      </c>
      <c r="J614" s="232">
        <f>IFERROR(__xludf.DUMMYFUNCTION("IMPORTRANGE(""https://docs.google.com/spreadsheets/d/1IYY_tgx_IHuhSq3AJ5eI5OnqOPBNLWSHKh2a30DoXe8/edit?usp=sharing"",""สตูล!J509"")"),0.0)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IFERROR(__xludf.DUMMYFUNCTION("IMPORTRANGE(""https://docs.google.com/spreadsheets/d/1IYY_tgx_IHuhSq3AJ5eI5OnqOPBNLWSHKh2a30DoXe8/edit?usp=sharing"",""สตูล!I510"")"),0.0)</f>
        <v>0</v>
      </c>
      <c r="J615" s="232">
        <f>IFERROR(__xludf.DUMMYFUNCTION("IMPORTRANGE(""https://docs.google.com/spreadsheets/d/1IYY_tgx_IHuhSq3AJ5eI5OnqOPBNLWSHKh2a30DoXe8/edit?usp=sharing"",""สตูล!J510"")"),0.0)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IFERROR(__xludf.DUMMYFUNCTION("IMPORTRANGE(""https://docs.google.com/spreadsheets/d/1IYY_tgx_IHuhSq3AJ5eI5OnqOPBNLWSHKh2a30DoXe8/edit?usp=sharing"",""สตูล!I511"")"),0.0)</f>
        <v>0</v>
      </c>
      <c r="J616" s="232">
        <f>IFERROR(__xludf.DUMMYFUNCTION("IMPORTRANGE(""https://docs.google.com/spreadsheets/d/1IYY_tgx_IHuhSq3AJ5eI5OnqOPBNLWSHKh2a30DoXe8/edit?usp=sharing"",""สตูล!J511"")"),0.0)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IFERROR(__xludf.DUMMYFUNCTION("IMPORTRANGE(""https://docs.google.com/spreadsheets/d/1IYY_tgx_IHuhSq3AJ5eI5OnqOPBNLWSHKh2a30DoXe8/edit?usp=sharing"",""สตูล!I512"")"),0.0)</f>
        <v>0</v>
      </c>
      <c r="J617" s="222">
        <f>IFERROR(__xludf.DUMMYFUNCTION("IMPORTRANGE(""https://docs.google.com/spreadsheets/d/1IYY_tgx_IHuhSq3AJ5eI5OnqOPBNLWSHKh2a30DoXe8/edit?usp=sharing"",""สตูล!J512"")"),0.0)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IFERROR(__xludf.DUMMYFUNCTION("IMPORTRANGE(""https://docs.google.com/spreadsheets/d/1IYY_tgx_IHuhSq3AJ5eI5OnqOPBNLWSHKh2a30DoXe8/edit?usp=sharing"",""สตูล!I513"")"),0.0)</f>
        <v>0</v>
      </c>
      <c r="J618" s="223">
        <f>IFERROR(__xludf.DUMMYFUNCTION("IMPORTRANGE(""https://docs.google.com/spreadsheets/d/1IYY_tgx_IHuhSq3AJ5eI5OnqOPBNLWSHKh2a30DoXe8/edit?usp=sharing"",""สตูล!J513"")"),0.0)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IFERROR(__xludf.DUMMYFUNCTION("IMPORTRANGE(""https://docs.google.com/spreadsheets/d/1IYY_tgx_IHuhSq3AJ5eI5OnqOPBNLWSHKh2a30DoXe8/edit?usp=sharing"",""สตูล!I514"")"),0.0)</f>
        <v>0</v>
      </c>
      <c r="J619" s="223">
        <f>IFERROR(__xludf.DUMMYFUNCTION("IMPORTRANGE(""https://docs.google.com/spreadsheets/d/1IYY_tgx_IHuhSq3AJ5eI5OnqOPBNLWSHKh2a30DoXe8/edit?usp=sharing"",""สตูล!J514"")"),0.0)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IFERROR(__xludf.DUMMYFUNCTION("IMPORTRANGE(""https://docs.google.com/spreadsheets/d/1IYY_tgx_IHuhSq3AJ5eI5OnqOPBNLWSHKh2a30DoXe8/edit?usp=sharing"",""สตูล!I515"")"),0.0)</f>
        <v>0</v>
      </c>
      <c r="J620" s="237">
        <f>IFERROR(__xludf.DUMMYFUNCTION("IMPORTRANGE(""https://docs.google.com/spreadsheets/d/1IYY_tgx_IHuhSq3AJ5eI5OnqOPBNLWSHKh2a30DoXe8/edit?usp=sharing"",""สตูล!J515"")"),0.0)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IFERROR(__xludf.DUMMYFUNCTION("IMPORTRANGE(""https://docs.google.com/spreadsheets/d/1IYY_tgx_IHuhSq3AJ5eI5OnqOPBNLWSHKh2a30DoXe8/edit?usp=sharing"",""สตูล!I516"")"),0.0)</f>
        <v>0</v>
      </c>
      <c r="J621" s="237">
        <f>IFERROR(__xludf.DUMMYFUNCTION("IMPORTRANGE(""https://docs.google.com/spreadsheets/d/1IYY_tgx_IHuhSq3AJ5eI5OnqOPBNLWSHKh2a30DoXe8/edit?usp=sharing"",""สตูล!J516"")"),0.0)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IFERROR(__xludf.DUMMYFUNCTION("IMPORTRANGE(""https://docs.google.com/spreadsheets/d/1IYY_tgx_IHuhSq3AJ5eI5OnqOPBNLWSHKh2a30DoXe8/edit?usp=sharing"",""สตูล!I517"")"),0.0)</f>
        <v>0</v>
      </c>
      <c r="J622" s="223">
        <f>IFERROR(__xludf.DUMMYFUNCTION("IMPORTRANGE(""https://docs.google.com/spreadsheets/d/1IYY_tgx_IHuhSq3AJ5eI5OnqOPBNLWSHKh2a30DoXe8/edit?usp=sharing"",""สตูล!J517"")"),0.0)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IFERROR(__xludf.DUMMYFUNCTION("IMPORTRANGE(""https://docs.google.com/spreadsheets/d/1IYY_tgx_IHuhSq3AJ5eI5OnqOPBNLWSHKh2a30DoXe8/edit?usp=sharing"",""สตูล!I518"")"),0.0)</f>
        <v>0</v>
      </c>
      <c r="J623" s="223">
        <f>IFERROR(__xludf.DUMMYFUNCTION("IMPORTRANGE(""https://docs.google.com/spreadsheets/d/1IYY_tgx_IHuhSq3AJ5eI5OnqOPBNLWSHKh2a30DoXe8/edit?usp=sharing"",""สตูล!J518"")"),0.0)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IFERROR(__xludf.DUMMYFUNCTION("IMPORTRANGE(""https://docs.google.com/spreadsheets/d/1IYY_tgx_IHuhSq3AJ5eI5OnqOPBNLWSHKh2a30DoXe8/edit?usp=sharing"",""สตูล!I519"")"),0.0)</f>
        <v>0</v>
      </c>
      <c r="J624" s="222">
        <f>IFERROR(__xludf.DUMMYFUNCTION("IMPORTRANGE(""https://docs.google.com/spreadsheets/d/1IYY_tgx_IHuhSq3AJ5eI5OnqOPBNLWSHKh2a30DoXe8/edit?usp=sharing"",""สตูล!J519"")"),0.0)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IFERROR(__xludf.DUMMYFUNCTION("IMPORTRANGE(""https://docs.google.com/spreadsheets/d/1IYY_tgx_IHuhSq3AJ5eI5OnqOPBNLWSHKh2a30DoXe8/edit?usp=sharing"",""สตูล!I520"")"),0.0)</f>
        <v>0</v>
      </c>
      <c r="J625" s="223">
        <f>IFERROR(__xludf.DUMMYFUNCTION("IMPORTRANGE(""https://docs.google.com/spreadsheets/d/1IYY_tgx_IHuhSq3AJ5eI5OnqOPBNLWSHKh2a30DoXe8/edit?usp=sharing"",""สตูล!J520"")"),0.0)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IFERROR(__xludf.DUMMYFUNCTION("IMPORTRANGE(""https://docs.google.com/spreadsheets/d/1IYY_tgx_IHuhSq3AJ5eI5OnqOPBNLWSHKh2a30DoXe8/edit?usp=sharing"",""สตูล!I521"")"),0.0)</f>
        <v>0</v>
      </c>
      <c r="J626" s="223">
        <f>IFERROR(__xludf.DUMMYFUNCTION("IMPORTRANGE(""https://docs.google.com/spreadsheets/d/1IYY_tgx_IHuhSq3AJ5eI5OnqOPBNLWSHKh2a30DoXe8/edit?usp=sharing"",""สตูล!J521"")"),0.0)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IFERROR(__xludf.DUMMYFUNCTION("IMPORTRANGE(""https://docs.google.com/spreadsheets/d/1IYY_tgx_IHuhSq3AJ5eI5OnqOPBNLWSHKh2a30DoXe8/edit?usp=sharing"",""สตูล!I523"")"),298824.87)</f>
        <v>298824.87</v>
      </c>
      <c r="J628" s="374">
        <f>IFERROR(__xludf.DUMMYFUNCTION("IMPORTRANGE(""https://docs.google.com/spreadsheets/d/1IYY_tgx_IHuhSq3AJ5eI5OnqOPBNLWSHKh2a30DoXe8/edit?usp=sharing"",""สตูล!J523"")"),0.0)</f>
        <v>0</v>
      </c>
      <c r="K628" s="375">
        <f t="shared" ref="K628:K635" si="130">IF(I628&gt;0,J628*100/I628,0)</f>
        <v>0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IFERROR(__xludf.DUMMYFUNCTION("IMPORTRANGE(""https://docs.google.com/spreadsheets/d/1IYY_tgx_IHuhSq3AJ5eI5OnqOPBNLWSHKh2a30DoXe8/edit?usp=sharing"",""สตูล!I524"")"),36.0)</f>
        <v>36</v>
      </c>
      <c r="J629" s="374">
        <f>IFERROR(__xludf.DUMMYFUNCTION("IMPORTRANGE(""https://docs.google.com/spreadsheets/d/1IYY_tgx_IHuhSq3AJ5eI5OnqOPBNLWSHKh2a30DoXe8/edit?usp=sharing"",""สตูล!J524"")"),0.0)</f>
        <v>0</v>
      </c>
      <c r="K629" s="375">
        <f t="shared" si="130"/>
        <v>0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IFERROR(__xludf.DUMMYFUNCTION("IMPORTRANGE(""https://docs.google.com/spreadsheets/d/1IYY_tgx_IHuhSq3AJ5eI5OnqOPBNLWSHKh2a30DoXe8/edit?usp=sharing"",""สตูล!I525"")"),12403.0)</f>
        <v>12403</v>
      </c>
      <c r="J630" s="374">
        <f>IFERROR(__xludf.DUMMYFUNCTION("IMPORTRANGE(""https://docs.google.com/spreadsheets/d/1IYY_tgx_IHuhSq3AJ5eI5OnqOPBNLWSHKh2a30DoXe8/edit?usp=sharing"",""สตูล!J525"")"),3346.0)</f>
        <v>3346</v>
      </c>
      <c r="K630" s="375">
        <f t="shared" si="130"/>
        <v>26.97734419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IFERROR(__xludf.DUMMYFUNCTION("IMPORTRANGE(""https://docs.google.com/spreadsheets/d/1IYY_tgx_IHuhSq3AJ5eI5OnqOPBNLWSHKh2a30DoXe8/edit?usp=sharing"",""สตูล!I526"")"),1.0)</f>
        <v>1</v>
      </c>
      <c r="J631" s="374">
        <f>IFERROR(__xludf.DUMMYFUNCTION("IMPORTRANGE(""https://docs.google.com/spreadsheets/d/1IYY_tgx_IHuhSq3AJ5eI5OnqOPBNLWSHKh2a30DoXe8/edit?usp=sharing"",""สตูล!J526"")"),2.0)</f>
        <v>2</v>
      </c>
      <c r="K631" s="375">
        <f t="shared" si="130"/>
        <v>200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IFERROR(__xludf.DUMMYFUNCTION("IMPORTRANGE(""https://docs.google.com/spreadsheets/d/1IYY_tgx_IHuhSq3AJ5eI5OnqOPBNLWSHKh2a30DoXe8/edit?usp=sharing"",""สตูล!I527"")"),0.0)</f>
        <v>0</v>
      </c>
      <c r="J632" s="374">
        <f>IFERROR(__xludf.DUMMYFUNCTION("IMPORTRANGE(""https://docs.google.com/spreadsheets/d/1IYY_tgx_IHuhSq3AJ5eI5OnqOPBNLWSHKh2a30DoXe8/edit?usp=sharing"",""สตูล!J527"")"),0.0)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IFERROR(__xludf.DUMMYFUNCTION("IMPORTRANGE(""https://docs.google.com/spreadsheets/d/1IYY_tgx_IHuhSq3AJ5eI5OnqOPBNLWSHKh2a30DoXe8/edit?usp=sharing"",""สตูล!I528"")"),0.0)</f>
        <v>0</v>
      </c>
      <c r="J633" s="374">
        <f>IFERROR(__xludf.DUMMYFUNCTION("IMPORTRANGE(""https://docs.google.com/spreadsheets/d/1IYY_tgx_IHuhSq3AJ5eI5OnqOPBNLWSHKh2a30DoXe8/edit?usp=sharing"",""สตูล!J528"")"),0.0)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IFERROR(__xludf.DUMMYFUNCTION("IMPORTRANGE(""https://docs.google.com/spreadsheets/d/1IYY_tgx_IHuhSq3AJ5eI5OnqOPBNLWSHKh2a30DoXe8/edit?usp=sharing"",""สตูล!I529"")"),270000.0)</f>
        <v>270000</v>
      </c>
      <c r="J634" s="374">
        <f>IFERROR(__xludf.DUMMYFUNCTION("IMPORTRANGE(""https://docs.google.com/spreadsheets/d/1IYY_tgx_IHuhSq3AJ5eI5OnqOPBNLWSHKh2a30DoXe8/edit?usp=sharing"",""สตูล!J529"")"),0.0)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IFERROR(__xludf.DUMMYFUNCTION("IMPORTRANGE(""https://docs.google.com/spreadsheets/d/1IYY_tgx_IHuhSq3AJ5eI5OnqOPBNLWSHKh2a30DoXe8/edit?usp=sharing"",""สตูล!I530"")"),9.0)</f>
        <v>9</v>
      </c>
      <c r="J635" s="544">
        <f>IFERROR(__xludf.DUMMYFUNCTION("IMPORTRANGE(""https://docs.google.com/spreadsheets/d/1IYY_tgx_IHuhSq3AJ5eI5OnqOPBNLWSHKh2a30DoXe8/edit?usp=sharing"",""สตูล!J530"")"),0.0)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267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6993308</v>
      </c>
      <c r="M8" s="41">
        <f t="shared" si="1"/>
        <v>2170670</v>
      </c>
      <c r="N8" s="41">
        <f t="shared" si="1"/>
        <v>1672492.74</v>
      </c>
      <c r="O8" s="40">
        <f t="shared" ref="O8:O16" si="3">IF(L8&gt;0,N8*100/L8,0)</f>
        <v>23.91561676</v>
      </c>
      <c r="P8" s="40">
        <f t="shared" ref="P8:P16" si="4">IF(M8&gt;0,N8*100/M8,0)</f>
        <v>77.04960865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6993308</v>
      </c>
      <c r="M10" s="48">
        <f t="shared" si="5"/>
        <v>2170670</v>
      </c>
      <c r="N10" s="48">
        <f t="shared" si="5"/>
        <v>1672492.74</v>
      </c>
      <c r="O10" s="47">
        <f t="shared" si="3"/>
        <v>23.91561676</v>
      </c>
      <c r="P10" s="47">
        <f t="shared" si="4"/>
        <v>77.04960865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6829808</v>
      </c>
      <c r="M12" s="58">
        <f t="shared" si="7"/>
        <v>2170670</v>
      </c>
      <c r="N12" s="58">
        <f t="shared" si="7"/>
        <v>1523692.74</v>
      </c>
      <c r="O12" s="58">
        <f t="shared" si="3"/>
        <v>22.30945204</v>
      </c>
      <c r="P12" s="58">
        <f t="shared" si="4"/>
        <v>70.19458232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2388200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4441608</v>
      </c>
      <c r="M14" s="58">
        <f t="shared" si="9"/>
        <v>0</v>
      </c>
      <c r="N14" s="58">
        <f t="shared" si="9"/>
        <v>253839.74</v>
      </c>
      <c r="O14" s="61">
        <f t="shared" si="3"/>
        <v>5.715041489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163500</v>
      </c>
      <c r="M16" s="58">
        <f t="shared" si="11"/>
        <v>0</v>
      </c>
      <c r="N16" s="58">
        <f t="shared" si="11"/>
        <v>148800</v>
      </c>
      <c r="O16" s="70">
        <f t="shared" si="3"/>
        <v>91.00917431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4209870</v>
      </c>
      <c r="M18" s="41">
        <f t="shared" si="12"/>
        <v>2170670</v>
      </c>
      <c r="N18" s="41">
        <f t="shared" si="12"/>
        <v>1418653</v>
      </c>
      <c r="O18" s="40">
        <f t="shared" ref="O18:O20" si="14">IF(L18&gt;0,N18*100/L18,0)</f>
        <v>33.69826147</v>
      </c>
      <c r="P18" s="40">
        <f t="shared" ref="P18:P26" si="15">IF(M18&gt;0,N18*100/M18,0)</f>
        <v>65.35553539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4209870</v>
      </c>
      <c r="M20" s="48">
        <f t="shared" si="16"/>
        <v>2170670</v>
      </c>
      <c r="N20" s="48">
        <f t="shared" si="16"/>
        <v>1418653</v>
      </c>
      <c r="O20" s="47">
        <f t="shared" si="14"/>
        <v>33.69826147</v>
      </c>
      <c r="P20" s="47">
        <f t="shared" si="15"/>
        <v>65.35553539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4046370</v>
      </c>
      <c r="M22" s="62">
        <f t="shared" si="18"/>
        <v>2170670</v>
      </c>
      <c r="N22" s="61">
        <f t="shared" si="18"/>
        <v>1269853</v>
      </c>
      <c r="O22" s="61">
        <f t="shared" si="19"/>
        <v>31.3825231</v>
      </c>
      <c r="P22" s="61">
        <f t="shared" si="15"/>
        <v>58.50050906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2388200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1658170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163500</v>
      </c>
      <c r="M26" s="70">
        <f t="shared" si="23"/>
        <v>0</v>
      </c>
      <c r="N26" s="70">
        <f t="shared" si="23"/>
        <v>148800</v>
      </c>
      <c r="O26" s="70">
        <f t="shared" si="19"/>
        <v>91.00917431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2783438</v>
      </c>
      <c r="M28" s="41">
        <f t="shared" si="24"/>
        <v>0</v>
      </c>
      <c r="N28" s="41">
        <f t="shared" si="24"/>
        <v>253839.74</v>
      </c>
      <c r="O28" s="40">
        <f t="shared" ref="O28:O30" si="26">IF(L28&gt;0,N28*100/L28,0)</f>
        <v>9.119647716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2783438</v>
      </c>
      <c r="M30" s="48">
        <f t="shared" si="28"/>
        <v>0</v>
      </c>
      <c r="N30" s="48">
        <f t="shared" si="28"/>
        <v>253839.74</v>
      </c>
      <c r="O30" s="47">
        <f t="shared" si="26"/>
        <v>9.119647716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2783438</v>
      </c>
      <c r="M32" s="61">
        <f t="shared" si="30"/>
        <v>0</v>
      </c>
      <c r="N32" s="61">
        <f t="shared" si="30"/>
        <v>253839.74</v>
      </c>
      <c r="O32" s="61">
        <f t="shared" si="31"/>
        <v>9.119647716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2783438</v>
      </c>
      <c r="M34" s="61">
        <f t="shared" si="33"/>
        <v>0</v>
      </c>
      <c r="N34" s="61">
        <f t="shared" si="33"/>
        <v>253839.74</v>
      </c>
      <c r="O34" s="61">
        <f t="shared" si="31"/>
        <v>9.119647716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4209870</v>
      </c>
      <c r="M37" s="75">
        <f t="shared" si="34"/>
        <v>2170670</v>
      </c>
      <c r="N37" s="75">
        <f t="shared" si="34"/>
        <v>1418653</v>
      </c>
      <c r="O37" s="76">
        <f t="shared" si="31"/>
        <v>33.69826147</v>
      </c>
      <c r="P37" s="76">
        <f t="shared" si="27"/>
        <v>65.35553539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530800</v>
      </c>
      <c r="M41" s="102">
        <f t="shared" si="35"/>
        <v>265400</v>
      </c>
      <c r="N41" s="102">
        <f t="shared" si="35"/>
        <v>192999</v>
      </c>
      <c r="O41" s="101">
        <f t="shared" ref="O41:O43" si="37">IF(L41&gt;0,N41*100/L41,0)</f>
        <v>36.36002261</v>
      </c>
      <c r="P41" s="101">
        <f t="shared" ref="P41:P43" si="38">IF(M41&gt;0,N41*100/M41,0)</f>
        <v>72.72004521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530800</v>
      </c>
      <c r="M43" s="102">
        <f t="shared" si="39"/>
        <v>265400</v>
      </c>
      <c r="N43" s="102">
        <f t="shared" si="39"/>
        <v>192999</v>
      </c>
      <c r="O43" s="101">
        <f t="shared" si="37"/>
        <v>36.36002261</v>
      </c>
      <c r="P43" s="101">
        <f t="shared" si="38"/>
        <v>72.72004521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530800</v>
      </c>
      <c r="M45" s="115">
        <f>IFERROR(__xludf.DUMMYFUNCTION("IMPORTRANGE(""https://docs.google.com/spreadsheets/d/1Yj_ptqi66GCucihVvJfMjLAmec39IyEx_6qawtMGysU/edit?usp=sharing"",""สบก!Q94"")"),265400.0)</f>
        <v>265400</v>
      </c>
      <c r="N45" s="115">
        <f>IFERROR(__xludf.DUMMYFUNCTION("IMPORTRANGE(""https://docs.google.com/spreadsheets/d/1Yj_ptqi66GCucihVvJfMjLAmec39IyEx_6qawtMGysU/edit?usp=sharing"",""สบก!R94"")"),192999.0)</f>
        <v>192999</v>
      </c>
      <c r="O45" s="116">
        <f>IF(L45&gt;0,N45*100/L45,0)</f>
        <v>36.36002261</v>
      </c>
      <c r="P45" s="116">
        <f>IF(M45&gt;0,N45*100/M45,0)</f>
        <v>72.72004521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IFERROR(__xludf.DUMMYFUNCTION("IMPORTRANGE(""https://docs.google.com/spreadsheets/d/1Yj_ptqi66GCucihVvJfMjLAmec39IyEx_6qawtMGysU/edit?usp=sharing"",""สบก!M94"")"),530800.0)</f>
        <v>530800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IFERROR(__xludf.DUMMYFUNCTION("IMPORTRANGE(""https://docs.google.com/spreadsheets/d/1Yj_ptqi66GCucihVvJfMjLAmec39IyEx_6qawtMGysU/edit?usp=sharing"",""สบก!N94"")"),0.0)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IFERROR(__xludf.DUMMYFUNCTION("IMPORTRANGE(""https://docs.google.com/spreadsheets/d/1Yj_ptqi66GCucihVvJfMjLAmec39IyEx_6qawtMGysU/edit?usp=sharing"",""สบก!O94"")"),0.0)</f>
        <v>0</v>
      </c>
      <c r="M49" s="125"/>
      <c r="N49" s="115">
        <f>IFERROR(__xludf.DUMMYFUNCTION("IMPORTRANGE(""https://docs.google.com/spreadsheets/d/1Yj_ptqi66GCucihVvJfMjLAmec39IyEx_6qawtMGysU/edit?usp=sharing"",""สบก!S94"")"),0.0)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670000</v>
      </c>
      <c r="M53" s="151">
        <f t="shared" si="40"/>
        <v>352230</v>
      </c>
      <c r="N53" s="151">
        <f t="shared" si="40"/>
        <v>233534</v>
      </c>
      <c r="O53" s="150">
        <f t="shared" ref="O53:O55" si="42">IF(L53&gt;0,N53*100/L53,0)</f>
        <v>34.8558209</v>
      </c>
      <c r="P53" s="150">
        <f t="shared" ref="P53:P55" si="43">IF(M53&gt;0,N53*100/M53,0)</f>
        <v>66.30156432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670000</v>
      </c>
      <c r="M55" s="151">
        <f t="shared" si="44"/>
        <v>352230</v>
      </c>
      <c r="N55" s="151">
        <f t="shared" si="44"/>
        <v>233534</v>
      </c>
      <c r="O55" s="150">
        <f t="shared" si="42"/>
        <v>34.8558209</v>
      </c>
      <c r="P55" s="150">
        <f t="shared" si="43"/>
        <v>66.30156432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670000</v>
      </c>
      <c r="M57" s="115">
        <f>IFERROR(__xludf.DUMMYFUNCTION("IMPORTRANGE(""https://docs.google.com/spreadsheets/d/1Yj_ptqi66GCucihVvJfMjLAmec39IyEx_6qawtMGysU/edit?usp=sharing"",""สบก!Z94"")"),352230.0)</f>
        <v>352230</v>
      </c>
      <c r="N57" s="115">
        <f>IFERROR(__xludf.DUMMYFUNCTION("IMPORTRANGE(""https://docs.google.com/spreadsheets/d/1Yj_ptqi66GCucihVvJfMjLAmec39IyEx_6qawtMGysU/edit?usp=sharing"",""สบก!AA94"")"),233534.0)</f>
        <v>233534</v>
      </c>
      <c r="O57" s="116">
        <f>IF(L57&gt;0,N57*100/L57,0)</f>
        <v>34.8558209</v>
      </c>
      <c r="P57" s="116">
        <f>IF(M57&gt;0,N57*100/M57,0)</f>
        <v>66.30156432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IFERROR(__xludf.DUMMYFUNCTION("IMPORTRANGE(""https://docs.google.com/spreadsheets/d/1Yj_ptqi66GCucihVvJfMjLAmec39IyEx_6qawtMGysU/edit?usp=sharing"",""สบก!V94"")"),670000.0)</f>
        <v>670000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IFERROR(__xludf.DUMMYFUNCTION("IMPORTRANGE(""https://docs.google.com/spreadsheets/d/1Yj_ptqi66GCucihVvJfMjLAmec39IyEx_6qawtMGysU/edit?usp=sharing"",""สบก!W94"")"),0.0)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IFERROR(__xludf.DUMMYFUNCTION("IMPORTRANGE(""https://docs.google.com/spreadsheets/d/1Yj_ptqi66GCucihVvJfMjLAmec39IyEx_6qawtMGysU/edit?usp=sharing"",""สบก!X94"")"),0.0)</f>
        <v>0</v>
      </c>
      <c r="M61" s="125"/>
      <c r="N61" s="115">
        <f>IFERROR(__xludf.DUMMYFUNCTION("IMPORTRANGE(""https://docs.google.com/spreadsheets/d/1Yj_ptqi66GCucihVvJfMjLAmec39IyEx_6qawtMGysU/edit?usp=sharing"",""สบก!AB94"")"),0.0)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IFERROR(__xludf.DUMMYFUNCTION("IMPORTRANGE(""https://docs.google.com/spreadsheets/d/1IYY_tgx_IHuhSq3AJ5eI5OnqOPBNLWSHKh2a30DoXe8/edit?usp=sharing"",""สุราษฎร์ธานี!I9"")"),0.0)</f>
        <v>0</v>
      </c>
      <c r="J64" s="172">
        <f>IFERROR(__xludf.DUMMYFUNCTION("IMPORTRANGE(""https://docs.google.com/spreadsheets/d/1IYY_tgx_IHuhSq3AJ5eI5OnqOPBNLWSHKh2a30DoXe8/edit?usp=sharing"",""สุราษฎร์ธานี!J9"")"),0.0)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IFERROR(__xludf.DUMMYFUNCTION("IMPORTRANGE(""https://docs.google.com/spreadsheets/d/1IYY_tgx_IHuhSq3AJ5eI5OnqOPBNLWSHKh2a30DoXe8/edit?usp=sharing"",""สุราษฎร์ธานี!I10"")"),0.0)</f>
        <v>0</v>
      </c>
      <c r="J65" s="172">
        <f>IFERROR(__xludf.DUMMYFUNCTION("IMPORTRANGE(""https://docs.google.com/spreadsheets/d/1IYY_tgx_IHuhSq3AJ5eI5OnqOPBNLWSHKh2a30DoXe8/edit?usp=sharing"",""สุราษฎร์ธานี!J10"")"),0.0)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IFERROR(__xludf.DUMMYFUNCTION("IMPORTRANGE(""https://docs.google.com/spreadsheets/d/1Yj_ptqi66GCucihVvJfMjLAmec39IyEx_6qawtMGysU/edit?usp=sharing"",""สบก!AI94"")"),0.0)</f>
        <v>0</v>
      </c>
      <c r="N70" s="202">
        <f>IFERROR(__xludf.DUMMYFUNCTION("IMPORTRANGE(""https://docs.google.com/spreadsheets/d/1Yj_ptqi66GCucihVvJfMjLAmec39IyEx_6qawtMGysU/edit?usp=sharing"",""สบก!AJ94"")"),0.0)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IFERROR(__xludf.DUMMYFUNCTION("IMPORTRANGE(""https://docs.google.com/spreadsheets/d/1Yj_ptqi66GCucihVvJfMjLAmec39IyEx_6qawtMGysU/edit?usp=sharing"",""สบก!AE94"")"),0.0)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IFERROR(__xludf.DUMMYFUNCTION("IMPORTRANGE(""https://docs.google.com/spreadsheets/d/1Yj_ptqi66GCucihVvJfMjLAmec39IyEx_6qawtMGysU/edit?usp=sharing"",""สบก!AF94"")"),0.0)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IFERROR(__xludf.DUMMYFUNCTION("IMPORTRANGE(""https://docs.google.com/spreadsheets/d/1Yj_ptqi66GCucihVvJfMjLAmec39IyEx_6qawtMGysU/edit?usp=sharing"",""สบก!AG94"")"),0.0)</f>
        <v>0</v>
      </c>
      <c r="M74" s="125"/>
      <c r="N74" s="115">
        <f>IFERROR(__xludf.DUMMYFUNCTION("IMPORTRANGE(""https://docs.google.com/spreadsheets/d/1Yj_ptqi66GCucihVvJfMjLAmec39IyEx_6qawtMGysU/edit?usp=sharing"",""สบก!AK94"")"),0.0)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IFERROR(__xludf.DUMMYFUNCTION("IMPORTRANGE(""https://docs.google.com/spreadsheets/d/1IYY_tgx_IHuhSq3AJ5eI5OnqOPBNLWSHKh2a30DoXe8/edit?usp=sharing"",""สุราษฎร์ธานี!J16"")"),0.0)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IFERROR(__xludf.DUMMYFUNCTION("IMPORTRANGE(""https://docs.google.com/spreadsheets/d/1IYY_tgx_IHuhSq3AJ5eI5OnqOPBNLWSHKh2a30DoXe8/edit?usp=sharing"",""สุราษฎร์ธานี!J17"")"),0.0)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IFERROR(__xludf.DUMMYFUNCTION("IMPORTRANGE(""https://docs.google.com/spreadsheets/d/1IYY_tgx_IHuhSq3AJ5eI5OnqOPBNLWSHKh2a30DoXe8/edit?usp=sharing"",""สุราษฎร์ธานี!J18"")"),0.0)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IFERROR(__xludf.DUMMYFUNCTION("IMPORTRANGE(""https://docs.google.com/spreadsheets/d/1IYY_tgx_IHuhSq3AJ5eI5OnqOPBNLWSHKh2a30DoXe8/edit?usp=sharing"",""สุราษฎร์ธานี!J19"")"),0.0)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IFERROR(__xludf.DUMMYFUNCTION("IMPORTRANGE(""https://docs.google.com/spreadsheets/d/1IYY_tgx_IHuhSq3AJ5eI5OnqOPBNLWSHKh2a30DoXe8/edit?usp=sharing"",""สุราษฎร์ธานี!I20"")"),0.0)</f>
        <v>0</v>
      </c>
      <c r="J80" s="235">
        <f>IFERROR(__xludf.DUMMYFUNCTION("IMPORTRANGE(""https://docs.google.com/spreadsheets/d/1IYY_tgx_IHuhSq3AJ5eI5OnqOPBNLWSHKh2a30DoXe8/edit?usp=sharing"",""สุราษฎร์ธานี!J20"")"),0.0)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IFERROR(__xludf.DUMMYFUNCTION("IMPORTRANGE(""https://docs.google.com/spreadsheets/d/1IYY_tgx_IHuhSq3AJ5eI5OnqOPBNLWSHKh2a30DoXe8/edit?usp=sharing"",""สุราษฎร์ธานี!I21"")"),0.0)</f>
        <v>0</v>
      </c>
      <c r="J81" s="235">
        <f>IFERROR(__xludf.DUMMYFUNCTION("IMPORTRANGE(""https://docs.google.com/spreadsheets/d/1IYY_tgx_IHuhSq3AJ5eI5OnqOPBNLWSHKh2a30DoXe8/edit?usp=sharing"",""สุราษฎร์ธานี!J21"")"),0.0)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IFERROR(__xludf.DUMMYFUNCTION("IMPORTRANGE(""https://docs.google.com/spreadsheets/d/1IYY_tgx_IHuhSq3AJ5eI5OnqOPBNLWSHKh2a30DoXe8/edit?usp=sharing"",""สุราษฎร์ธานี!I22"")"),0.0)</f>
        <v>0</v>
      </c>
      <c r="J82" s="238">
        <f>IFERROR(__xludf.DUMMYFUNCTION("IMPORTRANGE(""https://docs.google.com/spreadsheets/d/1IYY_tgx_IHuhSq3AJ5eI5OnqOPBNLWSHKh2a30DoXe8/edit?usp=sharing"",""สุราษฎร์ธานี!J22"")"),0.0)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IFERROR(__xludf.DUMMYFUNCTION("IMPORTRANGE(""https://docs.google.com/spreadsheets/d/1IYY_tgx_IHuhSq3AJ5eI5OnqOPBNLWSHKh2a30DoXe8/edit?usp=sharing"",""สุราษฎร์ธานี!I23"")"),0.0)</f>
        <v>0</v>
      </c>
      <c r="J83" s="238">
        <f>IFERROR(__xludf.DUMMYFUNCTION("IMPORTRANGE(""https://docs.google.com/spreadsheets/d/1IYY_tgx_IHuhSq3AJ5eI5OnqOPBNLWSHKh2a30DoXe8/edit?usp=sharing"",""สุราษฎร์ธานี!J23"")"),0.0)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IFERROR(__xludf.DUMMYFUNCTION("IMPORTRANGE(""https://docs.google.com/spreadsheets/d/1IYY_tgx_IHuhSq3AJ5eI5OnqOPBNLWSHKh2a30DoXe8/edit?usp=sharing"",""สุราษฎร์ธานี!I24"")"),0.0)</f>
        <v>0</v>
      </c>
      <c r="J84" s="223">
        <f>IFERROR(__xludf.DUMMYFUNCTION("IMPORTRANGE(""https://docs.google.com/spreadsheets/d/1IYY_tgx_IHuhSq3AJ5eI5OnqOPBNLWSHKh2a30DoXe8/edit?usp=sharing"",""สุราษฎร์ธานี!J24"")"),0.0)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IFERROR(__xludf.DUMMYFUNCTION("IMPORTRANGE(""https://docs.google.com/spreadsheets/d/1IYY_tgx_IHuhSq3AJ5eI5OnqOPBNLWSHKh2a30DoXe8/edit?usp=sharing"",""สุราษฎร์ธานี!I25"")"),0.0)</f>
        <v>0</v>
      </c>
      <c r="J85" s="223">
        <f>IFERROR(__xludf.DUMMYFUNCTION("IMPORTRANGE(""https://docs.google.com/spreadsheets/d/1IYY_tgx_IHuhSq3AJ5eI5OnqOPBNLWSHKh2a30DoXe8/edit?usp=sharing"",""สุราษฎร์ธานี!J25"")"),0.0)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IFERROR(__xludf.DUMMYFUNCTION("IMPORTRANGE(""https://docs.google.com/spreadsheets/d/1IYY_tgx_IHuhSq3AJ5eI5OnqOPBNLWSHKh2a30DoXe8/edit?usp=sharing"",""สุราษฎร์ธานี!I26"")"),0.0)</f>
        <v>0</v>
      </c>
      <c r="J86" s="238">
        <f>IFERROR(__xludf.DUMMYFUNCTION("IMPORTRANGE(""https://docs.google.com/spreadsheets/d/1IYY_tgx_IHuhSq3AJ5eI5OnqOPBNLWSHKh2a30DoXe8/edit?usp=sharing"",""สุราษฎร์ธานี!J26"")"),0.0)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IFERROR(__xludf.DUMMYFUNCTION("IMPORTRANGE(""https://docs.google.com/spreadsheets/d/1IYY_tgx_IHuhSq3AJ5eI5OnqOPBNLWSHKh2a30DoXe8/edit?usp=sharing"",""สุราษฎร์ธานี!I27"")"),0.0)</f>
        <v>0</v>
      </c>
      <c r="J87" s="238">
        <f>IFERROR(__xludf.DUMMYFUNCTION("IMPORTRANGE(""https://docs.google.com/spreadsheets/d/1IYY_tgx_IHuhSq3AJ5eI5OnqOPBNLWSHKh2a30DoXe8/edit?usp=sharing"",""สุราษฎร์ธานี!J27"")"),0.0)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IFERROR(__xludf.DUMMYFUNCTION("IMPORTRANGE(""https://docs.google.com/spreadsheets/d/1IYY_tgx_IHuhSq3AJ5eI5OnqOPBNLWSHKh2a30DoXe8/edit?usp=sharing"",""สุราษฎร์ธานี!I28"")"),0.0)</f>
        <v>0</v>
      </c>
      <c r="J88" s="238">
        <f>IFERROR(__xludf.DUMMYFUNCTION("IMPORTRANGE(""https://docs.google.com/spreadsheets/d/1IYY_tgx_IHuhSq3AJ5eI5OnqOPBNLWSHKh2a30DoXe8/edit?usp=sharing"",""สุราษฎร์ธานี!J28"")"),0.0)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IFERROR(__xludf.DUMMYFUNCTION("IMPORTRANGE(""https://docs.google.com/spreadsheets/d/1IYY_tgx_IHuhSq3AJ5eI5OnqOPBNLWSHKh2a30DoXe8/edit?usp=sharing"",""สุราษฎร์ธานี!J29"")"),0.0)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IFERROR(__xludf.DUMMYFUNCTION("IMPORTRANGE(""https://docs.google.com/spreadsheets/d/1IYY_tgx_IHuhSq3AJ5eI5OnqOPBNLWSHKh2a30DoXe8/edit?usp=sharing"",""สุราษฎร์ธานี!J30"")"),0.0)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IFERROR(__xludf.DUMMYFUNCTION("IMPORTRANGE(""https://docs.google.com/spreadsheets/d/1IYY_tgx_IHuhSq3AJ5eI5OnqOPBNLWSHKh2a30DoXe8/edit?usp=sharing"",""สุราษฎร์ธานี!I32"")"),0.0)</f>
        <v>0</v>
      </c>
      <c r="J92" s="172">
        <f>IFERROR(__xludf.DUMMYFUNCTION("IMPORTRANGE(""https://docs.google.com/spreadsheets/d/1IYY_tgx_IHuhSq3AJ5eI5OnqOPBNLWSHKh2a30DoXe8/edit?usp=sharing"",""สุราษฎร์ธานี!J32"")"),0.0)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IFERROR(__xludf.DUMMYFUNCTION("IMPORTRANGE(""https://docs.google.com/spreadsheets/d/1IYY_tgx_IHuhSq3AJ5eI5OnqOPBNLWSHKh2a30DoXe8/edit?usp=sharing"",""สุราษฎร์ธานี!I33"")"),0.0)</f>
        <v>0</v>
      </c>
      <c r="J93" s="172">
        <f>IFERROR(__xludf.DUMMYFUNCTION("IMPORTRANGE(""https://docs.google.com/spreadsheets/d/1IYY_tgx_IHuhSq3AJ5eI5OnqOPBNLWSHKh2a30DoXe8/edit?usp=sharing"",""สุราษฎร์ธานี!J33"")"),0.0)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IFERROR(__xludf.DUMMYFUNCTION("IMPORTRANGE(""https://docs.google.com/spreadsheets/d/1Yj_ptqi66GCucihVvJfMjLAmec39IyEx_6qawtMGysU/edit?usp=sharing"",""สบก!AR94"")"),0.0)</f>
        <v>0</v>
      </c>
      <c r="N98" s="202">
        <f>IFERROR(__xludf.DUMMYFUNCTION("IMPORTRANGE(""https://docs.google.com/spreadsheets/d/1Yj_ptqi66GCucihVvJfMjLAmec39IyEx_6qawtMGysU/edit?usp=sharing"",""สบก!AS94"")"),0.0)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IFERROR(__xludf.DUMMYFUNCTION("IMPORTRANGE(""https://docs.google.com/spreadsheets/d/1Yj_ptqi66GCucihVvJfMjLAmec39IyEx_6qawtMGysU/edit?usp=sharing"",""สบก!AN94"")"),0.0)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IFERROR(__xludf.DUMMYFUNCTION("IMPORTRANGE(""https://docs.google.com/spreadsheets/d/1Yj_ptqi66GCucihVvJfMjLAmec39IyEx_6qawtMGysU/edit?usp=sharing"",""สบก!AO94"")"),0.0)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IFERROR(__xludf.DUMMYFUNCTION("IMPORTRANGE(""https://docs.google.com/spreadsheets/d/1Yj_ptqi66GCucihVvJfMjLAmec39IyEx_6qawtMGysU/edit?usp=sharing"",""สบก!AP94"")"),0.0)</f>
        <v>0</v>
      </c>
      <c r="M102" s="125"/>
      <c r="N102" s="115">
        <f>IFERROR(__xludf.DUMMYFUNCTION("IMPORTRANGE(""https://docs.google.com/spreadsheets/d/1Yj_ptqi66GCucihVvJfMjLAmec39IyEx_6qawtMGysU/edit?usp=sharing"",""สบก!AT94"")"),0.0)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IFERROR(__xludf.DUMMYFUNCTION("IMPORTRANGE(""https://docs.google.com/spreadsheets/d/1IYY_tgx_IHuhSq3AJ5eI5OnqOPBNLWSHKh2a30DoXe8/edit?usp=sharing"",""สุราษฎร์ธานี!J39"")"),0.0)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IFERROR(__xludf.DUMMYFUNCTION("IMPORTRANGE(""https://docs.google.com/spreadsheets/d/1IYY_tgx_IHuhSq3AJ5eI5OnqOPBNLWSHKh2a30DoXe8/edit?usp=sharing"",""สุราษฎร์ธานี!J40"")"),0.0)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IFERROR(__xludf.DUMMYFUNCTION("IMPORTRANGE(""https://docs.google.com/spreadsheets/d/1IYY_tgx_IHuhSq3AJ5eI5OnqOPBNLWSHKh2a30DoXe8/edit?usp=sharing"",""สุราษฎร์ธานี!J41"")"),0.0)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IFERROR(__xludf.DUMMYFUNCTION("IMPORTRANGE(""https://docs.google.com/spreadsheets/d/1IYY_tgx_IHuhSq3AJ5eI5OnqOPBNLWSHKh2a30DoXe8/edit?usp=sharing"",""สุราษฎร์ธานี!J42"")"),0.0)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IFERROR(__xludf.DUMMYFUNCTION("IMPORTRANGE(""https://docs.google.com/spreadsheets/d/1IYY_tgx_IHuhSq3AJ5eI5OnqOPBNLWSHKh2a30DoXe8/edit?usp=sharing"",""สุราษฎร์ธานี!I43"")"),0.0)</f>
        <v>0</v>
      </c>
      <c r="J108" s="238">
        <f>IFERROR(__xludf.DUMMYFUNCTION("IMPORTRANGE(""https://docs.google.com/spreadsheets/d/1IYY_tgx_IHuhSq3AJ5eI5OnqOPBNLWSHKh2a30DoXe8/edit?usp=sharing"",""สุราษฎร์ธานี!J43"")"),0.0)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IFERROR(__xludf.DUMMYFUNCTION("IMPORTRANGE(""https://docs.google.com/spreadsheets/d/1IYY_tgx_IHuhSq3AJ5eI5OnqOPBNLWSHKh2a30DoXe8/edit?usp=sharing"",""สุราษฎร์ธานี!I44"")"),0.0)</f>
        <v>0</v>
      </c>
      <c r="J109" s="238">
        <f>IFERROR(__xludf.DUMMYFUNCTION("IMPORTRANGE(""https://docs.google.com/spreadsheets/d/1IYY_tgx_IHuhSq3AJ5eI5OnqOPBNLWSHKh2a30DoXe8/edit?usp=sharing"",""สุราษฎร์ธานี!J44"")"),0.0)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IFERROR(__xludf.DUMMYFUNCTION("IMPORTRANGE(""https://docs.google.com/spreadsheets/d/1IYY_tgx_IHuhSq3AJ5eI5OnqOPBNLWSHKh2a30DoXe8/edit?usp=sharing"",""สุราษฎร์ธานี!I45"")"),0.0)</f>
        <v>0</v>
      </c>
      <c r="J110" s="238">
        <f>IFERROR(__xludf.DUMMYFUNCTION("IMPORTRANGE(""https://docs.google.com/spreadsheets/d/1IYY_tgx_IHuhSq3AJ5eI5OnqOPBNLWSHKh2a30DoXe8/edit?usp=sharing"",""สุราษฎร์ธานี!J45"")"),0.0)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IFERROR(__xludf.DUMMYFUNCTION("IMPORTRANGE(""https://docs.google.com/spreadsheets/d/1IYY_tgx_IHuhSq3AJ5eI5OnqOPBNLWSHKh2a30DoXe8/edit?usp=sharing"",""สุราษฎร์ธานี!I46"")"),0.0)</f>
        <v>0</v>
      </c>
      <c r="J111" s="238">
        <f>IFERROR(__xludf.DUMMYFUNCTION("IMPORTRANGE(""https://docs.google.com/spreadsheets/d/1IYY_tgx_IHuhSq3AJ5eI5OnqOPBNLWSHKh2a30DoXe8/edit?usp=sharing"",""สุราษฎร์ธานี!J46"")"),0.0)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IFERROR(__xludf.DUMMYFUNCTION("IMPORTRANGE(""https://docs.google.com/spreadsheets/d/1IYY_tgx_IHuhSq3AJ5eI5OnqOPBNLWSHKh2a30DoXe8/edit?usp=sharing"",""สุราษฎร์ธานี!I47"")"),0.0)</f>
        <v>0</v>
      </c>
      <c r="J112" s="238">
        <f>IFERROR(__xludf.DUMMYFUNCTION("IMPORTRANGE(""https://docs.google.com/spreadsheets/d/1IYY_tgx_IHuhSq3AJ5eI5OnqOPBNLWSHKh2a30DoXe8/edit?usp=sharing"",""สุราษฎร์ธานี!J47"")"),0.0)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IFERROR(__xludf.DUMMYFUNCTION("IMPORTRANGE(""https://docs.google.com/spreadsheets/d/1IYY_tgx_IHuhSq3AJ5eI5OnqOPBNLWSHKh2a30DoXe8/edit?usp=sharing"",""สุราษฎร์ธานี!I48"")"),0.0)</f>
        <v>0</v>
      </c>
      <c r="J113" s="238">
        <f>IFERROR(__xludf.DUMMYFUNCTION("IMPORTRANGE(""https://docs.google.com/spreadsheets/d/1IYY_tgx_IHuhSq3AJ5eI5OnqOPBNLWSHKh2a30DoXe8/edit?usp=sharing"",""สุราษฎร์ธานี!J48"")"),0.0)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IFERROR(__xludf.DUMMYFUNCTION("IMPORTRANGE(""https://docs.google.com/spreadsheets/d/1IYY_tgx_IHuhSq3AJ5eI5OnqOPBNLWSHKh2a30DoXe8/edit?usp=sharing"",""สุราษฎร์ธานี!J49"")"),0.0)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IFERROR(__xludf.DUMMYFUNCTION("IMPORTRANGE(""https://docs.google.com/spreadsheets/d/1IYY_tgx_IHuhSq3AJ5eI5OnqOPBNLWSHKh2a30DoXe8/edit?usp=sharing"",""สุราษฎร์ธานี!J50"")"),0.0)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IFERROR(__xludf.DUMMYFUNCTION("IMPORTRANGE(""https://docs.google.com/spreadsheets/d/1IYY_tgx_IHuhSq3AJ5eI5OnqOPBNLWSHKh2a30DoXe8/edit?usp=sharing"",""สุราษฎร์ธานี!I52"")"),15.0)</f>
        <v>15</v>
      </c>
      <c r="J117" s="172">
        <f>IFERROR(__xludf.DUMMYFUNCTION("IMPORTRANGE(""https://docs.google.com/spreadsheets/d/1IYY_tgx_IHuhSq3AJ5eI5OnqOPBNLWSHKh2a30DoXe8/edit?usp=sharing"",""สุราษฎร์ธานี!J52"")"),0.0)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64890</v>
      </c>
      <c r="M118" s="183">
        <f t="shared" si="59"/>
        <v>52890</v>
      </c>
      <c r="N118" s="183">
        <f t="shared" si="59"/>
        <v>49150</v>
      </c>
      <c r="O118" s="182">
        <f t="shared" ref="O118:O120" si="61">IF(L118&gt;0,N118*100/L118,0)</f>
        <v>75.74356603</v>
      </c>
      <c r="P118" s="182">
        <f t="shared" ref="P118:P120" si="62">IF(M118&gt;0,N118*100/M118,0)</f>
        <v>92.92871998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64890</v>
      </c>
      <c r="M120" s="188">
        <f t="shared" si="63"/>
        <v>52890</v>
      </c>
      <c r="N120" s="188">
        <f t="shared" si="63"/>
        <v>49150</v>
      </c>
      <c r="O120" s="187">
        <f t="shared" si="61"/>
        <v>75.74356603</v>
      </c>
      <c r="P120" s="187">
        <f t="shared" si="62"/>
        <v>92.92871998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64890</v>
      </c>
      <c r="M122" s="201">
        <f>IFERROR(__xludf.DUMMYFUNCTION("IMPORTRANGE(""https://docs.google.com/spreadsheets/d/1Yj_ptqi66GCucihVvJfMjLAmec39IyEx_6qawtMGysU/edit?usp=sharing"",""สบก!BA94"")"),52890.0)</f>
        <v>52890</v>
      </c>
      <c r="N122" s="202">
        <f>IFERROR(__xludf.DUMMYFUNCTION("IMPORTRANGE(""https://docs.google.com/spreadsheets/d/1Yj_ptqi66GCucihVvJfMjLAmec39IyEx_6qawtMGysU/edit?usp=sharing"",""สบก!BB94"")"),49150.0)</f>
        <v>49150</v>
      </c>
      <c r="O122" s="203">
        <f>IF(L122&gt;0,N122*100/L122,0)</f>
        <v>75.74356603</v>
      </c>
      <c r="P122" s="203">
        <f>IF(M122&gt;0,N122*100/M122,0)</f>
        <v>92.92871998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IFERROR(__xludf.DUMMYFUNCTION("IMPORTRANGE(""https://docs.google.com/spreadsheets/d/1Yj_ptqi66GCucihVvJfMjLAmec39IyEx_6qawtMGysU/edit?usp=sharing"",""สบก!AW94"")"),0.0)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IFERROR(__xludf.DUMMYFUNCTION("IMPORTRANGE(""https://docs.google.com/spreadsheets/d/1Yj_ptqi66GCucihVvJfMjLAmec39IyEx_6qawtMGysU/edit?usp=sharing"",""สบก!AX94"")"),64890.0)</f>
        <v>64890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IFERROR(__xludf.DUMMYFUNCTION("IMPORTRANGE(""https://docs.google.com/spreadsheets/d/1Yj_ptqi66GCucihVvJfMjLAmec39IyEx_6qawtMGysU/edit?usp=sharing"",""สบก!AY94"")"),0.0)</f>
        <v>0</v>
      </c>
      <c r="M126" s="125"/>
      <c r="N126" s="115">
        <f>IFERROR(__xludf.DUMMYFUNCTION("IMPORTRANGE(""https://docs.google.com/spreadsheets/d/1Yj_ptqi66GCucihVvJfMjLAmec39IyEx_6qawtMGysU/edit?usp=sharing"",""สบก!BC94"")"),0.0)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IFERROR(__xludf.DUMMYFUNCTION("IMPORTRANGE(""https://docs.google.com/spreadsheets/d/1IYY_tgx_IHuhSq3AJ5eI5OnqOPBNLWSHKh2a30DoXe8/edit?usp=sharing"",""สุราษฎร์ธานี!J58"")"),0.0)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IFERROR(__xludf.DUMMYFUNCTION("IMPORTRANGE(""https://docs.google.com/spreadsheets/d/1IYY_tgx_IHuhSq3AJ5eI5OnqOPBNLWSHKh2a30DoXe8/edit?usp=sharing"",""สุราษฎร์ธานี!J59"")"),1.0)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IFERROR(__xludf.DUMMYFUNCTION("IMPORTRANGE(""https://docs.google.com/spreadsheets/d/1IYY_tgx_IHuhSq3AJ5eI5OnqOPBNLWSHKh2a30DoXe8/edit?usp=sharing"",""สุราษฎร์ธานี!J60"")"),1.0)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IFERROR(__xludf.DUMMYFUNCTION("IMPORTRANGE(""https://docs.google.com/spreadsheets/d/1IYY_tgx_IHuhSq3AJ5eI5OnqOPBNLWSHKh2a30DoXe8/edit?usp=sharing"",""สุราษฎร์ธานี!J61"")"),1.0)</f>
        <v>1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IFERROR(__xludf.DUMMYFUNCTION("IMPORTRANGE(""https://docs.google.com/spreadsheets/d/1IYY_tgx_IHuhSq3AJ5eI5OnqOPBNLWSHKh2a30DoXe8/edit?usp=sharing"",""สุราษฎร์ธานี!I62"")"),15.0)</f>
        <v>15</v>
      </c>
      <c r="J132" s="238">
        <f>IFERROR(__xludf.DUMMYFUNCTION("IMPORTRANGE(""https://docs.google.com/spreadsheets/d/1IYY_tgx_IHuhSq3AJ5eI5OnqOPBNLWSHKh2a30DoXe8/edit?usp=sharing"",""สุราษฎร์ธานี!J62"")"),0.0)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IFERROR(__xludf.DUMMYFUNCTION("IMPORTRANGE(""https://docs.google.com/spreadsheets/d/1IYY_tgx_IHuhSq3AJ5eI5OnqOPBNLWSHKh2a30DoXe8/edit?usp=sharing"",""สุราษฎร์ธานี!I63"")"),15.0)</f>
        <v>15</v>
      </c>
      <c r="J133" s="238">
        <f>IFERROR(__xludf.DUMMYFUNCTION("IMPORTRANGE(""https://docs.google.com/spreadsheets/d/1IYY_tgx_IHuhSq3AJ5eI5OnqOPBNLWSHKh2a30DoXe8/edit?usp=sharing"",""สุราษฎร์ธานี!J63"")"),0.0)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IFERROR(__xludf.DUMMYFUNCTION("IMPORTRANGE(""https://docs.google.com/spreadsheets/d/1IYY_tgx_IHuhSq3AJ5eI5OnqOPBNLWSHKh2a30DoXe8/edit?usp=sharing"",""สุราษฎร์ธานี!J64"")"),0.0)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IFERROR(__xludf.DUMMYFUNCTION("IMPORTRANGE(""https://docs.google.com/spreadsheets/d/1IYY_tgx_IHuhSq3AJ5eI5OnqOPBNLWSHKh2a30DoXe8/edit?usp=sharing"",""สุราษฎร์ธานี!J65"")"),0.0)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IFERROR(__xludf.DUMMYFUNCTION("IMPORTRANGE(""https://docs.google.com/spreadsheets/d/1IYY_tgx_IHuhSq3AJ5eI5OnqOPBNLWSHKh2a30DoXe8/edit?usp=sharing"",""สุราษฎร์ธานี!I68"")"),0.0)</f>
        <v>0</v>
      </c>
      <c r="J138" s="301">
        <f>IFERROR(__xludf.DUMMYFUNCTION("IMPORTRANGE(""https://docs.google.com/spreadsheets/d/1IYY_tgx_IHuhSq3AJ5eI5OnqOPBNLWSHKh2a30DoXe8/edit?usp=sharing"",""สุราษฎร์ธานี!J68"")"),0.0)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57000</v>
      </c>
      <c r="M140" s="183">
        <f t="shared" si="65"/>
        <v>45750</v>
      </c>
      <c r="N140" s="183">
        <f t="shared" si="65"/>
        <v>40240</v>
      </c>
      <c r="O140" s="182">
        <f t="shared" ref="O140:O142" si="67">IF(L140&gt;0,N140*100/L140,0)</f>
        <v>70.59649123</v>
      </c>
      <c r="P140" s="182">
        <f t="shared" ref="P140:P142" si="68">IF(M140&gt;0,N140*100/M140,0)</f>
        <v>87.95628415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57000</v>
      </c>
      <c r="M142" s="188">
        <f t="shared" si="69"/>
        <v>45750</v>
      </c>
      <c r="N142" s="188">
        <f t="shared" si="69"/>
        <v>40240</v>
      </c>
      <c r="O142" s="187">
        <f t="shared" si="67"/>
        <v>70.59649123</v>
      </c>
      <c r="P142" s="187">
        <f t="shared" si="68"/>
        <v>87.95628415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57000</v>
      </c>
      <c r="M144" s="201">
        <f>IFERROR(__xludf.DUMMYFUNCTION("IMPORTRANGE(""https://docs.google.com/spreadsheets/d/1Yj_ptqi66GCucihVvJfMjLAmec39IyEx_6qawtMGysU/edit?usp=sharing"",""สบก!BJ94"")"),45750.0)</f>
        <v>45750</v>
      </c>
      <c r="N144" s="202">
        <f>IFERROR(__xludf.DUMMYFUNCTION("IMPORTRANGE(""https://docs.google.com/spreadsheets/d/1Yj_ptqi66GCucihVvJfMjLAmec39IyEx_6qawtMGysU/edit?usp=sharing"",""สบก!BK94"")"),40240.0)</f>
        <v>40240</v>
      </c>
      <c r="O144" s="203">
        <f>IF(L144&gt;0,N144*100/L144,0)</f>
        <v>70.59649123</v>
      </c>
      <c r="P144" s="203">
        <f>IF(M144&gt;0,N144*100/M144,0)</f>
        <v>87.95628415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IFERROR(__xludf.DUMMYFUNCTION("IMPORTRANGE(""https://docs.google.com/spreadsheets/d/1Yj_ptqi66GCucihVvJfMjLAmec39IyEx_6qawtMGysU/edit?usp=sharing"",""สบก!BF94"")"),0.0)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IFERROR(__xludf.DUMMYFUNCTION("IMPORTRANGE(""https://docs.google.com/spreadsheets/d/1Yj_ptqi66GCucihVvJfMjLAmec39IyEx_6qawtMGysU/edit?usp=sharing"",""สบก!BG94"")"),57000.0)</f>
        <v>57000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IFERROR(__xludf.DUMMYFUNCTION("IMPORTRANGE(""https://docs.google.com/spreadsheets/d/1Yj_ptqi66GCucihVvJfMjLAmec39IyEx_6qawtMGysU/edit?usp=sharing"",""สบก!BH94"")"),0.0)</f>
        <v>0</v>
      </c>
      <c r="M148" s="125"/>
      <c r="N148" s="115">
        <f>IFERROR(__xludf.DUMMYFUNCTION("IMPORTRANGE(""https://docs.google.com/spreadsheets/d/1Yj_ptqi66GCucihVvJfMjLAmec39IyEx_6qawtMGysU/edit?usp=sharing"",""สบก!BL94"")"),0.0)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IFERROR(__xludf.DUMMYFUNCTION("IMPORTRANGE(""https://docs.google.com/spreadsheets/d/1IYY_tgx_IHuhSq3AJ5eI5OnqOPBNLWSHKh2a30DoXe8/edit?usp=sharing"",""สุราษฎร์ธานี!I74"")"),4.0)</f>
        <v>4</v>
      </c>
      <c r="J149" s="309">
        <f>IFERROR(__xludf.DUMMYFUNCTION("IMPORTRANGE(""https://docs.google.com/spreadsheets/d/1IYY_tgx_IHuhSq3AJ5eI5OnqOPBNLWSHKh2a30DoXe8/edit?usp=sharing"",""สุราษฎร์ธานี!J74"")"),2.0)</f>
        <v>2</v>
      </c>
      <c r="K149" s="310">
        <f>IF(I149&gt;0,J149*100/I149,0)</f>
        <v>50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IFERROR(__xludf.DUMMYFUNCTION("IMPORTRANGE(""https://docs.google.com/spreadsheets/d/1IYY_tgx_IHuhSq3AJ5eI5OnqOPBNLWSHKh2a30DoXe8/edit?usp=sharing"",""สุราษฎร์ธานี!J79"")"),0.0)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IFERROR(__xludf.DUMMYFUNCTION("IMPORTRANGE(""https://docs.google.com/spreadsheets/d/1IYY_tgx_IHuhSq3AJ5eI5OnqOPBNLWSHKh2a30DoXe8/edit?usp=sharing"",""สุราษฎร์ธานี!J80"")"),1.0)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IFERROR(__xludf.DUMMYFUNCTION("IMPORTRANGE(""https://docs.google.com/spreadsheets/d/1IYY_tgx_IHuhSq3AJ5eI5OnqOPBNLWSHKh2a30DoXe8/edit?usp=sharing"",""สุราษฎร์ธานี!J81"")"),1.0)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IFERROR(__xludf.DUMMYFUNCTION("IMPORTRANGE(""https://docs.google.com/spreadsheets/d/1IYY_tgx_IHuhSq3AJ5eI5OnqOPBNLWSHKh2a30DoXe8/edit?usp=sharing"",""สุราษฎร์ธานี!J82"")"),1.0)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IFERROR(__xludf.DUMMYFUNCTION("IMPORTRANGE(""https://docs.google.com/spreadsheets/d/1IYY_tgx_IHuhSq3AJ5eI5OnqOPBNLWSHKh2a30DoXe8/edit?usp=sharing"",""สุราษฎร์ธานี!I83"")"),4.0)</f>
        <v>4</v>
      </c>
      <c r="J158" s="223">
        <f>IFERROR(__xludf.DUMMYFUNCTION("IMPORTRANGE(""https://docs.google.com/spreadsheets/d/1IYY_tgx_IHuhSq3AJ5eI5OnqOPBNLWSHKh2a30DoXe8/edit?usp=sharing"",""สุราษฎร์ธานี!J83"")"),2.0)</f>
        <v>2</v>
      </c>
      <c r="K158" s="196">
        <f>IF(I158&gt;0,J158*100/I158,0)</f>
        <v>50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IFERROR(__xludf.DUMMYFUNCTION("IMPORTRANGE(""https://docs.google.com/spreadsheets/d/1IYY_tgx_IHuhSq3AJ5eI5OnqOPBNLWSHKh2a30DoXe8/edit?usp=sharing"",""สุราษฎร์ธานี!J84"")"),0.0)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IFERROR(__xludf.DUMMYFUNCTION("IMPORTRANGE(""https://docs.google.com/spreadsheets/d/1IYY_tgx_IHuhSq3AJ5eI5OnqOPBNLWSHKh2a30DoXe8/edit?usp=sharing"",""สุราษฎร์ธานี!J85"")"),0.0)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IFERROR(__xludf.DUMMYFUNCTION("IMPORTRANGE(""https://docs.google.com/spreadsheets/d/1IYY_tgx_IHuhSq3AJ5eI5OnqOPBNLWSHKh2a30DoXe8/edit?usp=sharing"",""สุราษฎร์ธานี!J86"")"),0.0)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IFERROR(__xludf.DUMMYFUNCTION("IMPORTRANGE(""https://docs.google.com/spreadsheets/d/1IYY_tgx_IHuhSq3AJ5eI5OnqOPBNLWSHKh2a30DoXe8/edit?usp=sharing"",""สุราษฎร์ธานี!J87"")"),0.0)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IFERROR(__xludf.DUMMYFUNCTION("IMPORTRANGE(""https://docs.google.com/spreadsheets/d/1IYY_tgx_IHuhSq3AJ5eI5OnqOPBNLWSHKh2a30DoXe8/edit?usp=sharing"",""สุราษฎร์ธานี!J88"")"),0.0)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IFERROR(__xludf.DUMMYFUNCTION("IMPORTRANGE(""https://docs.google.com/spreadsheets/d/1IYY_tgx_IHuhSq3AJ5eI5OnqOPBNLWSHKh2a30DoXe8/edit?usp=sharing"",""สุราษฎร์ธานี!I89"")"),3.0)</f>
        <v>3</v>
      </c>
      <c r="J164" s="317">
        <f>IFERROR(__xludf.DUMMYFUNCTION("IMPORTRANGE(""https://docs.google.com/spreadsheets/d/1IYY_tgx_IHuhSq3AJ5eI5OnqOPBNLWSHKh2a30DoXe8/edit?usp=sharing"",""สุราษฎร์ธานี!J89"")"),3.0)</f>
        <v>3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IFERROR(__xludf.DUMMYFUNCTION("IMPORTRANGE(""https://docs.google.com/spreadsheets/d/1IYY_tgx_IHuhSq3AJ5eI5OnqOPBNLWSHKh2a30DoXe8/edit?usp=sharing"",""สุราษฎร์ธานี!J94"")"),0.0)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IFERROR(__xludf.DUMMYFUNCTION("IMPORTRANGE(""https://docs.google.com/spreadsheets/d/1IYY_tgx_IHuhSq3AJ5eI5OnqOPBNLWSHKh2a30DoXe8/edit?usp=sharing"",""สุราษฎร์ธานี!J95"")"),1.0)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IFERROR(__xludf.DUMMYFUNCTION("IMPORTRANGE(""https://docs.google.com/spreadsheets/d/1IYY_tgx_IHuhSq3AJ5eI5OnqOPBNLWSHKh2a30DoXe8/edit?usp=sharing"",""สุราษฎร์ธานี!J96"")"),1.0)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IFERROR(__xludf.DUMMYFUNCTION("IMPORTRANGE(""https://docs.google.com/spreadsheets/d/1IYY_tgx_IHuhSq3AJ5eI5OnqOPBNLWSHKh2a30DoXe8/edit?usp=sharing"",""สุราษฎร์ธานี!J97"")"),1.0)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IFERROR(__xludf.DUMMYFUNCTION("IMPORTRANGE(""https://docs.google.com/spreadsheets/d/1IYY_tgx_IHuhSq3AJ5eI5OnqOPBNLWSHKh2a30DoXe8/edit?usp=sharing"",""สุราษฎร์ธานี!I98"")"),3.0)</f>
        <v>3</v>
      </c>
      <c r="J173" s="223">
        <f>IFERROR(__xludf.DUMMYFUNCTION("IMPORTRANGE(""https://docs.google.com/spreadsheets/d/1IYY_tgx_IHuhSq3AJ5eI5OnqOPBNLWSHKh2a30DoXe8/edit?usp=sharing"",""สุราษฎร์ธานี!J98"")"),3.0)</f>
        <v>3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IFERROR(__xludf.DUMMYFUNCTION("IMPORTRANGE(""https://docs.google.com/spreadsheets/d/1IYY_tgx_IHuhSq3AJ5eI5OnqOPBNLWSHKh2a30DoXe8/edit?usp=sharing"",""สุราษฎร์ธานี!J99"")"),0.0)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IFERROR(__xludf.DUMMYFUNCTION("IMPORTRANGE(""https://docs.google.com/spreadsheets/d/1IYY_tgx_IHuhSq3AJ5eI5OnqOPBNLWSHKh2a30DoXe8/edit?usp=sharing"",""สุราษฎร์ธานี!J100"")"),0.0)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IFERROR(__xludf.DUMMYFUNCTION("IMPORTRANGE(""https://docs.google.com/spreadsheets/d/1IYY_tgx_IHuhSq3AJ5eI5OnqOPBNLWSHKh2a30DoXe8/edit?usp=sharing"",""สุราษฎร์ธานี!I101"")"),0.0)</f>
        <v>0</v>
      </c>
      <c r="J176" s="317">
        <f>IFERROR(__xludf.DUMMYFUNCTION("IMPORTRANGE(""https://docs.google.com/spreadsheets/d/1IYY_tgx_IHuhSq3AJ5eI5OnqOPBNLWSHKh2a30DoXe8/edit?usp=sharing"",""สุราษฎร์ธานี!J101"")"),0.0)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IFERROR(__xludf.DUMMYFUNCTION("IMPORTRANGE(""https://docs.google.com/spreadsheets/d/1IYY_tgx_IHuhSq3AJ5eI5OnqOPBNLWSHKh2a30DoXe8/edit?usp=sharing"",""สุราษฎร์ธานี!J106"")"),0.0)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IFERROR(__xludf.DUMMYFUNCTION("IMPORTRANGE(""https://docs.google.com/spreadsheets/d/1IYY_tgx_IHuhSq3AJ5eI5OnqOPBNLWSHKh2a30DoXe8/edit?usp=sharing"",""สุราษฎร์ธานี!J107"")"),0.0)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IFERROR(__xludf.DUMMYFUNCTION("IMPORTRANGE(""https://docs.google.com/spreadsheets/d/1IYY_tgx_IHuhSq3AJ5eI5OnqOPBNLWSHKh2a30DoXe8/edit?usp=sharing"",""สุราษฎร์ธานี!J108"")"),0.0)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IFERROR(__xludf.DUMMYFUNCTION("IMPORTRANGE(""https://docs.google.com/spreadsheets/d/1IYY_tgx_IHuhSq3AJ5eI5OnqOPBNLWSHKh2a30DoXe8/edit?usp=sharing"",""สุราษฎร์ธานี!J109"")"),0.0)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IFERROR(__xludf.DUMMYFUNCTION("IMPORTRANGE(""https://docs.google.com/spreadsheets/d/1IYY_tgx_IHuhSq3AJ5eI5OnqOPBNLWSHKh2a30DoXe8/edit?usp=sharing"",""สุราษฎร์ธานี!I110"")"),0.0)</f>
        <v>0</v>
      </c>
      <c r="J185" s="238">
        <f>IFERROR(__xludf.DUMMYFUNCTION("IMPORTRANGE(""https://docs.google.com/spreadsheets/d/1IYY_tgx_IHuhSq3AJ5eI5OnqOPBNLWSHKh2a30DoXe8/edit?usp=sharing"",""สุราษฎร์ธานี!J110"")"),0.0)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IFERROR(__xludf.DUMMYFUNCTION("IMPORTRANGE(""https://docs.google.com/spreadsheets/d/1IYY_tgx_IHuhSq3AJ5eI5OnqOPBNLWSHKh2a30DoXe8/edit?usp=sharing"",""สุราษฎร์ธานี!I111"")"),0.0)</f>
        <v>0</v>
      </c>
      <c r="J186" s="238">
        <f>IFERROR(__xludf.DUMMYFUNCTION("IMPORTRANGE(""https://docs.google.com/spreadsheets/d/1IYY_tgx_IHuhSq3AJ5eI5OnqOPBNLWSHKh2a30DoXe8/edit?usp=sharing"",""สุราษฎร์ธานี!J111"")"),0.0)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IFERROR(__xludf.DUMMYFUNCTION("IMPORTRANGE(""https://docs.google.com/spreadsheets/d/1IYY_tgx_IHuhSq3AJ5eI5OnqOPBNLWSHKh2a30DoXe8/edit?usp=sharing"",""สุราษฎร์ธานี!J112"")"),0.0)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IFERROR(__xludf.DUMMYFUNCTION("IMPORTRANGE(""https://docs.google.com/spreadsheets/d/1IYY_tgx_IHuhSq3AJ5eI5OnqOPBNLWSHKh2a30DoXe8/edit?usp=sharing"",""สุราษฎร์ธานี!J113"")"),0.0)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IFERROR(__xludf.DUMMYFUNCTION("IMPORTRANGE(""https://docs.google.com/spreadsheets/d/1IYY_tgx_IHuhSq3AJ5eI5OnqOPBNLWSHKh2a30DoXe8/edit?usp=sharing"",""สุราษฎร์ธานี!I114"")"),10000.0)</f>
        <v>10000</v>
      </c>
      <c r="J189" s="317">
        <f>IFERROR(__xludf.DUMMYFUNCTION("IMPORTRANGE(""https://docs.google.com/spreadsheets/d/1IYY_tgx_IHuhSq3AJ5eI5OnqOPBNLWSHKh2a30DoXe8/edit?usp=sharing"",""สุราษฎร์ธานี!J114"")"),0.0)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IFERROR(__xludf.DUMMYFUNCTION("IMPORTRANGE(""https://docs.google.com/spreadsheets/d/1IYY_tgx_IHuhSq3AJ5eI5OnqOPBNLWSHKh2a30DoXe8/edit?usp=sharing"",""สุราษฎร์ธานี!J119"")"),0.0)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IFERROR(__xludf.DUMMYFUNCTION("IMPORTRANGE(""https://docs.google.com/spreadsheets/d/1IYY_tgx_IHuhSq3AJ5eI5OnqOPBNLWSHKh2a30DoXe8/edit?usp=sharing"",""สุราษฎร์ธานี!J120"")"),1.0)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IFERROR(__xludf.DUMMYFUNCTION("IMPORTRANGE(""https://docs.google.com/spreadsheets/d/1IYY_tgx_IHuhSq3AJ5eI5OnqOPBNLWSHKh2a30DoXe8/edit?usp=sharing"",""สุราษฎร์ธานี!J121"")"),1.0)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IFERROR(__xludf.DUMMYFUNCTION("IMPORTRANGE(""https://docs.google.com/spreadsheets/d/1IYY_tgx_IHuhSq3AJ5eI5OnqOPBNLWSHKh2a30DoXe8/edit?usp=sharing"",""สุราษฎร์ธานี!J122"")"),1.0)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IFERROR(__xludf.DUMMYFUNCTION("IMPORTRANGE(""https://docs.google.com/spreadsheets/d/1IYY_tgx_IHuhSq3AJ5eI5OnqOPBNLWSHKh2a30DoXe8/edit?usp=sharing"",""สุราษฎร์ธานี!I124"")"),10000.0)</f>
        <v>10000</v>
      </c>
      <c r="J199" s="223">
        <f>IFERROR(__xludf.DUMMYFUNCTION("IMPORTRANGE(""https://docs.google.com/spreadsheets/d/1IYY_tgx_IHuhSq3AJ5eI5OnqOPBNLWSHKh2a30DoXe8/edit?usp=sharing"",""สุราษฎร์ธานี!J124"")"),10000.0)</f>
        <v>10000</v>
      </c>
      <c r="K199" s="196">
        <f t="shared" ref="K199:K201" si="71">IF(I199&gt;0,J199*100/I199,0)</f>
        <v>100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IFERROR(__xludf.DUMMYFUNCTION("IMPORTRANGE(""https://docs.google.com/spreadsheets/d/1IYY_tgx_IHuhSq3AJ5eI5OnqOPBNLWSHKh2a30DoXe8/edit?usp=sharing"",""สุราษฎร์ธานี!I125"")"),10000.0)</f>
        <v>10000</v>
      </c>
      <c r="J200" s="223">
        <f>IFERROR(__xludf.DUMMYFUNCTION("IMPORTRANGE(""https://docs.google.com/spreadsheets/d/1IYY_tgx_IHuhSq3AJ5eI5OnqOPBNLWSHKh2a30DoXe8/edit?usp=sharing"",""สุราษฎร์ธานี!J125"")"),0.0)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IFERROR(__xludf.DUMMYFUNCTION("IMPORTRANGE(""https://docs.google.com/spreadsheets/d/1IYY_tgx_IHuhSq3AJ5eI5OnqOPBNLWSHKh2a30DoXe8/edit?usp=sharing"",""สุราษฎร์ธานี!I126"")"),0.0)</f>
        <v>0</v>
      </c>
      <c r="J201" s="223">
        <f>IFERROR(__xludf.DUMMYFUNCTION("IMPORTRANGE(""https://docs.google.com/spreadsheets/d/1IYY_tgx_IHuhSq3AJ5eI5OnqOPBNLWSHKh2a30DoXe8/edit?usp=sharing"",""สุราษฎร์ธานี!J126"")"),0.0)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IFERROR(__xludf.DUMMYFUNCTION("IMPORTRANGE(""https://docs.google.com/spreadsheets/d/1IYY_tgx_IHuhSq3AJ5eI5OnqOPBNLWSHKh2a30DoXe8/edit?usp=sharing"",""สุราษฎร์ธานี!J127"")"),0.0)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IFERROR(__xludf.DUMMYFUNCTION("IMPORTRANGE(""https://docs.google.com/spreadsheets/d/1IYY_tgx_IHuhSq3AJ5eI5OnqOPBNLWSHKh2a30DoXe8/edit?usp=sharing"",""สุราษฎร์ธานี!J128"")"),0.0)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IFERROR(__xludf.DUMMYFUNCTION("IMPORTRANGE(""https://docs.google.com/spreadsheets/d/1IYY_tgx_IHuhSq3AJ5eI5OnqOPBNLWSHKh2a30DoXe8/edit?usp=sharing"",""สุราษฎร์ธานี!I129"")"),0.0)</f>
        <v>0</v>
      </c>
      <c r="J204" s="317">
        <f>IFERROR(__xludf.DUMMYFUNCTION("IMPORTRANGE(""https://docs.google.com/spreadsheets/d/1IYY_tgx_IHuhSq3AJ5eI5OnqOPBNLWSHKh2a30DoXe8/edit?usp=sharing"",""สุราษฎร์ธานี!J129"")"),0.0)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IFERROR(__xludf.DUMMYFUNCTION("IMPORTRANGE(""https://docs.google.com/spreadsheets/d/1IYY_tgx_IHuhSq3AJ5eI5OnqOPBNLWSHKh2a30DoXe8/edit?usp=sharing"",""สุราษฎร์ธานี!J134"")"),0.0)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IFERROR(__xludf.DUMMYFUNCTION("IMPORTRANGE(""https://docs.google.com/spreadsheets/d/1IYY_tgx_IHuhSq3AJ5eI5OnqOPBNLWSHKh2a30DoXe8/edit?usp=sharing"",""สุราษฎร์ธานี!J135"")"),0.0)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IFERROR(__xludf.DUMMYFUNCTION("IMPORTRANGE(""https://docs.google.com/spreadsheets/d/1IYY_tgx_IHuhSq3AJ5eI5OnqOPBNLWSHKh2a30DoXe8/edit?usp=sharing"",""สุราษฎร์ธานี!J136"")"),0.0)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IFERROR(__xludf.DUMMYFUNCTION("IMPORTRANGE(""https://docs.google.com/spreadsheets/d/1IYY_tgx_IHuhSq3AJ5eI5OnqOPBNLWSHKh2a30DoXe8/edit?usp=sharing"",""สุราษฎร์ธานี!J137"")"),0.0)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IFERROR(__xludf.DUMMYFUNCTION("IMPORTRANGE(""https://docs.google.com/spreadsheets/d/1IYY_tgx_IHuhSq3AJ5eI5OnqOPBNLWSHKh2a30DoXe8/edit?usp=sharing"",""สุราษฎร์ธานี!I138"")"),0.0)</f>
        <v>0</v>
      </c>
      <c r="J213" s="238">
        <f>IFERROR(__xludf.DUMMYFUNCTION("IMPORTRANGE(""https://docs.google.com/spreadsheets/d/1IYY_tgx_IHuhSq3AJ5eI5OnqOPBNLWSHKh2a30DoXe8/edit?usp=sharing"",""สุราษฎร์ธานี!J138"")"),0.0)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IFERROR(__xludf.DUMMYFUNCTION("IMPORTRANGE(""https://docs.google.com/spreadsheets/d/1IYY_tgx_IHuhSq3AJ5eI5OnqOPBNLWSHKh2a30DoXe8/edit?usp=sharing"",""สุราษฎร์ธานี!I140"")"),0.0)</f>
        <v>0</v>
      </c>
      <c r="J215" s="238">
        <f>IFERROR(__xludf.DUMMYFUNCTION("IMPORTRANGE(""https://docs.google.com/spreadsheets/d/1IYY_tgx_IHuhSq3AJ5eI5OnqOPBNLWSHKh2a30DoXe8/edit?usp=sharing"",""สุราษฎร์ธานี!J140"")"),0.0)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IFERROR(__xludf.DUMMYFUNCTION("IMPORTRANGE(""https://docs.google.com/spreadsheets/d/1IYY_tgx_IHuhSq3AJ5eI5OnqOPBNLWSHKh2a30DoXe8/edit?usp=sharing"",""สุราษฎร์ธานี!I141"")"),0.0)</f>
        <v>0</v>
      </c>
      <c r="J216" s="238">
        <f>IFERROR(__xludf.DUMMYFUNCTION("IMPORTRANGE(""https://docs.google.com/spreadsheets/d/1IYY_tgx_IHuhSq3AJ5eI5OnqOPBNLWSHKh2a30DoXe8/edit?usp=sharing"",""สุราษฎร์ธานี!J141"")"),0.0)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IFERROR(__xludf.DUMMYFUNCTION("IMPORTRANGE(""https://docs.google.com/spreadsheets/d/1IYY_tgx_IHuhSq3AJ5eI5OnqOPBNLWSHKh2a30DoXe8/edit?usp=sharing"",""สุราษฎร์ธานี!J142"")"),0.0)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IFERROR(__xludf.DUMMYFUNCTION("IMPORTRANGE(""https://docs.google.com/spreadsheets/d/1IYY_tgx_IHuhSq3AJ5eI5OnqOPBNLWSHKh2a30DoXe8/edit?usp=sharing"",""สุราษฎร์ธานี!J143"")"),0.0)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IFERROR(__xludf.DUMMYFUNCTION("IMPORTRANGE(""https://docs.google.com/spreadsheets/d/1IYY_tgx_IHuhSq3AJ5eI5OnqOPBNLWSHKh2a30DoXe8/edit?usp=sharing"",""สุราษฎร์ธานี!I144"")"),14.0)</f>
        <v>14</v>
      </c>
      <c r="J219" s="301">
        <f>IFERROR(__xludf.DUMMYFUNCTION("IMPORTRANGE(""https://docs.google.com/spreadsheets/d/1IYY_tgx_IHuhSq3AJ5eI5OnqOPBNLWSHKh2a30DoXe8/edit?usp=sharing"",""สุราษฎร์ธานี!J144"")"),14.0)</f>
        <v>14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20210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20210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IFERROR(__xludf.DUMMYFUNCTION("IMPORTRANGE(""https://docs.google.com/spreadsheets/d/1Yj_ptqi66GCucihVvJfMjLAmec39IyEx_6qawtMGysU/edit?usp=sharing"",""สบก!BS94"")"),20210.0)</f>
        <v>20210</v>
      </c>
      <c r="N224" s="202">
        <f>IFERROR(__xludf.DUMMYFUNCTION("IMPORTRANGE(""https://docs.google.com/spreadsheets/d/1Yj_ptqi66GCucihVvJfMjLAmec39IyEx_6qawtMGysU/edit?usp=sharing"",""สบก!BT94"")"),20210.0)</f>
        <v>20210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IFERROR(__xludf.DUMMYFUNCTION("IMPORTRANGE(""https://docs.google.com/spreadsheets/d/1Yj_ptqi66GCucihVvJfMjLAmec39IyEx_6qawtMGysU/edit?usp=sharing"",""สบก!BO94"")"),0.0)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IFERROR(__xludf.DUMMYFUNCTION("IMPORTRANGE(""https://docs.google.com/spreadsheets/d/1Yj_ptqi66GCucihVvJfMjLAmec39IyEx_6qawtMGysU/edit?usp=sharing"",""สบก!BP94"")"),20210.0)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IFERROR(__xludf.DUMMYFUNCTION("IMPORTRANGE(""https://docs.google.com/spreadsheets/d/1Yj_ptqi66GCucihVvJfMjLAmec39IyEx_6qawtMGysU/edit?usp=sharing"",""สบก!BQ94"")"),0.0)</f>
        <v>0</v>
      </c>
      <c r="M228" s="125"/>
      <c r="N228" s="115">
        <f>IFERROR(__xludf.DUMMYFUNCTION("IMPORTRANGE(""https://docs.google.com/spreadsheets/d/1Yj_ptqi66GCucihVvJfMjLAmec39IyEx_6qawtMGysU/edit?usp=sharing"",""สบก!BU94"")"),0.0)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IFERROR(__xludf.DUMMYFUNCTION("IMPORTRANGE(""https://docs.google.com/spreadsheets/d/1IYY_tgx_IHuhSq3AJ5eI5OnqOPBNLWSHKh2a30DoXe8/edit?usp=sharing"",""สุราษฎร์ธานี!I149"")"),14.0)</f>
        <v>14</v>
      </c>
      <c r="J229" s="301">
        <f>IFERROR(__xludf.DUMMYFUNCTION("IMPORTRANGE(""https://docs.google.com/spreadsheets/d/1IYY_tgx_IHuhSq3AJ5eI5OnqOPBNLWSHKh2a30DoXe8/edit?usp=sharing"",""สุราษฎร์ธานี!J149"")"),14.0)</f>
        <v>14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IFERROR(__xludf.DUMMYFUNCTION("IMPORTRANGE(""https://docs.google.com/spreadsheets/d/1IYY_tgx_IHuhSq3AJ5eI5OnqOPBNLWSHKh2a30DoXe8/edit?usp=sharing"",""สุราษฎร์ธานี!J151"")"),0.0)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IFERROR(__xludf.DUMMYFUNCTION("IMPORTRANGE(""https://docs.google.com/spreadsheets/d/1IYY_tgx_IHuhSq3AJ5eI5OnqOPBNLWSHKh2a30DoXe8/edit?usp=sharing"",""สุราษฎร์ธานี!J152"")"),1.0)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IFERROR(__xludf.DUMMYFUNCTION("IMPORTRANGE(""https://docs.google.com/spreadsheets/d/1IYY_tgx_IHuhSq3AJ5eI5OnqOPBNLWSHKh2a30DoXe8/edit?usp=sharing"",""สุราษฎร์ธานี!J153"")"),1.0)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IFERROR(__xludf.DUMMYFUNCTION("IMPORTRANGE(""https://docs.google.com/spreadsheets/d/1IYY_tgx_IHuhSq3AJ5eI5OnqOPBNLWSHKh2a30DoXe8/edit?usp=sharing"",""สุราษฎร์ธานี!J154"")"),1.0)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IFERROR(__xludf.DUMMYFUNCTION("IMPORTRANGE(""https://docs.google.com/spreadsheets/d/1IYY_tgx_IHuhSq3AJ5eI5OnqOPBNLWSHKh2a30DoXe8/edit?usp=sharing"",""สุราษฎร์ธานี!I155"")"),14.0)</f>
        <v>14</v>
      </c>
      <c r="J235" s="223">
        <f>IFERROR(__xludf.DUMMYFUNCTION("IMPORTRANGE(""https://docs.google.com/spreadsheets/d/1IYY_tgx_IHuhSq3AJ5eI5OnqOPBNLWSHKh2a30DoXe8/edit?usp=sharing"",""สุราษฎร์ธานี!J155"")"),14.0)</f>
        <v>14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IFERROR(__xludf.DUMMYFUNCTION("IMPORTRANGE(""https://docs.google.com/spreadsheets/d/1IYY_tgx_IHuhSq3AJ5eI5OnqOPBNLWSHKh2a30DoXe8/edit?usp=sharing"",""สุราษฎร์ธานี!J156"")"),0.0)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IFERROR(__xludf.DUMMYFUNCTION("IMPORTRANGE(""https://docs.google.com/spreadsheets/d/1IYY_tgx_IHuhSq3AJ5eI5OnqOPBNLWSHKh2a30DoXe8/edit?usp=sharing"",""สุราษฎร์ธานี!J157"")"),0.0)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IFERROR(__xludf.DUMMYFUNCTION("IMPORTRANGE(""https://docs.google.com/spreadsheets/d/1IYY_tgx_IHuhSq3AJ5eI5OnqOPBNLWSHKh2a30DoXe8/edit?usp=sharing"",""สุราษฎร์ธานี!I158"")"),0.0)</f>
        <v>0</v>
      </c>
      <c r="J238" s="301">
        <f>IFERROR(__xludf.DUMMYFUNCTION("IMPORTRANGE(""https://docs.google.com/spreadsheets/d/1IYY_tgx_IHuhSq3AJ5eI5OnqOPBNLWSHKh2a30DoXe8/edit?usp=sharing"",""สุราษฎร์ธานี!J158"")"),0.0)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IFERROR(__xludf.DUMMYFUNCTION("IMPORTRANGE(""https://docs.google.com/spreadsheets/d/1IYY_tgx_IHuhSq3AJ5eI5OnqOPBNLWSHKh2a30DoXe8/edit?usp=sharing"",""สุราษฎร์ธานี!J159"")"),"")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IFERROR(__xludf.DUMMYFUNCTION("IMPORTRANGE(""https://docs.google.com/spreadsheets/d/1IYY_tgx_IHuhSq3AJ5eI5OnqOPBNLWSHKh2a30DoXe8/edit?usp=sharing"",""สุราษฎร์ธานี!J161"")"),0.0)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IFERROR(__xludf.DUMMYFUNCTION("IMPORTRANGE(""https://docs.google.com/spreadsheets/d/1IYY_tgx_IHuhSq3AJ5eI5OnqOPBNLWSHKh2a30DoXe8/edit?usp=sharing"",""สุราษฎร์ธานี!J162"")"),0.0)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IFERROR(__xludf.DUMMYFUNCTION("IMPORTRANGE(""https://docs.google.com/spreadsheets/d/1IYY_tgx_IHuhSq3AJ5eI5OnqOPBNLWSHKh2a30DoXe8/edit?usp=sharing"",""สุราษฎร์ธานี!J163"")"),0.0)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IFERROR(__xludf.DUMMYFUNCTION("IMPORTRANGE(""https://docs.google.com/spreadsheets/d/1IYY_tgx_IHuhSq3AJ5eI5OnqOPBNLWSHKh2a30DoXe8/edit?usp=sharing"",""สุราษฎร์ธานี!I164"")"),0.0)</f>
        <v>0</v>
      </c>
      <c r="J244" s="222">
        <f>IFERROR(__xludf.DUMMYFUNCTION("IMPORTRANGE(""https://docs.google.com/spreadsheets/d/1IYY_tgx_IHuhSq3AJ5eI5OnqOPBNLWSHKh2a30DoXe8/edit?usp=sharing"",""สุราษฎร์ธานี!J164"")"),0.0)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IFERROR(__xludf.DUMMYFUNCTION("IMPORTRANGE(""https://docs.google.com/spreadsheets/d/1IYY_tgx_IHuhSq3AJ5eI5OnqOPBNLWSHKh2a30DoXe8/edit?usp=sharing"",""สุราษฎร์ธานี!J165"")"),0.0)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IFERROR(__xludf.DUMMYFUNCTION("IMPORTRANGE(""https://docs.google.com/spreadsheets/d/1IYY_tgx_IHuhSq3AJ5eI5OnqOPBNLWSHKh2a30DoXe8/edit?usp=sharing"",""สุราษฎร์ธานี!J166"")"),0.0)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IFERROR(__xludf.DUMMYFUNCTION("IMPORTRANGE(""https://docs.google.com/spreadsheets/d/1IYY_tgx_IHuhSq3AJ5eI5OnqOPBNLWSHKh2a30DoXe8/edit?usp=sharing"",""สุราษฎร์ธานี!I169"")"),25.0)</f>
        <v>25</v>
      </c>
      <c r="J249" s="349">
        <f>IFERROR(__xludf.DUMMYFUNCTION("IMPORTRANGE(""https://docs.google.com/spreadsheets/d/1IYY_tgx_IHuhSq3AJ5eI5OnqOPBNLWSHKh2a30DoXe8/edit?usp=sharing"",""สุราษฎร์ธานี!J169"")"),0.0)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89000</v>
      </c>
      <c r="M250" s="183">
        <f t="shared" si="78"/>
        <v>42500</v>
      </c>
      <c r="N250" s="183">
        <f t="shared" si="78"/>
        <v>37375</v>
      </c>
      <c r="O250" s="182">
        <f t="shared" ref="O250:O252" si="80">IF(L250&gt;0,N250*100/L250,0)</f>
        <v>41.99438202</v>
      </c>
      <c r="P250" s="182">
        <f t="shared" ref="P250:P252" si="81">IF(M250&gt;0,N250*100/M250,0)</f>
        <v>87.94117647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89000</v>
      </c>
      <c r="M252" s="188">
        <f t="shared" si="82"/>
        <v>42500</v>
      </c>
      <c r="N252" s="188">
        <f t="shared" si="82"/>
        <v>37375</v>
      </c>
      <c r="O252" s="187">
        <f t="shared" si="80"/>
        <v>41.99438202</v>
      </c>
      <c r="P252" s="187">
        <f t="shared" si="81"/>
        <v>87.94117647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89000</v>
      </c>
      <c r="M254" s="201">
        <f>IFERROR(__xludf.DUMMYFUNCTION("IMPORTRANGE(""https://docs.google.com/spreadsheets/d/1Yj_ptqi66GCucihVvJfMjLAmec39IyEx_6qawtMGysU/edit?usp=sharing"",""สบก!CB94"")"),42500.0)</f>
        <v>42500</v>
      </c>
      <c r="N254" s="202">
        <f>IFERROR(__xludf.DUMMYFUNCTION("IMPORTRANGE(""https://docs.google.com/spreadsheets/d/1Yj_ptqi66GCucihVvJfMjLAmec39IyEx_6qawtMGysU/edit?usp=sharing"",""สบก!CC94"")"),37375.0)</f>
        <v>37375</v>
      </c>
      <c r="O254" s="203">
        <f>IF(L254&gt;0,N254*100/L254,0)</f>
        <v>41.99438202</v>
      </c>
      <c r="P254" s="203">
        <f>IF(M254&gt;0,N254*100/M254,0)</f>
        <v>87.94117647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IFERROR(__xludf.DUMMYFUNCTION("IMPORTRANGE(""https://docs.google.com/spreadsheets/d/1Yj_ptqi66GCucihVvJfMjLAmec39IyEx_6qawtMGysU/edit?usp=sharing"",""สบก!BX94"")"),0.0)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IFERROR(__xludf.DUMMYFUNCTION("IMPORTRANGE(""https://docs.google.com/spreadsheets/d/1Yj_ptqi66GCucihVvJfMjLAmec39IyEx_6qawtMGysU/edit?usp=sharing"",""สบก!BY94"")"),89000.0)</f>
        <v>89000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IFERROR(__xludf.DUMMYFUNCTION("IMPORTRANGE(""https://docs.google.com/spreadsheets/d/1Yj_ptqi66GCucihVvJfMjLAmec39IyEx_6qawtMGysU/edit?usp=sharing"",""สบก!BZ94"")"),0.0)</f>
        <v>0</v>
      </c>
      <c r="M258" s="125"/>
      <c r="N258" s="115">
        <f>IFERROR(__xludf.DUMMYFUNCTION("IMPORTRANGE(""https://docs.google.com/spreadsheets/d/1Yj_ptqi66GCucihVvJfMjLAmec39IyEx_6qawtMGysU/edit?usp=sharing"",""สบก!CD94"")"),0.0)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IFERROR(__xludf.DUMMYFUNCTION("IMPORTRANGE(""https://docs.google.com/spreadsheets/d/1IYY_tgx_IHuhSq3AJ5eI5OnqOPBNLWSHKh2a30DoXe8/edit?usp=sharing"",""สุราษฎร์ธานี!J175"")"),0.0)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IFERROR(__xludf.DUMMYFUNCTION("IMPORTRANGE(""https://docs.google.com/spreadsheets/d/1IYY_tgx_IHuhSq3AJ5eI5OnqOPBNLWSHKh2a30DoXe8/edit?usp=sharing"",""สุราษฎร์ธานี!J176"")"),1.0)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IFERROR(__xludf.DUMMYFUNCTION("IMPORTRANGE(""https://docs.google.com/spreadsheets/d/1IYY_tgx_IHuhSq3AJ5eI5OnqOPBNLWSHKh2a30DoXe8/edit?usp=sharing"",""สุราษฎร์ธานี!J177"")"),1.0)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IFERROR(__xludf.DUMMYFUNCTION("IMPORTRANGE(""https://docs.google.com/spreadsheets/d/1IYY_tgx_IHuhSq3AJ5eI5OnqOPBNLWSHKh2a30DoXe8/edit?usp=sharing"",""สุราษฎร์ธานี!J178"")"),1.0)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IFERROR(__xludf.DUMMYFUNCTION("IMPORTRANGE(""https://docs.google.com/spreadsheets/d/1IYY_tgx_IHuhSq3AJ5eI5OnqOPBNLWSHKh2a30DoXe8/edit?usp=sharing"",""สุราษฎร์ธานี!I179"")"),1.0)</f>
        <v>1</v>
      </c>
      <c r="J264" s="223">
        <f>IFERROR(__xludf.DUMMYFUNCTION("IMPORTRANGE(""https://docs.google.com/spreadsheets/d/1IYY_tgx_IHuhSq3AJ5eI5OnqOPBNLWSHKh2a30DoXe8/edit?usp=sharing"",""สุราษฎร์ธานี!J179"")"),0.0)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IFERROR(__xludf.DUMMYFUNCTION("IMPORTRANGE(""https://docs.google.com/spreadsheets/d/1IYY_tgx_IHuhSq3AJ5eI5OnqOPBNLWSHKh2a30DoXe8/edit?usp=sharing"",""สุราษฎร์ธานี!I180"")"),25.0)</f>
        <v>25</v>
      </c>
      <c r="J265" s="223">
        <f>IFERROR(__xludf.DUMMYFUNCTION("IMPORTRANGE(""https://docs.google.com/spreadsheets/d/1IYY_tgx_IHuhSq3AJ5eI5OnqOPBNLWSHKh2a30DoXe8/edit?usp=sharing"",""สุราษฎร์ธานี!J180"")"),0.0)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IFERROR(__xludf.DUMMYFUNCTION("IMPORTRANGE(""https://docs.google.com/spreadsheets/d/1IYY_tgx_IHuhSq3AJ5eI5OnqOPBNLWSHKh2a30DoXe8/edit?usp=sharing"",""สุราษฎร์ธานี!I181"")"),25.0)</f>
        <v>25</v>
      </c>
      <c r="J266" s="223">
        <f>IFERROR(__xludf.DUMMYFUNCTION("IMPORTRANGE(""https://docs.google.com/spreadsheets/d/1IYY_tgx_IHuhSq3AJ5eI5OnqOPBNLWSHKh2a30DoXe8/edit?usp=sharing"",""สุราษฎร์ธานี!J181"")"),0.0)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IFERROR(__xludf.DUMMYFUNCTION("IMPORTRANGE(""https://docs.google.com/spreadsheets/d/1IYY_tgx_IHuhSq3AJ5eI5OnqOPBNLWSHKh2a30DoXe8/edit?usp=sharing"",""สุราษฎร์ธานี!I182"")"),1.0)</f>
        <v>1</v>
      </c>
      <c r="J267" s="223">
        <f>IFERROR(__xludf.DUMMYFUNCTION("IMPORTRANGE(""https://docs.google.com/spreadsheets/d/1IYY_tgx_IHuhSq3AJ5eI5OnqOPBNLWSHKh2a30DoXe8/edit?usp=sharing"",""สุราษฎร์ธานี!J182"")"),0.0)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IFERROR(__xludf.DUMMYFUNCTION("IMPORTRANGE(""https://docs.google.com/spreadsheets/d/1IYY_tgx_IHuhSq3AJ5eI5OnqOPBNLWSHKh2a30DoXe8/edit?usp=sharing"",""สุราษฎร์ธานี!J183"")"),0.0)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IFERROR(__xludf.DUMMYFUNCTION("IMPORTRANGE(""https://docs.google.com/spreadsheets/d/1IYY_tgx_IHuhSq3AJ5eI5OnqOPBNLWSHKh2a30DoXe8/edit?usp=sharing"",""สุราษฎร์ธานี!J184"")"),0.0)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IFERROR(__xludf.DUMMYFUNCTION("IMPORTRANGE(""https://docs.google.com/spreadsheets/d/1IYY_tgx_IHuhSq3AJ5eI5OnqOPBNLWSHKh2a30DoXe8/edit?usp=sharing"",""สุราษฎร์ธานี!I185"")"),20.0)</f>
        <v>20</v>
      </c>
      <c r="J270" s="349">
        <f>IFERROR(__xludf.DUMMYFUNCTION("IMPORTRANGE(""https://docs.google.com/spreadsheets/d/1IYY_tgx_IHuhSq3AJ5eI5OnqOPBNLWSHKh2a30DoXe8/edit?usp=sharing"",""สุราษฎร์ธานี!J185"")"),0.0)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447600</v>
      </c>
      <c r="M271" s="183">
        <f t="shared" si="84"/>
        <v>225000</v>
      </c>
      <c r="N271" s="183">
        <f t="shared" si="84"/>
        <v>140560</v>
      </c>
      <c r="O271" s="182">
        <f t="shared" ref="O271:O273" si="86">IF(L271&gt;0,N271*100/L271,0)</f>
        <v>31.40303843</v>
      </c>
      <c r="P271" s="182">
        <f t="shared" ref="P271:P273" si="87">IF(M271&gt;0,N271*100/M271,0)</f>
        <v>62.47111111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447600</v>
      </c>
      <c r="M273" s="188">
        <f t="shared" si="88"/>
        <v>225000</v>
      </c>
      <c r="N273" s="188">
        <f t="shared" si="88"/>
        <v>140560</v>
      </c>
      <c r="O273" s="187">
        <f t="shared" si="86"/>
        <v>31.40303843</v>
      </c>
      <c r="P273" s="187">
        <f t="shared" si="87"/>
        <v>62.47111111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447600</v>
      </c>
      <c r="M275" s="201">
        <f>IFERROR(__xludf.DUMMYFUNCTION("IMPORTRANGE(""https://docs.google.com/spreadsheets/d/1Yj_ptqi66GCucihVvJfMjLAmec39IyEx_6qawtMGysU/edit?usp=sharing"",""สบก!CK94"")"),225000.0)</f>
        <v>225000</v>
      </c>
      <c r="N275" s="202">
        <f>IFERROR(__xludf.DUMMYFUNCTION("IMPORTRANGE(""https://docs.google.com/spreadsheets/d/1Yj_ptqi66GCucihVvJfMjLAmec39IyEx_6qawtMGysU/edit?usp=sharing"",""สบก!CL94"")"),140560.0)</f>
        <v>140560</v>
      </c>
      <c r="O275" s="203">
        <f>IF(L275&gt;0,N275*100/L275,0)</f>
        <v>31.40303843</v>
      </c>
      <c r="P275" s="203">
        <f>IF(M275&gt;0,N275*100/M275,0)</f>
        <v>62.47111111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IFERROR(__xludf.DUMMYFUNCTION("IMPORTRANGE(""https://docs.google.com/spreadsheets/d/1Yj_ptqi66GCucihVvJfMjLAmec39IyEx_6qawtMGysU/edit?usp=sharing"",""สบก!CG94"")"),264000.0)</f>
        <v>264000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IFERROR(__xludf.DUMMYFUNCTION("IMPORTRANGE(""https://docs.google.com/spreadsheets/d/1Yj_ptqi66GCucihVvJfMjLAmec39IyEx_6qawtMGysU/edit?usp=sharing"",""สบก!CH94"")"),183600.0)</f>
        <v>183600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IFERROR(__xludf.DUMMYFUNCTION("IMPORTRANGE(""https://docs.google.com/spreadsheets/d/1Yj_ptqi66GCucihVvJfMjLAmec39IyEx_6qawtMGysU/edit?usp=sharing"",""สบก!CI94"")"),0.0)</f>
        <v>0</v>
      </c>
      <c r="M279" s="125"/>
      <c r="N279" s="115">
        <f>IFERROR(__xludf.DUMMYFUNCTION("IMPORTRANGE(""https://docs.google.com/spreadsheets/d/1Yj_ptqi66GCucihVvJfMjLAmec39IyEx_6qawtMGysU/edit?usp=sharing"",""สบก!CM94"")"),0.0)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IFERROR(__xludf.DUMMYFUNCTION("IMPORTRANGE(""https://docs.google.com/spreadsheets/d/1IYY_tgx_IHuhSq3AJ5eI5OnqOPBNLWSHKh2a30DoXe8/edit?usp=sharing"",""สุราษฎร์ธานี!J191"")"),0.0)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IFERROR(__xludf.DUMMYFUNCTION("IMPORTRANGE(""https://docs.google.com/spreadsheets/d/1IYY_tgx_IHuhSq3AJ5eI5OnqOPBNLWSHKh2a30DoXe8/edit?usp=sharing"",""สุราษฎร์ธานี!J192"")"),1.0)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IFERROR(__xludf.DUMMYFUNCTION("IMPORTRANGE(""https://docs.google.com/spreadsheets/d/1IYY_tgx_IHuhSq3AJ5eI5OnqOPBNLWSHKh2a30DoXe8/edit?usp=sharing"",""สุราษฎร์ธานี!J193"")"),1.0)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IFERROR(__xludf.DUMMYFUNCTION("IMPORTRANGE(""https://docs.google.com/spreadsheets/d/1IYY_tgx_IHuhSq3AJ5eI5OnqOPBNLWSHKh2a30DoXe8/edit?usp=sharing"",""สุราษฎร์ธานี!J194"")"),1.0)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IFERROR(__xludf.DUMMYFUNCTION("IMPORTRANGE(""https://docs.google.com/spreadsheets/d/1IYY_tgx_IHuhSq3AJ5eI5OnqOPBNLWSHKh2a30DoXe8/edit?usp=sharing"",""สุราษฎร์ธานี!I195"")"),20.0)</f>
        <v>20</v>
      </c>
      <c r="J285" s="223">
        <f>IFERROR(__xludf.DUMMYFUNCTION("IMPORTRANGE(""https://docs.google.com/spreadsheets/d/1IYY_tgx_IHuhSq3AJ5eI5OnqOPBNLWSHKh2a30DoXe8/edit?usp=sharing"",""สุราษฎร์ธานี!J195"")"),0.0)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IFERROR(__xludf.DUMMYFUNCTION("IMPORTRANGE(""https://docs.google.com/spreadsheets/d/1IYY_tgx_IHuhSq3AJ5eI5OnqOPBNLWSHKh2a30DoXe8/edit?usp=sharing"",""สุราษฎร์ธานี!J196"")"),0.0)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IFERROR(__xludf.DUMMYFUNCTION("IMPORTRANGE(""https://docs.google.com/spreadsheets/d/1IYY_tgx_IHuhSq3AJ5eI5OnqOPBNLWSHKh2a30DoXe8/edit?usp=sharing"",""สุราษฎร์ธานี!J197"")"),0.0)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IFERROR(__xludf.DUMMYFUNCTION("IMPORTRANGE(""https://docs.google.com/spreadsheets/d/1IYY_tgx_IHuhSq3AJ5eI5OnqOPBNLWSHKh2a30DoXe8/edit?usp=sharing"",""สุราษฎร์ธานี!I199"")"),15.0)</f>
        <v>15</v>
      </c>
      <c r="J289" s="349">
        <f>IFERROR(__xludf.DUMMYFUNCTION("IMPORTRANGE(""https://docs.google.com/spreadsheets/d/1IYY_tgx_IHuhSq3AJ5eI5OnqOPBNLWSHKh2a30DoXe8/edit?usp=sharing"",""สุราษฎร์ธานี!J199"")"),15.0)</f>
        <v>15</v>
      </c>
      <c r="K289" s="350">
        <f>IF(I289&gt;0,J289*100/I289,0)</f>
        <v>100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84560</v>
      </c>
      <c r="M290" s="183">
        <f t="shared" si="89"/>
        <v>29980</v>
      </c>
      <c r="N290" s="183">
        <f t="shared" si="89"/>
        <v>40470</v>
      </c>
      <c r="O290" s="182">
        <f t="shared" ref="O290:O292" si="91">IF(L290&gt;0,N290*100/L290,0)</f>
        <v>47.85950804</v>
      </c>
      <c r="P290" s="182">
        <f t="shared" ref="P290:P292" si="92">IF(M290&gt;0,N290*100/M290,0)</f>
        <v>134.9899933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84560</v>
      </c>
      <c r="M292" s="188">
        <f t="shared" si="93"/>
        <v>29980</v>
      </c>
      <c r="N292" s="188">
        <f t="shared" si="93"/>
        <v>40470</v>
      </c>
      <c r="O292" s="187">
        <f t="shared" si="91"/>
        <v>47.85950804</v>
      </c>
      <c r="P292" s="187">
        <f t="shared" si="92"/>
        <v>134.9899933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72260</v>
      </c>
      <c r="M294" s="201">
        <f>IFERROR(__xludf.DUMMYFUNCTION("IMPORTRANGE(""https://docs.google.com/spreadsheets/d/1Yj_ptqi66GCucihVvJfMjLAmec39IyEx_6qawtMGysU/edit?usp=sharing"",""สบก!CT94"")"),29980.0)</f>
        <v>29980</v>
      </c>
      <c r="N294" s="202">
        <f>IFERROR(__xludf.DUMMYFUNCTION("IMPORTRANGE(""https://docs.google.com/spreadsheets/d/1Yj_ptqi66GCucihVvJfMjLAmec39IyEx_6qawtMGysU/edit?usp=sharing"",""สบก!CU94"")"),28470.0)</f>
        <v>28470</v>
      </c>
      <c r="O294" s="203">
        <f>IF(L294&gt;0,N294*100/L294,0)</f>
        <v>39.39939109</v>
      </c>
      <c r="P294" s="203">
        <f>IF(M294&gt;0,N294*100/M294,0)</f>
        <v>94.96330887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IFERROR(__xludf.DUMMYFUNCTION("IMPORTRANGE(""https://docs.google.com/spreadsheets/d/1Yj_ptqi66GCucihVvJfMjLAmec39IyEx_6qawtMGysU/edit?usp=sharing"",""สบก!CP94"")"),0.0)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IFERROR(__xludf.DUMMYFUNCTION("IMPORTRANGE(""https://docs.google.com/spreadsheets/d/1Yj_ptqi66GCucihVvJfMjLAmec39IyEx_6qawtMGysU/edit?usp=sharing"",""สบก!CQ94"")"),72260.0)</f>
        <v>72260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IFERROR(__xludf.DUMMYFUNCTION("IMPORTRANGE(""https://docs.google.com/spreadsheets/d/1Yj_ptqi66GCucihVvJfMjLAmec39IyEx_6qawtMGysU/edit?usp=sharing"",""สบก!CR94"")"),12300.0)</f>
        <v>12300</v>
      </c>
      <c r="M298" s="125"/>
      <c r="N298" s="115">
        <f>IFERROR(__xludf.DUMMYFUNCTION("IMPORTRANGE(""https://docs.google.com/spreadsheets/d/1Yj_ptqi66GCucihVvJfMjLAmec39IyEx_6qawtMGysU/edit?usp=sharing"",""สบก!CV94"")"),12000.0)</f>
        <v>12000</v>
      </c>
      <c r="O298" s="125">
        <f>IF(L298&gt;0,N298*100/L298,0)</f>
        <v>97.56097561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IFERROR(__xludf.DUMMYFUNCTION("IMPORTRANGE(""https://docs.google.com/spreadsheets/d/1IYY_tgx_IHuhSq3AJ5eI5OnqOPBNLWSHKh2a30DoXe8/edit?usp=sharing"",""สุราษฎร์ธานี!J205"")"),0.0)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IFERROR(__xludf.DUMMYFUNCTION("IMPORTRANGE(""https://docs.google.com/spreadsheets/d/1IYY_tgx_IHuhSq3AJ5eI5OnqOPBNLWSHKh2a30DoXe8/edit?usp=sharing"",""สุราษฎร์ธานี!J206"")"),1.0)</f>
        <v>1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IFERROR(__xludf.DUMMYFUNCTION("IMPORTRANGE(""https://docs.google.com/spreadsheets/d/1IYY_tgx_IHuhSq3AJ5eI5OnqOPBNLWSHKh2a30DoXe8/edit?usp=sharing"",""สุราษฎร์ธานี!J207"")"),1.0)</f>
        <v>1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IFERROR(__xludf.DUMMYFUNCTION("IMPORTRANGE(""https://docs.google.com/spreadsheets/d/1IYY_tgx_IHuhSq3AJ5eI5OnqOPBNLWSHKh2a30DoXe8/edit?usp=sharing"",""สุราษฎร์ธานี!J208"")"),1.0)</f>
        <v>1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IFERROR(__xludf.DUMMYFUNCTION("IMPORTRANGE(""https://docs.google.com/spreadsheets/d/1IYY_tgx_IHuhSq3AJ5eI5OnqOPBNLWSHKh2a30DoXe8/edit?usp=sharing"",""สุราษฎร์ธานี!I209"")"),15.0)</f>
        <v>15</v>
      </c>
      <c r="J304" s="238">
        <f>IFERROR(__xludf.DUMMYFUNCTION("IMPORTRANGE(""https://docs.google.com/spreadsheets/d/1IYY_tgx_IHuhSq3AJ5eI5OnqOPBNLWSHKh2a30DoXe8/edit?usp=sharing"",""สุราษฎร์ธานี!J209"")"),15.0)</f>
        <v>15</v>
      </c>
      <c r="K304" s="258">
        <f>IF(I304&gt;0,J304*100/I304,0)</f>
        <v>100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IFERROR(__xludf.DUMMYFUNCTION("IMPORTRANGE(""https://docs.google.com/spreadsheets/d/1IYY_tgx_IHuhSq3AJ5eI5OnqOPBNLWSHKh2a30DoXe8/edit?usp=sharing"",""สุราษฎร์ธานี!I211"")"),15.0)</f>
        <v>15</v>
      </c>
      <c r="J306" s="238">
        <f>IFERROR(__xludf.DUMMYFUNCTION("IMPORTRANGE(""https://docs.google.com/spreadsheets/d/1IYY_tgx_IHuhSq3AJ5eI5OnqOPBNLWSHKh2a30DoXe8/edit?usp=sharing"",""สุราษฎร์ธานี!J211"")"),0.0)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IFERROR(__xludf.DUMMYFUNCTION("IMPORTRANGE(""https://docs.google.com/spreadsheets/d/1IYY_tgx_IHuhSq3AJ5eI5OnqOPBNLWSHKh2a30DoXe8/edit?usp=sharing"",""สุราษฎร์ธานี!J212"")"),0.0)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IFERROR(__xludf.DUMMYFUNCTION("IMPORTRANGE(""https://docs.google.com/spreadsheets/d/1IYY_tgx_IHuhSq3AJ5eI5OnqOPBNLWSHKh2a30DoXe8/edit?usp=sharing"",""สุราษฎร์ธานี!J213"")"),0.0)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IFERROR(__xludf.DUMMYFUNCTION("IMPORTRANGE(""https://docs.google.com/spreadsheets/d/1IYY_tgx_IHuhSq3AJ5eI5OnqOPBNLWSHKh2a30DoXe8/edit?usp=sharing"",""สุราษฎร์ธานี!I214"")"),1.0)</f>
        <v>1</v>
      </c>
      <c r="J309" s="366">
        <f>IFERROR(__xludf.DUMMYFUNCTION("IMPORTRANGE(""https://docs.google.com/spreadsheets/d/1IYY_tgx_IHuhSq3AJ5eI5OnqOPBNLWSHKh2a30DoXe8/edit?usp=sharing"",""สุราษฎร์ธานี!J214"")"),0.0)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278600</v>
      </c>
      <c r="M310" s="183">
        <f t="shared" si="94"/>
        <v>139300</v>
      </c>
      <c r="N310" s="183">
        <f t="shared" si="94"/>
        <v>87714</v>
      </c>
      <c r="O310" s="182">
        <f t="shared" ref="O310:O312" si="96">IF(L310&gt;0,N310*100/L310,0)</f>
        <v>31.48384781</v>
      </c>
      <c r="P310" s="182">
        <f t="shared" ref="P310:P312" si="97">IF(M310&gt;0,N310*100/M310,0)</f>
        <v>62.96769562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278600</v>
      </c>
      <c r="M312" s="188">
        <f t="shared" si="98"/>
        <v>139300</v>
      </c>
      <c r="N312" s="188">
        <f t="shared" si="98"/>
        <v>87714</v>
      </c>
      <c r="O312" s="187">
        <f t="shared" si="96"/>
        <v>31.48384781</v>
      </c>
      <c r="P312" s="187">
        <f t="shared" si="97"/>
        <v>62.96769562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278600</v>
      </c>
      <c r="M314" s="201">
        <f>IFERROR(__xludf.DUMMYFUNCTION("IMPORTRANGE(""https://docs.google.com/spreadsheets/d/1Yj_ptqi66GCucihVvJfMjLAmec39IyEx_6qawtMGysU/edit?usp=sharing"",""สบก!DC94"")"),139300.0)</f>
        <v>139300</v>
      </c>
      <c r="N314" s="202">
        <f>IFERROR(__xludf.DUMMYFUNCTION("IMPORTRANGE(""https://docs.google.com/spreadsheets/d/1Yj_ptqi66GCucihVvJfMjLAmec39IyEx_6qawtMGysU/edit?usp=sharing"",""สบก!DD94"")"),87714.0)</f>
        <v>87714</v>
      </c>
      <c r="O314" s="203">
        <f>IF(L314&gt;0,N314*100/L314,0)</f>
        <v>31.48384781</v>
      </c>
      <c r="P314" s="203">
        <f>IF(M314&gt;0,N314*100/M314,0)</f>
        <v>62.96769562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IFERROR(__xludf.DUMMYFUNCTION("IMPORTRANGE(""https://docs.google.com/spreadsheets/d/1Yj_ptqi66GCucihVvJfMjLAmec39IyEx_6qawtMGysU/edit?usp=sharing"",""สบก!CY94"")"),0.0)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IFERROR(__xludf.DUMMYFUNCTION("IMPORTRANGE(""https://docs.google.com/spreadsheets/d/1Yj_ptqi66GCucihVvJfMjLAmec39IyEx_6qawtMGysU/edit?usp=sharing"",""สบก!CZ94"")"),278600.0)</f>
        <v>278600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IFERROR(__xludf.DUMMYFUNCTION("IMPORTRANGE(""https://docs.google.com/spreadsheets/d/1Yj_ptqi66GCucihVvJfMjLAmec39IyEx_6qawtMGysU/edit?usp=sharing"",""สบก!DA94"")"),0.0)</f>
        <v>0</v>
      </c>
      <c r="M318" s="125"/>
      <c r="N318" s="115">
        <f>IFERROR(__xludf.DUMMYFUNCTION("IMPORTRANGE(""https://docs.google.com/spreadsheets/d/1Yj_ptqi66GCucihVvJfMjLAmec39IyEx_6qawtMGysU/edit?usp=sharing"",""สบก!DE94"")"),0.0)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IFERROR(__xludf.DUMMYFUNCTION("IMPORTRANGE(""https://docs.google.com/spreadsheets/d/1IYY_tgx_IHuhSq3AJ5eI5OnqOPBNLWSHKh2a30DoXe8/edit?usp=sharing"",""สุราษฎร์ธานี!J220"")"),0.0)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IFERROR(__xludf.DUMMYFUNCTION("IMPORTRANGE(""https://docs.google.com/spreadsheets/d/1IYY_tgx_IHuhSq3AJ5eI5OnqOPBNLWSHKh2a30DoXe8/edit?usp=sharing"",""สุราษฎร์ธานี!J221"")"),1.0)</f>
        <v>1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IFERROR(__xludf.DUMMYFUNCTION("IMPORTRANGE(""https://docs.google.com/spreadsheets/d/1IYY_tgx_IHuhSq3AJ5eI5OnqOPBNLWSHKh2a30DoXe8/edit?usp=sharing"",""สุราษฎร์ธานี!J222"")"),1.0)</f>
        <v>1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IFERROR(__xludf.DUMMYFUNCTION("IMPORTRANGE(""https://docs.google.com/spreadsheets/d/1IYY_tgx_IHuhSq3AJ5eI5OnqOPBNLWSHKh2a30DoXe8/edit?usp=sharing"",""สุราษฎร์ธานี!J223"")"),1.0)</f>
        <v>1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IFERROR(__xludf.DUMMYFUNCTION("IMPORTRANGE(""https://docs.google.com/spreadsheets/d/1IYY_tgx_IHuhSq3AJ5eI5OnqOPBNLWSHKh2a30DoXe8/edit?usp=sharing"",""สุราษฎร์ธานี!I224"")"),1.0)</f>
        <v>1</v>
      </c>
      <c r="J324" s="238">
        <f>IFERROR(__xludf.DUMMYFUNCTION("IMPORTRANGE(""https://docs.google.com/spreadsheets/d/1IYY_tgx_IHuhSq3AJ5eI5OnqOPBNLWSHKh2a30DoXe8/edit?usp=sharing"",""สุราษฎร์ธานี!J224"")"),0.0)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IFERROR(__xludf.DUMMYFUNCTION("IMPORTRANGE(""https://docs.google.com/spreadsheets/d/1IYY_tgx_IHuhSq3AJ5eI5OnqOPBNLWSHKh2a30DoXe8/edit?usp=sharing"",""สุราษฎร์ธานี!J225"")"),0.0)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IFERROR(__xludf.DUMMYFUNCTION("IMPORTRANGE(""https://docs.google.com/spreadsheets/d/1IYY_tgx_IHuhSq3AJ5eI5OnqOPBNLWSHKh2a30DoXe8/edit?usp=sharing"",""สุราษฎร์ธานี!J226"")"),0.0)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IFERROR(__xludf.DUMMYFUNCTION("IMPORTRANGE(""https://docs.google.com/spreadsheets/d/1IYY_tgx_IHuhSq3AJ5eI5OnqOPBNLWSHKh2a30DoXe8/edit?usp=sharing"",""สุราษฎร์ธานี!I228"")"),550.0)</f>
        <v>550</v>
      </c>
      <c r="J328" s="372">
        <f>IFERROR(__xludf.DUMMYFUNCTION("IMPORTRANGE(""https://docs.google.com/spreadsheets/d/1IYY_tgx_IHuhSq3AJ5eI5OnqOPBNLWSHKh2a30DoXe8/edit?usp=sharing"",""สุราษฎร์ธานี!J228"")"),193.0)</f>
        <v>193</v>
      </c>
      <c r="K328" s="350">
        <f>IF(I328&gt;0,J328*100/I328,0)</f>
        <v>35.09090909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1967210</v>
      </c>
      <c r="M329" s="183">
        <f t="shared" si="99"/>
        <v>997410</v>
      </c>
      <c r="N329" s="183">
        <f t="shared" si="99"/>
        <v>576401</v>
      </c>
      <c r="O329" s="182">
        <f t="shared" ref="O329:O331" si="101">IF(L329&gt;0,N329*100/L329,0)</f>
        <v>29.30043056</v>
      </c>
      <c r="P329" s="182">
        <f t="shared" ref="P329:P331" si="102">IF(M329&gt;0,N329*100/M329,0)</f>
        <v>57.78977552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1967210</v>
      </c>
      <c r="M331" s="188">
        <f t="shared" si="103"/>
        <v>997410</v>
      </c>
      <c r="N331" s="188">
        <f t="shared" si="103"/>
        <v>576401</v>
      </c>
      <c r="O331" s="187">
        <f t="shared" si="101"/>
        <v>29.30043056</v>
      </c>
      <c r="P331" s="187">
        <f t="shared" si="102"/>
        <v>57.78977552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1816010</v>
      </c>
      <c r="M333" s="201">
        <f>IFERROR(__xludf.DUMMYFUNCTION("IMPORTRANGE(""https://docs.google.com/spreadsheets/d/1Yj_ptqi66GCucihVvJfMjLAmec39IyEx_6qawtMGysU/edit?usp=sharing"",""สบก!DL94"")"),997410.0)</f>
        <v>997410</v>
      </c>
      <c r="N333" s="202">
        <f>IFERROR(__xludf.DUMMYFUNCTION("IMPORTRANGE(""https://docs.google.com/spreadsheets/d/1Yj_ptqi66GCucihVvJfMjLAmec39IyEx_6qawtMGysU/edit?usp=sharing"",""สบก!DM94"")"),439601.0)</f>
        <v>439601</v>
      </c>
      <c r="O333" s="203">
        <f>IF(L333&gt;0,N333*100/L333,0)</f>
        <v>24.20697023</v>
      </c>
      <c r="P333" s="203">
        <f>IF(M333&gt;0,N333*100/M333,0)</f>
        <v>44.07425231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IFERROR(__xludf.DUMMYFUNCTION("IMPORTRANGE(""https://docs.google.com/spreadsheets/d/1Yj_ptqi66GCucihVvJfMjLAmec39IyEx_6qawtMGysU/edit?usp=sharing"",""สบก!DH94"")"),923400.0)</f>
        <v>923400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IFERROR(__xludf.DUMMYFUNCTION("IMPORTRANGE(""https://docs.google.com/spreadsheets/d/1Yj_ptqi66GCucihVvJfMjLAmec39IyEx_6qawtMGysU/edit?usp=sharing"",""สบก!DI94"")"),892610.0)</f>
        <v>892610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IFERROR(__xludf.DUMMYFUNCTION("IMPORTRANGE(""https://docs.google.com/spreadsheets/d/1Yj_ptqi66GCucihVvJfMjLAmec39IyEx_6qawtMGysU/edit?usp=sharing"",""สบก!DJ94"")"),151200.0)</f>
        <v>151200</v>
      </c>
      <c r="M337" s="125"/>
      <c r="N337" s="115">
        <f>IFERROR(__xludf.DUMMYFUNCTION("IMPORTRANGE(""https://docs.google.com/spreadsheets/d/1Yj_ptqi66GCucihVvJfMjLAmec39IyEx_6qawtMGysU/edit?usp=sharing"",""สบก!DN94"")"),136800.0)</f>
        <v>136800</v>
      </c>
      <c r="O337" s="125">
        <f>IF(L337&gt;0,N337*100/L337,0)</f>
        <v>90.47619048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IFERROR(__xludf.DUMMYFUNCTION("IMPORTRANGE(""https://docs.google.com/spreadsheets/d/1IYY_tgx_IHuhSq3AJ5eI5OnqOPBNLWSHKh2a30DoXe8/edit?usp=sharing"",""สุราษฎร์ธานี!I234"")"),0.0)</f>
        <v>0</v>
      </c>
      <c r="J339" s="222">
        <f>IFERROR(__xludf.DUMMYFUNCTION("IMPORTRANGE(""https://docs.google.com/spreadsheets/d/1IYY_tgx_IHuhSq3AJ5eI5OnqOPBNLWSHKh2a30DoXe8/edit?usp=sharing"",""สุราษฎร์ธานี!J234"")"),156.0)</f>
        <v>156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IFERROR(__xludf.DUMMYFUNCTION("IMPORTRANGE(""https://docs.google.com/spreadsheets/d/1IYY_tgx_IHuhSq3AJ5eI5OnqOPBNLWSHKh2a30DoXe8/edit?usp=sharing"",""สุราษฎร์ธานี!I235"")"),5600.0)</f>
        <v>5600</v>
      </c>
      <c r="J340" s="222">
        <f>IFERROR(__xludf.DUMMYFUNCTION("IMPORTRANGE(""https://docs.google.com/spreadsheets/d/1IYY_tgx_IHuhSq3AJ5eI5OnqOPBNLWSHKh2a30DoXe8/edit?usp=sharing"",""สุราษฎร์ธานี!J235"")"),1716.9299999999998)</f>
        <v>1716.93</v>
      </c>
      <c r="K340" s="375">
        <f t="shared" si="104"/>
        <v>30.65946429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IFERROR(__xludf.DUMMYFUNCTION("IMPORTRANGE(""https://docs.google.com/spreadsheets/d/1IYY_tgx_IHuhSq3AJ5eI5OnqOPBNLWSHKh2a30DoXe8/edit?usp=sharing"",""สุราษฎร์ธานี!I236"")"),550.0)</f>
        <v>550</v>
      </c>
      <c r="J341" s="222">
        <f>IFERROR(__xludf.DUMMYFUNCTION("IMPORTRANGE(""https://docs.google.com/spreadsheets/d/1IYY_tgx_IHuhSq3AJ5eI5OnqOPBNLWSHKh2a30DoXe8/edit?usp=sharing"",""สุราษฎร์ธานี!J236"")"),251.0)</f>
        <v>251</v>
      </c>
      <c r="K341" s="375">
        <f t="shared" si="104"/>
        <v>45.63636364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IFERROR(__xludf.DUMMYFUNCTION("IMPORTRANGE(""https://docs.google.com/spreadsheets/d/1IYY_tgx_IHuhSq3AJ5eI5OnqOPBNLWSHKh2a30DoXe8/edit?usp=sharing"",""สุราษฎร์ธานี!I237"")"),0.0)</f>
        <v>0</v>
      </c>
      <c r="J342" s="222">
        <f>IFERROR(__xludf.DUMMYFUNCTION("IMPORTRANGE(""https://docs.google.com/spreadsheets/d/1IYY_tgx_IHuhSq3AJ5eI5OnqOPBNLWSHKh2a30DoXe8/edit?usp=sharing"",""สุราษฎร์ธานี!J237"")"),3655.46)</f>
        <v>3655.46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IFERROR(__xludf.DUMMYFUNCTION("IMPORTRANGE(""https://docs.google.com/spreadsheets/d/1IYY_tgx_IHuhSq3AJ5eI5OnqOPBNLWSHKh2a30DoXe8/edit?usp=sharing"",""สุราษฎร์ธานี!I238"")"),550.0)</f>
        <v>550</v>
      </c>
      <c r="J343" s="222">
        <f>IFERROR(__xludf.DUMMYFUNCTION("IMPORTRANGE(""https://docs.google.com/spreadsheets/d/1IYY_tgx_IHuhSq3AJ5eI5OnqOPBNLWSHKh2a30DoXe8/edit?usp=sharing"",""สุราษฎร์ธานี!J238"")"),0.0)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IFERROR(__xludf.DUMMYFUNCTION("IMPORTRANGE(""https://docs.google.com/spreadsheets/d/1IYY_tgx_IHuhSq3AJ5eI5OnqOPBNLWSHKh2a30DoXe8/edit?usp=sharing"",""สุราษฎร์ธานี!I239"")"),0.0)</f>
        <v>0</v>
      </c>
      <c r="J344" s="222">
        <f>IFERROR(__xludf.DUMMYFUNCTION("IMPORTRANGE(""https://docs.google.com/spreadsheets/d/1IYY_tgx_IHuhSq3AJ5eI5OnqOPBNLWSHKh2a30DoXe8/edit?usp=sharing"",""สุราษฎร์ธานี!J239"")"),0.0)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IFERROR(__xludf.DUMMYFUNCTION("IMPORTRANGE(""https://docs.google.com/spreadsheets/d/1IYY_tgx_IHuhSq3AJ5eI5OnqOPBNLWSHKh2a30DoXe8/edit?usp=sharing"",""สุราษฎร์ธานี!I240"")"),550.0)</f>
        <v>550</v>
      </c>
      <c r="J345" s="222">
        <f>IFERROR(__xludf.DUMMYFUNCTION("IMPORTRANGE(""https://docs.google.com/spreadsheets/d/1IYY_tgx_IHuhSq3AJ5eI5OnqOPBNLWSHKh2a30DoXe8/edit?usp=sharing"",""สุราษฎร์ธานี!J240"")"),193.0)</f>
        <v>193</v>
      </c>
      <c r="K345" s="375">
        <f t="shared" si="104"/>
        <v>35.09090909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IFERROR(__xludf.DUMMYFUNCTION("IMPORTRANGE(""https://docs.google.com/spreadsheets/d/1IYY_tgx_IHuhSq3AJ5eI5OnqOPBNLWSHKh2a30DoXe8/edit?usp=sharing"",""สุราษฎร์ธานี!I241"")"),0.0)</f>
        <v>0</v>
      </c>
      <c r="J346" s="222">
        <f>IFERROR(__xludf.DUMMYFUNCTION("IMPORTRANGE(""https://docs.google.com/spreadsheets/d/1IYY_tgx_IHuhSq3AJ5eI5OnqOPBNLWSHKh2a30DoXe8/edit?usp=sharing"",""สุราษฎร์ธานี!J241"")"),3149.23)</f>
        <v>3149.23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IFERROR(__xludf.DUMMYFUNCTION("IMPORTRANGE(""https://docs.google.com/spreadsheets/d/1IYY_tgx_IHuhSq3AJ5eI5OnqOPBNLWSHKh2a30DoXe8/edit?usp=sharing"",""สุราษฎร์ธานี!L242"")"),2783438.0)</f>
        <v>2783438</v>
      </c>
      <c r="M347" s="391"/>
      <c r="N347" s="391">
        <f>IFERROR(__xludf.DUMMYFUNCTION("IMPORTRANGE(""https://docs.google.com/spreadsheets/d/1IYY_tgx_IHuhSq3AJ5eI5OnqOPBNLWSHKh2a30DoXe8/edit?usp=sharing"",""สุราษฎร์ธานี!M242"")"),253839.74)</f>
        <v>253839.74</v>
      </c>
      <c r="O347" s="391">
        <f>+IF(L347&gt;0,N347*100/L347,0)</f>
        <v>9.119647716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IFERROR(__xludf.DUMMYFUNCTION("IMPORTRANGE(""https://docs.google.com/spreadsheets/d/1IYY_tgx_IHuhSq3AJ5eI5OnqOPBNLWSHKh2a30DoXe8/edit?usp=sharing"",""สุราษฎร์ธานี!I244"")"),80.0)</f>
        <v>80</v>
      </c>
      <c r="J349" s="404">
        <f>IFERROR(__xludf.DUMMYFUNCTION("IMPORTRANGE(""https://docs.google.com/spreadsheets/d/1IYY_tgx_IHuhSq3AJ5eI5OnqOPBNLWSHKh2a30DoXe8/edit?usp=sharing"",""สุราษฎร์ธานี!J244"")"),0.0)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IFERROR(__xludf.DUMMYFUNCTION("IMPORTRANGE(""https://docs.google.com/spreadsheets/d/1IYY_tgx_IHuhSq3AJ5eI5OnqOPBNLWSHKh2a30DoXe8/edit?usp=sharing"",""สุราษฎร์ธานี!L244"")"),311160.0)</f>
        <v>311160</v>
      </c>
      <c r="M349" s="406"/>
      <c r="N349" s="406">
        <f>IFERROR(__xludf.DUMMYFUNCTION("IMPORTRANGE(""https://docs.google.com/spreadsheets/d/1IYY_tgx_IHuhSq3AJ5eI5OnqOPBNLWSHKh2a30DoXe8/edit?usp=sharing"",""สุราษฎร์ธานี!M244"")"),37308.62)</f>
        <v>37308.62</v>
      </c>
      <c r="O349" s="406">
        <f>+IF(L349&gt;0,N349*100/L349,0)</f>
        <v>11.99017226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IFERROR(__xludf.DUMMYFUNCTION("IMPORTRANGE(""https://docs.google.com/spreadsheets/d/1IYY_tgx_IHuhSq3AJ5eI5OnqOPBNLWSHKh2a30DoXe8/edit?usp=sharing"",""สุราษฎร์ธานี!I245"")"),40.0)</f>
        <v>40</v>
      </c>
      <c r="J350" s="404">
        <f>IFERROR(__xludf.DUMMYFUNCTION("IMPORTRANGE(""https://docs.google.com/spreadsheets/d/1IYY_tgx_IHuhSq3AJ5eI5OnqOPBNLWSHKh2a30DoXe8/edit?usp=sharing"",""สุราษฎร์ธานี!J245"")"),0.0)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IFERROR(__xludf.DUMMYFUNCTION("IMPORTRANGE(""https://docs.google.com/spreadsheets/d/1IYY_tgx_IHuhSq3AJ5eI5OnqOPBNLWSHKh2a30DoXe8/edit?usp=sharing"",""สุราษฎร์ธานี!L246"")"),0.0)</f>
        <v>0</v>
      </c>
      <c r="M351" s="197"/>
      <c r="N351" s="197">
        <f>IFERROR(__xludf.DUMMYFUNCTION("IMPORTRANGE(""https://docs.google.com/spreadsheets/d/1IYY_tgx_IHuhSq3AJ5eI5OnqOPBNLWSHKh2a30DoXe8/edit?usp=sharing"",""สุราษฎร์ธานี!M246"")"),0.0)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IFERROR(__xludf.DUMMYFUNCTION("IMPORTRANGE(""https://docs.google.com/spreadsheets/d/1IYY_tgx_IHuhSq3AJ5eI5OnqOPBNLWSHKh2a30DoXe8/edit?usp=sharing"",""สุราษฎร์ธานี!L247"")"),311160.0)</f>
        <v>311160</v>
      </c>
      <c r="M352" s="198"/>
      <c r="N352" s="197">
        <f>IFERROR(__xludf.DUMMYFUNCTION("IMPORTRANGE(""https://docs.google.com/spreadsheets/d/1IYY_tgx_IHuhSq3AJ5eI5OnqOPBNLWSHKh2a30DoXe8/edit?usp=sharing"",""สุราษฎร์ธานี!M247"")"),37308.62)</f>
        <v>37308.62</v>
      </c>
      <c r="O352" s="198">
        <f t="shared" si="106"/>
        <v>11.99017226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IFERROR(__xludf.DUMMYFUNCTION("IMPORTRANGE(""https://docs.google.com/spreadsheets/d/1IYY_tgx_IHuhSq3AJ5eI5OnqOPBNLWSHKh2a30DoXe8/edit?usp=sharing"",""สุราษฎร์ธานี!L248"")"),0.0)</f>
        <v>0</v>
      </c>
      <c r="M353" s="203"/>
      <c r="N353" s="203">
        <f>IFERROR(__xludf.DUMMYFUNCTION("IMPORTRANGE(""https://docs.google.com/spreadsheets/d/1IYY_tgx_IHuhSq3AJ5eI5OnqOPBNLWSHKh2a30DoXe8/edit?usp=sharing"",""สุราษฎร์ธานี!M248"")"),0.0)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IFERROR(__xludf.DUMMYFUNCTION("IMPORTRANGE(""https://docs.google.com/spreadsheets/d/1IYY_tgx_IHuhSq3AJ5eI5OnqOPBNLWSHKh2a30DoXe8/edit?usp=sharing"",""สุราษฎร์ธานี!L249"")"),311160.0)</f>
        <v>311160</v>
      </c>
      <c r="M354" s="203"/>
      <c r="N354" s="200">
        <f>IFERROR(__xludf.DUMMYFUNCTION("IMPORTRANGE(""https://docs.google.com/spreadsheets/d/1IYY_tgx_IHuhSq3AJ5eI5OnqOPBNLWSHKh2a30DoXe8/edit?usp=sharing"",""สุราษฎร์ธานี!M249"")"),37308.62)</f>
        <v>37308.62</v>
      </c>
      <c r="O354" s="203">
        <f t="shared" si="106"/>
        <v>11.99017226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IFERROR(__xludf.DUMMYFUNCTION("IMPORTRANGE(""https://docs.google.com/spreadsheets/d/1IYY_tgx_IHuhSq3AJ5eI5OnqOPBNLWSHKh2a30DoXe8/edit?usp=sharing"",""สุราษฎร์ธานี!M250"")"),0.0)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IFERROR(__xludf.DUMMYFUNCTION("IMPORTRANGE(""https://docs.google.com/spreadsheets/d/1IYY_tgx_IHuhSq3AJ5eI5OnqOPBNLWSHKh2a30DoXe8/edit?usp=sharing"",""สุราษฎร์ธานี!M251"")"),0.0)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IFERROR(__xludf.DUMMYFUNCTION("IMPORTRANGE(""https://docs.google.com/spreadsheets/d/1IYY_tgx_IHuhSq3AJ5eI5OnqOPBNLWSHKh2a30DoXe8/edit?usp=sharing"",""สุราษฎร์ธานี!M252"")"),37308.62)</f>
        <v>37308.62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IFERROR(__xludf.DUMMYFUNCTION("IMPORTRANGE(""https://docs.google.com/spreadsheets/d/1IYY_tgx_IHuhSq3AJ5eI5OnqOPBNLWSHKh2a30DoXe8/edit?usp=sharing"",""สุราษฎร์ธานี!M253"")"),0.0)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IFERROR(__xludf.DUMMYFUNCTION("IMPORTRANGE(""https://docs.google.com/spreadsheets/d/1IYY_tgx_IHuhSq3AJ5eI5OnqOPBNLWSHKh2a30DoXe8/edit?usp=sharing"",""สุราษฎร์ธานี!J255"")"),0.0)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IFERROR(__xludf.DUMMYFUNCTION("IMPORTRANGE(""https://docs.google.com/spreadsheets/d/1IYY_tgx_IHuhSq3AJ5eI5OnqOPBNLWSHKh2a30DoXe8/edit?usp=sharing"",""สุราษฎร์ธานี!J256"")"),1.0)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IFERROR(__xludf.DUMMYFUNCTION("IMPORTRANGE(""https://docs.google.com/spreadsheets/d/1IYY_tgx_IHuhSq3AJ5eI5OnqOPBNLWSHKh2a30DoXe8/edit?usp=sharing"",""สุราษฎร์ธานี!J257"")"),1.0)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IFERROR(__xludf.DUMMYFUNCTION("IMPORTRANGE(""https://docs.google.com/spreadsheets/d/1IYY_tgx_IHuhSq3AJ5eI5OnqOPBNLWSHKh2a30DoXe8/edit?usp=sharing"",""สุราษฎร์ธานี!J258"")"),0.0)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IFERROR(__xludf.DUMMYFUNCTION("IMPORTRANGE(""https://docs.google.com/spreadsheets/d/1IYY_tgx_IHuhSq3AJ5eI5OnqOPBNLWSHKh2a30DoXe8/edit?usp=sharing"",""สุราษฎร์ธานี!J166"")"),0.0)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IFERROR(__xludf.DUMMYFUNCTION("IMPORTRANGE(""https://docs.google.com/spreadsheets/d/1IYY_tgx_IHuhSq3AJ5eI5OnqOPBNLWSHKh2a30DoXe8/edit?usp=sharing"",""สุราษฎร์ธานี!J166"")"),0.0)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IFERROR(__xludf.DUMMYFUNCTION("IMPORTRANGE(""https://docs.google.com/spreadsheets/d/1IYY_tgx_IHuhSq3AJ5eI5OnqOPBNLWSHKh2a30DoXe8/edit?usp=sharing"",""สุราษฎร์ธานี!J166"")"),0.0)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IFERROR(__xludf.DUMMYFUNCTION("IMPORTRANGE(""https://docs.google.com/spreadsheets/d/1IYY_tgx_IHuhSq3AJ5eI5OnqOPBNLWSHKh2a30DoXe8/edit?usp=sharing"",""สุราษฎร์ธานี!J166"")"),0.0)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IFERROR(__xludf.DUMMYFUNCTION("IMPORTRANGE(""https://docs.google.com/spreadsheets/d/1IYY_tgx_IHuhSq3AJ5eI5OnqOPBNLWSHKh2a30DoXe8/edit?usp=sharing"",""สุราษฎร์ธานี!I263"")"),40.0)</f>
        <v>40</v>
      </c>
      <c r="J368" s="222">
        <f>IFERROR(__xludf.DUMMYFUNCTION("IMPORTRANGE(""https://docs.google.com/spreadsheets/d/1IYY_tgx_IHuhSq3AJ5eI5OnqOPBNLWSHKh2a30DoXe8/edit?usp=sharing"",""สุราษฎร์ธานี!J263"")"),0.0)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IFERROR(__xludf.DUMMYFUNCTION("IMPORTRANGE(""https://docs.google.com/spreadsheets/d/1IYY_tgx_IHuhSq3AJ5eI5OnqOPBNLWSHKh2a30DoXe8/edit?usp=sharing"",""สุราษฎร์ธานี!I164"")"),0.0)</f>
        <v>0</v>
      </c>
      <c r="J369" s="238">
        <f>IFERROR(__xludf.DUMMYFUNCTION("IMPORTRANGE(""https://docs.google.com/spreadsheets/d/1IYY_tgx_IHuhSq3AJ5eI5OnqOPBNLWSHKh2a30DoXe8/edit?usp=sharing"",""สุราษฎร์ธานี!J164"")"),0.0)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IFERROR(__xludf.DUMMYFUNCTION("IMPORTRANGE(""https://docs.google.com/spreadsheets/d/1IYY_tgx_IHuhSq3AJ5eI5OnqOPBNLWSHKh2a30DoXe8/edit?usp=sharing"",""สุราษฎร์ธานี!I265"")"),40.0)</f>
        <v>40</v>
      </c>
      <c r="J370" s="238">
        <f>IFERROR(__xludf.DUMMYFUNCTION("IMPORTRANGE(""https://docs.google.com/spreadsheets/d/1IYY_tgx_IHuhSq3AJ5eI5OnqOPBNLWSHKh2a30DoXe8/edit?usp=sharing"",""สุราษฎร์ธานี!J265"")"),0.0)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IFERROR(__xludf.DUMMYFUNCTION("IMPORTRANGE(""https://docs.google.com/spreadsheets/d/1IYY_tgx_IHuhSq3AJ5eI5OnqOPBNLWSHKh2a30DoXe8/edit?usp=sharing"",""สุราษฎร์ธานี!I164"")"),0.0)</f>
        <v>0</v>
      </c>
      <c r="J371" s="223">
        <f>IFERROR(__xludf.DUMMYFUNCTION("IMPORTRANGE(""https://docs.google.com/spreadsheets/d/1IYY_tgx_IHuhSq3AJ5eI5OnqOPBNLWSHKh2a30DoXe8/edit?usp=sharing"",""สุราษฎร์ธานี!J164"")"),0.0)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IFERROR(__xludf.DUMMYFUNCTION("IMPORTRANGE(""https://docs.google.com/spreadsheets/d/1IYY_tgx_IHuhSq3AJ5eI5OnqOPBNLWSHKh2a30DoXe8/edit?usp=sharing"",""สุราษฎร์ธานี!I267"")"),40.0)</f>
        <v>40</v>
      </c>
      <c r="J372" s="223">
        <f>IFERROR(__xludf.DUMMYFUNCTION("IMPORTRANGE(""https://docs.google.com/spreadsheets/d/1IYY_tgx_IHuhSq3AJ5eI5OnqOPBNLWSHKh2a30DoXe8/edit?usp=sharing"",""สุราษฎร์ธานี!J267"")"),0.0)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IFERROR(__xludf.DUMMYFUNCTION("IMPORTRANGE(""https://docs.google.com/spreadsheets/d/1IYY_tgx_IHuhSq3AJ5eI5OnqOPBNLWSHKh2a30DoXe8/edit?usp=sharing"",""สุราษฎร์ธานี!I164"")"),0.0)</f>
        <v>0</v>
      </c>
      <c r="J373" s="238">
        <f>IFERROR(__xludf.DUMMYFUNCTION("IMPORTRANGE(""https://docs.google.com/spreadsheets/d/1IYY_tgx_IHuhSq3AJ5eI5OnqOPBNLWSHKh2a30DoXe8/edit?usp=sharing"",""สุราษฎร์ธานี!J164"")"),0.0)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IFERROR(__xludf.DUMMYFUNCTION("IMPORTRANGE(""https://docs.google.com/spreadsheets/d/1IYY_tgx_IHuhSq3AJ5eI5OnqOPBNLWSHKh2a30DoXe8/edit?usp=sharing"",""สุราษฎร์ธานี!I164"")"),0.0)</f>
        <v>0</v>
      </c>
      <c r="J374" s="222">
        <f>IFERROR(__xludf.DUMMYFUNCTION("IMPORTRANGE(""https://docs.google.com/spreadsheets/d/1IYY_tgx_IHuhSq3AJ5eI5OnqOPBNLWSHKh2a30DoXe8/edit?usp=sharing"",""สุราษฎร์ธานี!J164"")"),0.0)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IFERROR(__xludf.DUMMYFUNCTION("IMPORTRANGE(""https://docs.google.com/spreadsheets/d/1IYY_tgx_IHuhSq3AJ5eI5OnqOPBNLWSHKh2a30DoXe8/edit?usp=sharing"",""สุราษฎร์ธานี!I270"")"),80.0)</f>
        <v>80</v>
      </c>
      <c r="J375" s="222">
        <f>IFERROR(__xludf.DUMMYFUNCTION("IMPORTRANGE(""https://docs.google.com/spreadsheets/d/1IYY_tgx_IHuhSq3AJ5eI5OnqOPBNLWSHKh2a30DoXe8/edit?usp=sharing"",""สุราษฎร์ธานี!J270"")"),0.0)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IFERROR(__xludf.DUMMYFUNCTION("IMPORTRANGE(""https://docs.google.com/spreadsheets/d/1IYY_tgx_IHuhSq3AJ5eI5OnqOPBNLWSHKh2a30DoXe8/edit?usp=sharing"",""สุราษฎร์ธานี!I271"")"),40.0)</f>
        <v>40</v>
      </c>
      <c r="J376" s="223">
        <f>IFERROR(__xludf.DUMMYFUNCTION("IMPORTRANGE(""https://docs.google.com/spreadsheets/d/1IYY_tgx_IHuhSq3AJ5eI5OnqOPBNLWSHKh2a30DoXe8/edit?usp=sharing"",""สุราษฎร์ธานี!J271"")"),0.0)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IFERROR(__xludf.DUMMYFUNCTION("IMPORTRANGE(""https://docs.google.com/spreadsheets/d/1IYY_tgx_IHuhSq3AJ5eI5OnqOPBNLWSHKh2a30DoXe8/edit?usp=sharing"",""สุราษฎร์ธานี!I272"")"),40.0)</f>
        <v>40</v>
      </c>
      <c r="J377" s="238">
        <f>IFERROR(__xludf.DUMMYFUNCTION("IMPORTRANGE(""https://docs.google.com/spreadsheets/d/1IYY_tgx_IHuhSq3AJ5eI5OnqOPBNLWSHKh2a30DoXe8/edit?usp=sharing"",""สุราษฎร์ธานี!J272"")"),0.0)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IFERROR(__xludf.DUMMYFUNCTION("IMPORTRANGE(""https://docs.google.com/spreadsheets/d/1IYY_tgx_IHuhSq3AJ5eI5OnqOPBNLWSHKh2a30DoXe8/edit?usp=sharing"",""สุราษฎร์ธานี!J273"")"),0.0)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IFERROR(__xludf.DUMMYFUNCTION("IMPORTRANGE(""https://docs.google.com/spreadsheets/d/1IYY_tgx_IHuhSq3AJ5eI5OnqOPBNLWSHKh2a30DoXe8/edit?usp=sharing"",""สุราษฎร์ธานี!J274"")"),0.0)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IFERROR(__xludf.DUMMYFUNCTION("IMPORTRANGE(""https://docs.google.com/spreadsheets/d/1IYY_tgx_IHuhSq3AJ5eI5OnqOPBNLWSHKh2a30DoXe8/edit?usp=sharing"",""สุราษฎร์ธานี!I275"")"),1000.0)</f>
        <v>1000</v>
      </c>
      <c r="J380" s="404">
        <f>IFERROR(__xludf.DUMMYFUNCTION("IMPORTRANGE(""https://docs.google.com/spreadsheets/d/1IYY_tgx_IHuhSq3AJ5eI5OnqOPBNLWSHKh2a30DoXe8/edit?usp=sharing"",""สุราษฎร์ธานี!J275"")"),0.0)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IFERROR(__xludf.DUMMYFUNCTION("IMPORTRANGE(""https://docs.google.com/spreadsheets/d/1IYY_tgx_IHuhSq3AJ5eI5OnqOPBNLWSHKh2a30DoXe8/edit?usp=sharing"",""สุราษฎร์ธานี!L275"")"),1028520.0)</f>
        <v>1028520</v>
      </c>
      <c r="M380" s="406"/>
      <c r="N380" s="406">
        <f>IFERROR(__xludf.DUMMYFUNCTION("IMPORTRANGE(""https://docs.google.com/spreadsheets/d/1IYY_tgx_IHuhSq3AJ5eI5OnqOPBNLWSHKh2a30DoXe8/edit?usp=sharing"",""สุราษฎร์ธานี!M275"")"),33182.17)</f>
        <v>33182.17</v>
      </c>
      <c r="O380" s="406">
        <f>+IF(L380&gt;0,N380*100/L380,0)</f>
        <v>3.226205616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IFERROR(__xludf.DUMMYFUNCTION("IMPORTRANGE(""https://docs.google.com/spreadsheets/d/1IYY_tgx_IHuhSq3AJ5eI5OnqOPBNLWSHKh2a30DoXe8/edit?usp=sharing"",""สุราษฎร์ธานี!I276"")"),100.0)</f>
        <v>100</v>
      </c>
      <c r="J381" s="404">
        <f>IFERROR(__xludf.DUMMYFUNCTION("IMPORTRANGE(""https://docs.google.com/spreadsheets/d/1IYY_tgx_IHuhSq3AJ5eI5OnqOPBNLWSHKh2a30DoXe8/edit?usp=sharing"",""สุราษฎร์ธานี!J276"")"),0.0)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IFERROR(__xludf.DUMMYFUNCTION("IMPORTRANGE(""https://docs.google.com/spreadsheets/d/1IYY_tgx_IHuhSq3AJ5eI5OnqOPBNLWSHKh2a30DoXe8/edit?usp=sharing"",""สุราษฎร์ธานี!L277"")"),0.0)</f>
        <v>0</v>
      </c>
      <c r="M382" s="197"/>
      <c r="N382" s="197">
        <f>IFERROR(__xludf.DUMMYFUNCTION("IMPORTRANGE(""https://docs.google.com/spreadsheets/d/1IYY_tgx_IHuhSq3AJ5eI5OnqOPBNLWSHKh2a30DoXe8/edit?usp=sharing"",""สุราษฎร์ธานี!M277"")"),0.0)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IFERROR(__xludf.DUMMYFUNCTION("IMPORTRANGE(""https://docs.google.com/spreadsheets/d/1IYY_tgx_IHuhSq3AJ5eI5OnqOPBNLWSHKh2a30DoXe8/edit?usp=sharing"",""สุราษฎร์ธานี!L278"")"),1028520.0)</f>
        <v>1028520</v>
      </c>
      <c r="M383" s="198"/>
      <c r="N383" s="198">
        <f>IFERROR(__xludf.DUMMYFUNCTION("IMPORTRANGE(""https://docs.google.com/spreadsheets/d/1IYY_tgx_IHuhSq3AJ5eI5OnqOPBNLWSHKh2a30DoXe8/edit?usp=sharing"",""สุราษฎร์ธานี!M278"")"),33182.17)</f>
        <v>33182.17</v>
      </c>
      <c r="O383" s="198">
        <f t="shared" si="110"/>
        <v>3.226205616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IFERROR(__xludf.DUMMYFUNCTION("IMPORTRANGE(""https://docs.google.com/spreadsheets/d/1IYY_tgx_IHuhSq3AJ5eI5OnqOPBNLWSHKh2a30DoXe8/edit?usp=sharing"",""สุราษฎร์ธานี!L279"")"),0.0)</f>
        <v>0</v>
      </c>
      <c r="M384" s="203"/>
      <c r="N384" s="203">
        <f>IFERROR(__xludf.DUMMYFUNCTION("IMPORTRANGE(""https://docs.google.com/spreadsheets/d/1IYY_tgx_IHuhSq3AJ5eI5OnqOPBNLWSHKh2a30DoXe8/edit?usp=sharing"",""สุราษฎร์ธานี!M279"")"),0.0)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IFERROR(__xludf.DUMMYFUNCTION("IMPORTRANGE(""https://docs.google.com/spreadsheets/d/1IYY_tgx_IHuhSq3AJ5eI5OnqOPBNLWSHKh2a30DoXe8/edit?usp=sharing"",""สุราษฎร์ธานี!L280"")"),1028520.0)</f>
        <v>1028520</v>
      </c>
      <c r="M385" s="203"/>
      <c r="N385" s="200">
        <f>IFERROR(__xludf.DUMMYFUNCTION("IMPORTRANGE(""https://docs.google.com/spreadsheets/d/1IYY_tgx_IHuhSq3AJ5eI5OnqOPBNLWSHKh2a30DoXe8/edit?usp=sharing"",""สุราษฎร์ธานี!M280"")"),33182.17)</f>
        <v>33182.17</v>
      </c>
      <c r="O385" s="203">
        <f t="shared" si="110"/>
        <v>3.226205616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IFERROR(__xludf.DUMMYFUNCTION("IMPORTRANGE(""https://docs.google.com/spreadsheets/d/1IYY_tgx_IHuhSq3AJ5eI5OnqOPBNLWSHKh2a30DoXe8/edit?usp=sharing"",""สุราษฎร์ธานี!M281"")"),0.0)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IFERROR(__xludf.DUMMYFUNCTION("IMPORTRANGE(""https://docs.google.com/spreadsheets/d/1IYY_tgx_IHuhSq3AJ5eI5OnqOPBNLWSHKh2a30DoXe8/edit?usp=sharing"",""สุราษฎร์ธานี!M282"")"),0.0)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IFERROR(__xludf.DUMMYFUNCTION("IMPORTRANGE(""https://docs.google.com/spreadsheets/d/1IYY_tgx_IHuhSq3AJ5eI5OnqOPBNLWSHKh2a30DoXe8/edit?usp=sharing"",""สุราษฎร์ธานี!M283"")"),31202.17)</f>
        <v>31202.17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IFERROR(__xludf.DUMMYFUNCTION("IMPORTRANGE(""https://docs.google.com/spreadsheets/d/1IYY_tgx_IHuhSq3AJ5eI5OnqOPBNLWSHKh2a30DoXe8/edit?usp=sharing"",""สุราษฎร์ธานี!M284"")"),1980.0)</f>
        <v>1980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IFERROR(__xludf.DUMMYFUNCTION("IMPORTRANGE(""https://docs.google.com/spreadsheets/d/1IYY_tgx_IHuhSq3AJ5eI5OnqOPBNLWSHKh2a30DoXe8/edit?usp=sharing"",""สุราษฎร์ธานี!J286"")"),0.0)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IFERROR(__xludf.DUMMYFUNCTION("IMPORTRANGE(""https://docs.google.com/spreadsheets/d/1IYY_tgx_IHuhSq3AJ5eI5OnqOPBNLWSHKh2a30DoXe8/edit?usp=sharing"",""สุราษฎร์ธานี!J287"")"),1.0)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IFERROR(__xludf.DUMMYFUNCTION("IMPORTRANGE(""https://docs.google.com/spreadsheets/d/1IYY_tgx_IHuhSq3AJ5eI5OnqOPBNLWSHKh2a30DoXe8/edit?usp=sharing"",""สุราษฎร์ธานี!J288"")"),1.0)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IFERROR(__xludf.DUMMYFUNCTION("IMPORTRANGE(""https://docs.google.com/spreadsheets/d/1IYY_tgx_IHuhSq3AJ5eI5OnqOPBNLWSHKh2a30DoXe8/edit?usp=sharing"",""สุราษฎร์ธานี!J289"")"),1.0)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IFERROR(__xludf.DUMMYFUNCTION("IMPORTRANGE(""https://docs.google.com/spreadsheets/d/1IYY_tgx_IHuhSq3AJ5eI5OnqOPBNLWSHKh2a30DoXe8/edit?usp=sharing"",""สุราษฎร์ธานี!I291"")"),100.0)</f>
        <v>100</v>
      </c>
      <c r="J396" s="232">
        <f>IFERROR(__xludf.DUMMYFUNCTION("IMPORTRANGE(""https://docs.google.com/spreadsheets/d/1IYY_tgx_IHuhSq3AJ5eI5OnqOPBNLWSHKh2a30DoXe8/edit?usp=sharing"",""สุราษฎร์ธานี!J291"")"),0.0)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IFERROR(__xludf.DUMMYFUNCTION("IMPORTRANGE(""https://docs.google.com/spreadsheets/d/1IYY_tgx_IHuhSq3AJ5eI5OnqOPBNLWSHKh2a30DoXe8/edit?usp=sharing"",""สุราษฎร์ธานี!I292"")"),1000.0)</f>
        <v>1000</v>
      </c>
      <c r="J397" s="232">
        <f>IFERROR(__xludf.DUMMYFUNCTION("IMPORTRANGE(""https://docs.google.com/spreadsheets/d/1IYY_tgx_IHuhSq3AJ5eI5OnqOPBNLWSHKh2a30DoXe8/edit?usp=sharing"",""สุราษฎร์ธานี!J292"")"),0.0)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IFERROR(__xludf.DUMMYFUNCTION("IMPORTRANGE(""https://docs.google.com/spreadsheets/d/1IYY_tgx_IHuhSq3AJ5eI5OnqOPBNLWSHKh2a30DoXe8/edit?usp=sharing"",""สุราษฎร์ธานี!I293"")"),100.0)</f>
        <v>100</v>
      </c>
      <c r="J398" s="232">
        <f>IFERROR(__xludf.DUMMYFUNCTION("IMPORTRANGE(""https://docs.google.com/spreadsheets/d/1IYY_tgx_IHuhSq3AJ5eI5OnqOPBNLWSHKh2a30DoXe8/edit?usp=sharing"",""สุราษฎร์ธานี!J293"")"),0.0)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IFERROR(__xludf.DUMMYFUNCTION("IMPORTRANGE(""https://docs.google.com/spreadsheets/d/1IYY_tgx_IHuhSq3AJ5eI5OnqOPBNLWSHKh2a30DoXe8/edit?usp=sharing"",""สุราษฎร์ธานี!J294"")"),0.0)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IFERROR(__xludf.DUMMYFUNCTION("IMPORTRANGE(""https://docs.google.com/spreadsheets/d/1IYY_tgx_IHuhSq3AJ5eI5OnqOPBNLWSHKh2a30DoXe8/edit?usp=sharing"",""สุราษฎร์ธานี!J295"")"),0.0)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IFERROR(__xludf.DUMMYFUNCTION("IMPORTRANGE(""https://docs.google.com/spreadsheets/d/1IYY_tgx_IHuhSq3AJ5eI5OnqOPBNLWSHKh2a30DoXe8/edit?usp=sharing"",""สุราษฎร์ธานี!I296"")"),75.0)</f>
        <v>75</v>
      </c>
      <c r="J401" s="404">
        <f>IFERROR(__xludf.DUMMYFUNCTION("IMPORTRANGE(""https://docs.google.com/spreadsheets/d/1IYY_tgx_IHuhSq3AJ5eI5OnqOPBNLWSHKh2a30DoXe8/edit?usp=sharing"",""สุราษฎร์ธานี!J296"")"),0.0)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IFERROR(__xludf.DUMMYFUNCTION("IMPORTRANGE(""https://docs.google.com/spreadsheets/d/1IYY_tgx_IHuhSq3AJ5eI5OnqOPBNLWSHKh2a30DoXe8/edit?usp=sharing"",""สุราษฎร์ธานี!L296"")"),81620.0)</f>
        <v>81620</v>
      </c>
      <c r="M401" s="406"/>
      <c r="N401" s="406">
        <f>IFERROR(__xludf.DUMMYFUNCTION("IMPORTRANGE(""https://docs.google.com/spreadsheets/d/1IYY_tgx_IHuhSq3AJ5eI5OnqOPBNLWSHKh2a30DoXe8/edit?usp=sharing"",""สุราษฎร์ธานี!M296"")"),36671.0)</f>
        <v>36671</v>
      </c>
      <c r="O401" s="406">
        <f>+IF(L401&gt;0,N401*100/L401,0)</f>
        <v>44.92893899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IFERROR(__xludf.DUMMYFUNCTION("IMPORTRANGE(""https://docs.google.com/spreadsheets/d/1IYY_tgx_IHuhSq3AJ5eI5OnqOPBNLWSHKh2a30DoXe8/edit?usp=sharing"",""สุราษฎร์ธานี!I297"")"),25.0)</f>
        <v>25</v>
      </c>
      <c r="J402" s="404">
        <f>IFERROR(__xludf.DUMMYFUNCTION("IMPORTRANGE(""https://docs.google.com/spreadsheets/d/1IYY_tgx_IHuhSq3AJ5eI5OnqOPBNLWSHKh2a30DoXe8/edit?usp=sharing"",""สุราษฎร์ธานี!J297"")"),25.0)</f>
        <v>25</v>
      </c>
      <c r="K402" s="405">
        <f t="shared" si="112"/>
        <v>100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IFERROR(__xludf.DUMMYFUNCTION("IMPORTRANGE(""https://docs.google.com/spreadsheets/d/1IYY_tgx_IHuhSq3AJ5eI5OnqOPBNLWSHKh2a30DoXe8/edit?usp=sharing"",""สุราษฎร์ธานี!L298"")"),0.0)</f>
        <v>0</v>
      </c>
      <c r="M403" s="197"/>
      <c r="N403" s="203">
        <f>IFERROR(__xludf.DUMMYFUNCTION("IMPORTRANGE(""https://docs.google.com/spreadsheets/d/1IYY_tgx_IHuhSq3AJ5eI5OnqOPBNLWSHKh2a30DoXe8/edit?usp=sharing"",""สุราษฎร์ธานี!M298"")"),0.0)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IFERROR(__xludf.DUMMYFUNCTION("IMPORTRANGE(""https://docs.google.com/spreadsheets/d/1IYY_tgx_IHuhSq3AJ5eI5OnqOPBNLWSHKh2a30DoXe8/edit?usp=sharing"",""สุราษฎร์ธานี!L299"")"),81620.0)</f>
        <v>81620</v>
      </c>
      <c r="M404" s="198"/>
      <c r="N404" s="203">
        <f>IFERROR(__xludf.DUMMYFUNCTION("IMPORTRANGE(""https://docs.google.com/spreadsheets/d/1IYY_tgx_IHuhSq3AJ5eI5OnqOPBNLWSHKh2a30DoXe8/edit?usp=sharing"",""สุราษฎร์ธานี!M299"")"),36671.0)</f>
        <v>36671</v>
      </c>
      <c r="O404" s="203">
        <f t="shared" si="113"/>
        <v>44.92893899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IFERROR(__xludf.DUMMYFUNCTION("IMPORTRANGE(""https://docs.google.com/spreadsheets/d/1IYY_tgx_IHuhSq3AJ5eI5OnqOPBNLWSHKh2a30DoXe8/edit?usp=sharing"",""สุราษฎร์ธานี!L300"")"),0.0)</f>
        <v>0</v>
      </c>
      <c r="M405" s="203"/>
      <c r="N405" s="203">
        <f>IFERROR(__xludf.DUMMYFUNCTION("IMPORTRANGE(""https://docs.google.com/spreadsheets/d/1IYY_tgx_IHuhSq3AJ5eI5OnqOPBNLWSHKh2a30DoXe8/edit?usp=sharing"",""สุราษฎร์ธานี!M300"")"),0.0)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IFERROR(__xludf.DUMMYFUNCTION("IMPORTRANGE(""https://docs.google.com/spreadsheets/d/1IYY_tgx_IHuhSq3AJ5eI5OnqOPBNLWSHKh2a30DoXe8/edit?usp=sharing"",""สุราษฎร์ธานี!L301"")"),81620.0)</f>
        <v>81620</v>
      </c>
      <c r="M406" s="203"/>
      <c r="N406" s="203">
        <f>IFERROR(__xludf.DUMMYFUNCTION("IMPORTRANGE(""https://docs.google.com/spreadsheets/d/1IYY_tgx_IHuhSq3AJ5eI5OnqOPBNLWSHKh2a30DoXe8/edit?usp=sharing"",""สุราษฎร์ธานี!M301"")"),36671.0)</f>
        <v>36671</v>
      </c>
      <c r="O406" s="203">
        <f t="shared" si="113"/>
        <v>44.92893899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IFERROR(__xludf.DUMMYFUNCTION("IMPORTRANGE(""https://docs.google.com/spreadsheets/d/1IYY_tgx_IHuhSq3AJ5eI5OnqOPBNLWSHKh2a30DoXe8/edit?usp=sharing"",""สุราษฎร์ธานี!M302"")"),36671.0)</f>
        <v>36671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IFERROR(__xludf.DUMMYFUNCTION("IMPORTRANGE(""https://docs.google.com/spreadsheets/d/1IYY_tgx_IHuhSq3AJ5eI5OnqOPBNLWSHKh2a30DoXe8/edit?usp=sharing"",""สุราษฎร์ธานี!M303"")"),0.0)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IFERROR(__xludf.DUMMYFUNCTION("IMPORTRANGE(""https://docs.google.com/spreadsheets/d/1IYY_tgx_IHuhSq3AJ5eI5OnqOPBNLWSHKh2a30DoXe8/edit?usp=sharing"",""สุราษฎร์ธานี!M304"")"),0.0)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IFERROR(__xludf.DUMMYFUNCTION("IMPORTRANGE(""https://docs.google.com/spreadsheets/d/1IYY_tgx_IHuhSq3AJ5eI5OnqOPBNLWSHKh2a30DoXe8/edit?usp=sharing"",""สุราษฎร์ธานี!M305"")"),0.0)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IFERROR(__xludf.DUMMYFUNCTION("IMPORTRANGE(""https://docs.google.com/spreadsheets/d/1IYY_tgx_IHuhSq3AJ5eI5OnqOPBNLWSHKh2a30DoXe8/edit?usp=sharing"",""สุราษฎร์ธานี!J307"")"),0.0)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IFERROR(__xludf.DUMMYFUNCTION("IMPORTRANGE(""https://docs.google.com/spreadsheets/d/1IYY_tgx_IHuhSq3AJ5eI5OnqOPBNLWSHKh2a30DoXe8/edit?usp=sharing"",""สุราษฎร์ธานี!J308"")"),1.0)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IFERROR(__xludf.DUMMYFUNCTION("IMPORTRANGE(""https://docs.google.com/spreadsheets/d/1IYY_tgx_IHuhSq3AJ5eI5OnqOPBNLWSHKh2a30DoXe8/edit?usp=sharing"",""สุราษฎร์ธานี!J309"")"),1.0)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IFERROR(__xludf.DUMMYFUNCTION("IMPORTRANGE(""https://docs.google.com/spreadsheets/d/1IYY_tgx_IHuhSq3AJ5eI5OnqOPBNLWSHKh2a30DoXe8/edit?usp=sharing"",""สุราษฎร์ธานี!J310"")"),1.0)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IFERROR(__xludf.DUMMYFUNCTION("IMPORTRANGE(""https://docs.google.com/spreadsheets/d/1IYY_tgx_IHuhSq3AJ5eI5OnqOPBNLWSHKh2a30DoXe8/edit?usp=sharing"",""สุราษฎร์ธานี!I311"")"),25.0)</f>
        <v>25</v>
      </c>
      <c r="J416" s="235">
        <f>IFERROR(__xludf.DUMMYFUNCTION("IMPORTRANGE(""https://docs.google.com/spreadsheets/d/1IYY_tgx_IHuhSq3AJ5eI5OnqOPBNLWSHKh2a30DoXe8/edit?usp=sharing"",""สุราษฎร์ธานี!J311"")"),25.0)</f>
        <v>25</v>
      </c>
      <c r="K416" s="236">
        <f t="shared" ref="K416:K432" si="114">IF(I416&gt;0,J416*100/I416,0)</f>
        <v>100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IFERROR(__xludf.DUMMYFUNCTION("IMPORTRANGE(""https://docs.google.com/spreadsheets/d/1IYY_tgx_IHuhSq3AJ5eI5OnqOPBNLWSHKh2a30DoXe8/edit?usp=sharing"",""สุราษฎร์ธานี!I312"")"),10.0)</f>
        <v>10</v>
      </c>
      <c r="J417" s="425">
        <f>IFERROR(__xludf.DUMMYFUNCTION("IMPORTRANGE(""https://docs.google.com/spreadsheets/d/1IYY_tgx_IHuhSq3AJ5eI5OnqOPBNLWSHKh2a30DoXe8/edit?usp=sharing"",""สุราษฎร์ธานี!J312"")"),10.0)</f>
        <v>10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IFERROR(__xludf.DUMMYFUNCTION("IMPORTRANGE(""https://docs.google.com/spreadsheets/d/1IYY_tgx_IHuhSq3AJ5eI5OnqOPBNLWSHKh2a30DoXe8/edit?usp=sharing"",""สุราษฎร์ธานี!I313"")"),30.0)</f>
        <v>30</v>
      </c>
      <c r="J418" s="426">
        <f>IFERROR(__xludf.DUMMYFUNCTION("IMPORTRANGE(""https://docs.google.com/spreadsheets/d/1IYY_tgx_IHuhSq3AJ5eI5OnqOPBNLWSHKh2a30DoXe8/edit?usp=sharing"",""สุราษฎร์ธานี!J313"")"),0.0)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IFERROR(__xludf.DUMMYFUNCTION("IMPORTRANGE(""https://docs.google.com/spreadsheets/d/1IYY_tgx_IHuhSq3AJ5eI5OnqOPBNLWSHKh2a30DoXe8/edit?usp=sharing"",""สุราษฎร์ธานี!I314"")"),10.0)</f>
        <v>10</v>
      </c>
      <c r="J419" s="427">
        <f>IFERROR(__xludf.DUMMYFUNCTION("IMPORTRANGE(""https://docs.google.com/spreadsheets/d/1IYY_tgx_IHuhSq3AJ5eI5OnqOPBNLWSHKh2a30DoXe8/edit?usp=sharing"",""สุราษฎร์ธานี!J314"")"),10.0)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IFERROR(__xludf.DUMMYFUNCTION("IMPORTRANGE(""https://docs.google.com/spreadsheets/d/1IYY_tgx_IHuhSq3AJ5eI5OnqOPBNLWSHKh2a30DoXe8/edit?usp=sharing"",""สุราษฎร์ธานี!I315"")"),10.0)</f>
        <v>10</v>
      </c>
      <c r="J420" s="427">
        <f>IFERROR(__xludf.DUMMYFUNCTION("IMPORTRANGE(""https://docs.google.com/spreadsheets/d/1IYY_tgx_IHuhSq3AJ5eI5OnqOPBNLWSHKh2a30DoXe8/edit?usp=sharing"",""สุราษฎร์ธานี!J315"")"),10.0)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IFERROR(__xludf.DUMMYFUNCTION("IMPORTRANGE(""https://docs.google.com/spreadsheets/d/1IYY_tgx_IHuhSq3AJ5eI5OnqOPBNLWSHKh2a30DoXe8/edit?usp=sharing"",""สุราษฎร์ธานี!I316"")"),0.0)</f>
        <v>0</v>
      </c>
      <c r="J421" s="425">
        <f>IFERROR(__xludf.DUMMYFUNCTION("IMPORTRANGE(""https://docs.google.com/spreadsheets/d/1IYY_tgx_IHuhSq3AJ5eI5OnqOPBNLWSHKh2a30DoXe8/edit?usp=sharing"",""สุราษฎร์ธานี!J316"")"),0.0)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IFERROR(__xludf.DUMMYFUNCTION("IMPORTRANGE(""https://docs.google.com/spreadsheets/d/1IYY_tgx_IHuhSq3AJ5eI5OnqOPBNLWSHKh2a30DoXe8/edit?usp=sharing"",""สุราษฎร์ธานี!I317"")"),0.0)</f>
        <v>0</v>
      </c>
      <c r="J422" s="426">
        <f>IFERROR(__xludf.DUMMYFUNCTION("IMPORTRANGE(""https://docs.google.com/spreadsheets/d/1IYY_tgx_IHuhSq3AJ5eI5OnqOPBNLWSHKh2a30DoXe8/edit?usp=sharing"",""สุราษฎร์ธานี!J317"")"),0.0)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IFERROR(__xludf.DUMMYFUNCTION("IMPORTRANGE(""https://docs.google.com/spreadsheets/d/1IYY_tgx_IHuhSq3AJ5eI5OnqOPBNLWSHKh2a30DoXe8/edit?usp=sharing"",""สุราษฎร์ธานี!I318"")"),0.0)</f>
        <v>0</v>
      </c>
      <c r="J423" s="427">
        <f>IFERROR(__xludf.DUMMYFUNCTION("IMPORTRANGE(""https://docs.google.com/spreadsheets/d/1IYY_tgx_IHuhSq3AJ5eI5OnqOPBNLWSHKh2a30DoXe8/edit?usp=sharing"",""สุราษฎร์ธานี!J318"")"),0.0)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IFERROR(__xludf.DUMMYFUNCTION("IMPORTRANGE(""https://docs.google.com/spreadsheets/d/1IYY_tgx_IHuhSq3AJ5eI5OnqOPBNLWSHKh2a30DoXe8/edit?usp=sharing"",""สุราษฎร์ธานี!I319"")"),0.0)</f>
        <v>0</v>
      </c>
      <c r="J424" s="427">
        <f>IFERROR(__xludf.DUMMYFUNCTION("IMPORTRANGE(""https://docs.google.com/spreadsheets/d/1IYY_tgx_IHuhSq3AJ5eI5OnqOPBNLWSHKh2a30DoXe8/edit?usp=sharing"",""สุราษฎร์ธานี!J319"")"),0.0)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IFERROR(__xludf.DUMMYFUNCTION("IMPORTRANGE(""https://docs.google.com/spreadsheets/d/1IYY_tgx_IHuhSq3AJ5eI5OnqOPBNLWSHKh2a30DoXe8/edit?usp=sharing"",""สุราษฎร์ธานี!I320"")"),0.0)</f>
        <v>0</v>
      </c>
      <c r="J425" s="427">
        <f>IFERROR(__xludf.DUMMYFUNCTION("IMPORTRANGE(""https://docs.google.com/spreadsheets/d/1IYY_tgx_IHuhSq3AJ5eI5OnqOPBNLWSHKh2a30DoXe8/edit?usp=sharing"",""สุราษฎร์ธานี!J320"")"),0.0)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IFERROR(__xludf.DUMMYFUNCTION("IMPORTRANGE(""https://docs.google.com/spreadsheets/d/1IYY_tgx_IHuhSq3AJ5eI5OnqOPBNLWSHKh2a30DoXe8/edit?usp=sharing"",""สุราษฎร์ธานี!I321"")"),15.0)</f>
        <v>15</v>
      </c>
      <c r="J426" s="425">
        <f>IFERROR(__xludf.DUMMYFUNCTION("IMPORTRANGE(""https://docs.google.com/spreadsheets/d/1IYY_tgx_IHuhSq3AJ5eI5OnqOPBNLWSHKh2a30DoXe8/edit?usp=sharing"",""สุราษฎร์ธานี!J321"")"),15.0)</f>
        <v>15</v>
      </c>
      <c r="K426" s="236">
        <f t="shared" si="114"/>
        <v>100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IFERROR(__xludf.DUMMYFUNCTION("IMPORTRANGE(""https://docs.google.com/spreadsheets/d/1IYY_tgx_IHuhSq3AJ5eI5OnqOPBNLWSHKh2a30DoXe8/edit?usp=sharing"",""สุราษฎร์ธานี!I322"")"),45.0)</f>
        <v>45</v>
      </c>
      <c r="J427" s="426">
        <f>IFERROR(__xludf.DUMMYFUNCTION("IMPORTRANGE(""https://docs.google.com/spreadsheets/d/1IYY_tgx_IHuhSq3AJ5eI5OnqOPBNLWSHKh2a30DoXe8/edit?usp=sharing"",""สุราษฎร์ธานี!J322"")"),0.0)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IFERROR(__xludf.DUMMYFUNCTION("IMPORTRANGE(""https://docs.google.com/spreadsheets/d/1IYY_tgx_IHuhSq3AJ5eI5OnqOPBNLWSHKh2a30DoXe8/edit?usp=sharing"",""สุราษฎร์ธานี!I323"")"),15.0)</f>
        <v>15</v>
      </c>
      <c r="J428" s="427">
        <f>IFERROR(__xludf.DUMMYFUNCTION("IMPORTRANGE(""https://docs.google.com/spreadsheets/d/1IYY_tgx_IHuhSq3AJ5eI5OnqOPBNLWSHKh2a30DoXe8/edit?usp=sharing"",""สุราษฎร์ธานี!J323"")"),15.0)</f>
        <v>15</v>
      </c>
      <c r="K428" s="196">
        <f t="shared" si="114"/>
        <v>100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IFERROR(__xludf.DUMMYFUNCTION("IMPORTRANGE(""https://docs.google.com/spreadsheets/d/1IYY_tgx_IHuhSq3AJ5eI5OnqOPBNLWSHKh2a30DoXe8/edit?usp=sharing"",""สุราษฎร์ธานี!I324"")"),15.0)</f>
        <v>15</v>
      </c>
      <c r="J429" s="427">
        <f>IFERROR(__xludf.DUMMYFUNCTION("IMPORTRANGE(""https://docs.google.com/spreadsheets/d/1IYY_tgx_IHuhSq3AJ5eI5OnqOPBNLWSHKh2a30DoXe8/edit?usp=sharing"",""สุราษฎร์ธานี!J324"")"),15.0)</f>
        <v>15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IFERROR(__xludf.DUMMYFUNCTION("IMPORTRANGE(""https://docs.google.com/spreadsheets/d/1IYY_tgx_IHuhSq3AJ5eI5OnqOPBNLWSHKh2a30DoXe8/edit?usp=sharing"",""สุราษฎร์ธานี!I325"")"),10.0)</f>
        <v>10</v>
      </c>
      <c r="J430" s="425">
        <f>IFERROR(__xludf.DUMMYFUNCTION("IMPORTRANGE(""https://docs.google.com/spreadsheets/d/1IYY_tgx_IHuhSq3AJ5eI5OnqOPBNLWSHKh2a30DoXe8/edit?usp=sharing"",""สุราษฎร์ธานี!J325"")"),0.0)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IFERROR(__xludf.DUMMYFUNCTION("IMPORTRANGE(""https://docs.google.com/spreadsheets/d/1IYY_tgx_IHuhSq3AJ5eI5OnqOPBNLWSHKh2a30DoXe8/edit?usp=sharing"",""สุราษฎร์ธานี!I326"")"),10.0)</f>
        <v>10</v>
      </c>
      <c r="J431" s="427">
        <f>IFERROR(__xludf.DUMMYFUNCTION("IMPORTRANGE(""https://docs.google.com/spreadsheets/d/1IYY_tgx_IHuhSq3AJ5eI5OnqOPBNLWSHKh2a30DoXe8/edit?usp=sharing"",""สุราษฎร์ธานี!J326"")"),0.0)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IFERROR(__xludf.DUMMYFUNCTION("IMPORTRANGE(""https://docs.google.com/spreadsheets/d/1IYY_tgx_IHuhSq3AJ5eI5OnqOPBNLWSHKh2a30DoXe8/edit?usp=sharing"",""สุราษฎร์ธานี!I327"")"),0.0)</f>
        <v>0</v>
      </c>
      <c r="J432" s="427">
        <f>IFERROR(__xludf.DUMMYFUNCTION("IMPORTRANGE(""https://docs.google.com/spreadsheets/d/1IYY_tgx_IHuhSq3AJ5eI5OnqOPBNLWSHKh2a30DoXe8/edit?usp=sharing"",""สุราษฎร์ธานี!J327"")"),0.0)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IFERROR(__xludf.DUMMYFUNCTION("IMPORTRANGE(""https://docs.google.com/spreadsheets/d/1IYY_tgx_IHuhSq3AJ5eI5OnqOPBNLWSHKh2a30DoXe8/edit?usp=sharing"",""สุราษฎร์ธานี!J328"")"),0.0)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IFERROR(__xludf.DUMMYFUNCTION("IMPORTRANGE(""https://docs.google.com/spreadsheets/d/1IYY_tgx_IHuhSq3AJ5eI5OnqOPBNLWSHKh2a30DoXe8/edit?usp=sharing"",""สุราษฎร์ธานี!J329"")"),0.0)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IFERROR(__xludf.DUMMYFUNCTION("IMPORTRANGE(""https://docs.google.com/spreadsheets/d/1IYY_tgx_IHuhSq3AJ5eI5OnqOPBNLWSHKh2a30DoXe8/edit?usp=sharing"",""สุราษฎร์ธานี!I330"")"),20.0)</f>
        <v>20</v>
      </c>
      <c r="J435" s="443">
        <f>IFERROR(__xludf.DUMMYFUNCTION("IMPORTRANGE(""https://docs.google.com/spreadsheets/d/1IYY_tgx_IHuhSq3AJ5eI5OnqOPBNLWSHKh2a30DoXe8/edit?usp=sharing"",""สุราษฎร์ธานี!J330"")"),20.0)</f>
        <v>20</v>
      </c>
      <c r="K435" s="444">
        <f>IF(I435&gt;0,J435*100/I435,0)</f>
        <v>100</v>
      </c>
      <c r="L435" s="445">
        <f>IFERROR(__xludf.DUMMYFUNCTION("IMPORTRANGE(""https://docs.google.com/spreadsheets/d/1IYY_tgx_IHuhSq3AJ5eI5OnqOPBNLWSHKh2a30DoXe8/edit?usp=sharing"",""สุราษฎร์ธานี!L330"")"),95000.0)</f>
        <v>95000</v>
      </c>
      <c r="M435" s="445"/>
      <c r="N435" s="445">
        <f>IFERROR(__xludf.DUMMYFUNCTION("IMPORTRANGE(""https://docs.google.com/spreadsheets/d/1IYY_tgx_IHuhSq3AJ5eI5OnqOPBNLWSHKh2a30DoXe8/edit?usp=sharing"",""สุราษฎร์ธานี!M330"")"),48990.0)</f>
        <v>48990</v>
      </c>
      <c r="O435" s="445">
        <f t="shared" ref="O435:O439" si="115">+IF(L435&gt;0,N435*100/L435,0)</f>
        <v>51.56842105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IFERROR(__xludf.DUMMYFUNCTION("IMPORTRANGE(""https://docs.google.com/spreadsheets/d/1IYY_tgx_IHuhSq3AJ5eI5OnqOPBNLWSHKh2a30DoXe8/edit?usp=sharing"",""สุราษฎร์ธานี!L331"")"),0.0)</f>
        <v>0</v>
      </c>
      <c r="M436" s="197"/>
      <c r="N436" s="203">
        <f>IFERROR(__xludf.DUMMYFUNCTION("IMPORTRANGE(""https://docs.google.com/spreadsheets/d/1IYY_tgx_IHuhSq3AJ5eI5OnqOPBNLWSHKh2a30DoXe8/edit?usp=sharing"",""สุราษฎร์ธานี!M331"")"),0.0)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IFERROR(__xludf.DUMMYFUNCTION("IMPORTRANGE(""https://docs.google.com/spreadsheets/d/1IYY_tgx_IHuhSq3AJ5eI5OnqOPBNLWSHKh2a30DoXe8/edit?usp=sharing"",""สุราษฎร์ธานี!L332"")"),95000.0)</f>
        <v>95000</v>
      </c>
      <c r="M437" s="198"/>
      <c r="N437" s="203">
        <f>IFERROR(__xludf.DUMMYFUNCTION("IMPORTRANGE(""https://docs.google.com/spreadsheets/d/1IYY_tgx_IHuhSq3AJ5eI5OnqOPBNLWSHKh2a30DoXe8/edit?usp=sharing"",""สุราษฎร์ธานี!M332"")"),48990.0)</f>
        <v>48990</v>
      </c>
      <c r="O437" s="203">
        <f t="shared" si="115"/>
        <v>51.56842105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IFERROR(__xludf.DUMMYFUNCTION("IMPORTRANGE(""https://docs.google.com/spreadsheets/d/1IYY_tgx_IHuhSq3AJ5eI5OnqOPBNLWSHKh2a30DoXe8/edit?usp=sharing"",""สุราษฎร์ธานี!L333"")"),0.0)</f>
        <v>0</v>
      </c>
      <c r="M438" s="203"/>
      <c r="N438" s="203">
        <f>IFERROR(__xludf.DUMMYFUNCTION("IMPORTRANGE(""https://docs.google.com/spreadsheets/d/1IYY_tgx_IHuhSq3AJ5eI5OnqOPBNLWSHKh2a30DoXe8/edit?usp=sharing"",""สุราษฎร์ธานี!M333"")"),0.0)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IFERROR(__xludf.DUMMYFUNCTION("IMPORTRANGE(""https://docs.google.com/spreadsheets/d/1IYY_tgx_IHuhSq3AJ5eI5OnqOPBNLWSHKh2a30DoXe8/edit?usp=sharing"",""สุราษฎร์ธานี!L334"")"),95000.0)</f>
        <v>95000</v>
      </c>
      <c r="M439" s="203"/>
      <c r="N439" s="203">
        <f>IFERROR(__xludf.DUMMYFUNCTION("IMPORTRANGE(""https://docs.google.com/spreadsheets/d/1IYY_tgx_IHuhSq3AJ5eI5OnqOPBNLWSHKh2a30DoXe8/edit?usp=sharing"",""สุราษฎร์ธานี!M334"")"),48990.0)</f>
        <v>48990</v>
      </c>
      <c r="O439" s="203">
        <f t="shared" si="115"/>
        <v>51.56842105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IFERROR(__xludf.DUMMYFUNCTION("IMPORTRANGE(""https://docs.google.com/spreadsheets/d/1IYY_tgx_IHuhSq3AJ5eI5OnqOPBNLWSHKh2a30DoXe8/edit?usp=sharing"",""สุราษฎร์ธานี!M335"")"),40990.0)</f>
        <v>40990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IFERROR(__xludf.DUMMYFUNCTION("IMPORTRANGE(""https://docs.google.com/spreadsheets/d/1IYY_tgx_IHuhSq3AJ5eI5OnqOPBNLWSHKh2a30DoXe8/edit?usp=sharing"",""สุราษฎร์ธานี!M336"")"),0.0)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IFERROR(__xludf.DUMMYFUNCTION("IMPORTRANGE(""https://docs.google.com/spreadsheets/d/1IYY_tgx_IHuhSq3AJ5eI5OnqOPBNLWSHKh2a30DoXe8/edit?usp=sharing"",""สุราษฎร์ธานี!M337"")"),0.0)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IFERROR(__xludf.DUMMYFUNCTION("IMPORTRANGE(""https://docs.google.com/spreadsheets/d/1IYY_tgx_IHuhSq3AJ5eI5OnqOPBNLWSHKh2a30DoXe8/edit?usp=sharing"",""สุราษฎร์ธานี!M338"")"),8000.0)</f>
        <v>8000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IFERROR(__xludf.DUMMYFUNCTION("IMPORTRANGE(""https://docs.google.com/spreadsheets/d/1IYY_tgx_IHuhSq3AJ5eI5OnqOPBNLWSHKh2a30DoXe8/edit?usp=sharing"",""สุราษฎร์ธานี!J340"")"),0.0)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IFERROR(__xludf.DUMMYFUNCTION("IMPORTRANGE(""https://docs.google.com/spreadsheets/d/1IYY_tgx_IHuhSq3AJ5eI5OnqOPBNLWSHKh2a30DoXe8/edit?usp=sharing"",""สุราษฎร์ธานี!J341"")"),1.0)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IFERROR(__xludf.DUMMYFUNCTION("IMPORTRANGE(""https://docs.google.com/spreadsheets/d/1IYY_tgx_IHuhSq3AJ5eI5OnqOPBNLWSHKh2a30DoXe8/edit?usp=sharing"",""สุราษฎร์ธานี!J342"")"),1.0)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IFERROR(__xludf.DUMMYFUNCTION("IMPORTRANGE(""https://docs.google.com/spreadsheets/d/1IYY_tgx_IHuhSq3AJ5eI5OnqOPBNLWSHKh2a30DoXe8/edit?usp=sharing"",""สุราษฎร์ธานี!J343"")"),1.0)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IFERROR(__xludf.DUMMYFUNCTION("IMPORTRANGE(""https://docs.google.com/spreadsheets/d/1IYY_tgx_IHuhSq3AJ5eI5OnqOPBNLWSHKh2a30DoXe8/edit?usp=sharing"",""สุราษฎร์ธานี!I344"")"),20.0)</f>
        <v>20</v>
      </c>
      <c r="J449" s="235">
        <f>IFERROR(__xludf.DUMMYFUNCTION("IMPORTRANGE(""https://docs.google.com/spreadsheets/d/1IYY_tgx_IHuhSq3AJ5eI5OnqOPBNLWSHKh2a30DoXe8/edit?usp=sharing"",""สุราษฎร์ธานี!J344"")"),20.0)</f>
        <v>20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IFERROR(__xludf.DUMMYFUNCTION("IMPORTRANGE(""https://docs.google.com/spreadsheets/d/1IYY_tgx_IHuhSq3AJ5eI5OnqOPBNLWSHKh2a30DoXe8/edit?usp=sharing"",""สุราษฎร์ธานี!I345"")"),20.0)</f>
        <v>20</v>
      </c>
      <c r="J450" s="223">
        <f>IFERROR(__xludf.DUMMYFUNCTION("IMPORTRANGE(""https://docs.google.com/spreadsheets/d/1IYY_tgx_IHuhSq3AJ5eI5OnqOPBNLWSHKh2a30DoXe8/edit?usp=sharing"",""สุราษฎร์ธานี!J345"")"),20.0)</f>
        <v>20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IFERROR(__xludf.DUMMYFUNCTION("IMPORTRANGE(""https://docs.google.com/spreadsheets/d/1IYY_tgx_IHuhSq3AJ5eI5OnqOPBNLWSHKh2a30DoXe8/edit?usp=sharing"",""สุราษฎร์ธานี!I346"")"),0.0)</f>
        <v>0</v>
      </c>
      <c r="J451" s="222">
        <f>IFERROR(__xludf.DUMMYFUNCTION("IMPORTRANGE(""https://docs.google.com/spreadsheets/d/1IYY_tgx_IHuhSq3AJ5eI5OnqOPBNLWSHKh2a30DoXe8/edit?usp=sharing"",""สุราษฎร์ธานี!J346"")"),0.0)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IFERROR(__xludf.DUMMYFUNCTION("IMPORTRANGE(""https://docs.google.com/spreadsheets/d/1IYY_tgx_IHuhSq3AJ5eI5OnqOPBNLWSHKh2a30DoXe8/edit?usp=sharing"",""สุราษฎร์ธานี!I347"")"),0.0)</f>
        <v>0</v>
      </c>
      <c r="J452" s="222">
        <f>IFERROR(__xludf.DUMMYFUNCTION("IMPORTRANGE(""https://docs.google.com/spreadsheets/d/1IYY_tgx_IHuhSq3AJ5eI5OnqOPBNLWSHKh2a30DoXe8/edit?usp=sharing"",""สุราษฎร์ธานี!J347"")"),0.0)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IFERROR(__xludf.DUMMYFUNCTION("IMPORTRANGE(""https://docs.google.com/spreadsheets/d/1IYY_tgx_IHuhSq3AJ5eI5OnqOPBNLWSHKh2a30DoXe8/edit?usp=sharing"",""สุราษฎร์ธานี!J348"")"),0.0)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IFERROR(__xludf.DUMMYFUNCTION("IMPORTRANGE(""https://docs.google.com/spreadsheets/d/1IYY_tgx_IHuhSq3AJ5eI5OnqOPBNLWSHKh2a30DoXe8/edit?usp=sharing"",""สุราษฎร์ธานี!J349"")"),0.0)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IFERROR(__xludf.DUMMYFUNCTION("IMPORTRANGE(""https://docs.google.com/spreadsheets/d/1IYY_tgx_IHuhSq3AJ5eI5OnqOPBNLWSHKh2a30DoXe8/edit?usp=sharing"",""สุราษฎร์ธานี!I350"")"),146061.0)</f>
        <v>146061</v>
      </c>
      <c r="J455" s="404">
        <f>IFERROR(__xludf.DUMMYFUNCTION("IMPORTRANGE(""https://docs.google.com/spreadsheets/d/1IYY_tgx_IHuhSq3AJ5eI5OnqOPBNLWSHKh2a30DoXe8/edit?usp=sharing"",""สุราษฎร์ธานี!J350"")"),0.0)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IFERROR(__xludf.DUMMYFUNCTION("IMPORTRANGE(""https://docs.google.com/spreadsheets/d/1IYY_tgx_IHuhSq3AJ5eI5OnqOPBNLWSHKh2a30DoXe8/edit?usp=sharing"",""สุราษฎร์ธานี!L350"")"),1055798.0)</f>
        <v>1055798</v>
      </c>
      <c r="M455" s="406"/>
      <c r="N455" s="406">
        <f>IFERROR(__xludf.DUMMYFUNCTION("IMPORTRANGE(""https://docs.google.com/spreadsheets/d/1IYY_tgx_IHuhSq3AJ5eI5OnqOPBNLWSHKh2a30DoXe8/edit?usp=sharing"",""สุราษฎร์ธานี!M350"")"),63301.95)</f>
        <v>63301.95</v>
      </c>
      <c r="O455" s="406">
        <f t="shared" ref="O455:O459" si="117">+IF(L455&gt;0,N455*100/L455,0)</f>
        <v>5.995649736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IFERROR(__xludf.DUMMYFUNCTION("IMPORTRANGE(""https://docs.google.com/spreadsheets/d/1IYY_tgx_IHuhSq3AJ5eI5OnqOPBNLWSHKh2a30DoXe8/edit?usp=sharing"",""สุราษฎร์ธานี!L351"")"),0.0)</f>
        <v>0</v>
      </c>
      <c r="M456" s="197"/>
      <c r="N456" s="203">
        <f>IFERROR(__xludf.DUMMYFUNCTION("IMPORTRANGE(""https://docs.google.com/spreadsheets/d/1IYY_tgx_IHuhSq3AJ5eI5OnqOPBNLWSHKh2a30DoXe8/edit?usp=sharing"",""สุราษฎร์ธานี!M351"")"),0.0)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IFERROR(__xludf.DUMMYFUNCTION("IMPORTRANGE(""https://docs.google.com/spreadsheets/d/1IYY_tgx_IHuhSq3AJ5eI5OnqOPBNLWSHKh2a30DoXe8/edit?usp=sharing"",""สุราษฎร์ธานี!L352"")"),1055798.0)</f>
        <v>1055798</v>
      </c>
      <c r="M457" s="198"/>
      <c r="N457" s="203">
        <f>IFERROR(__xludf.DUMMYFUNCTION("IMPORTRANGE(""https://docs.google.com/spreadsheets/d/1IYY_tgx_IHuhSq3AJ5eI5OnqOPBNLWSHKh2a30DoXe8/edit?usp=sharing"",""สุราษฎร์ธานี!M352"")"),63301.95)</f>
        <v>63301.95</v>
      </c>
      <c r="O457" s="203">
        <f t="shared" si="117"/>
        <v>5.995649736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IFERROR(__xludf.DUMMYFUNCTION("IMPORTRANGE(""https://docs.google.com/spreadsheets/d/1IYY_tgx_IHuhSq3AJ5eI5OnqOPBNLWSHKh2a30DoXe8/edit?usp=sharing"",""สุราษฎร์ธานี!L353"")"),0.0)</f>
        <v>0</v>
      </c>
      <c r="M458" s="203"/>
      <c r="N458" s="203">
        <f>IFERROR(__xludf.DUMMYFUNCTION("IMPORTRANGE(""https://docs.google.com/spreadsheets/d/1IYY_tgx_IHuhSq3AJ5eI5OnqOPBNLWSHKh2a30DoXe8/edit?usp=sharing"",""สุราษฎร์ธานี!M353"")"),0.0)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IFERROR(__xludf.DUMMYFUNCTION("IMPORTRANGE(""https://docs.google.com/spreadsheets/d/1IYY_tgx_IHuhSq3AJ5eI5OnqOPBNLWSHKh2a30DoXe8/edit?usp=sharing"",""สุราษฎร์ธานี!L354"")"),1055798.0)</f>
        <v>1055798</v>
      </c>
      <c r="M459" s="203"/>
      <c r="N459" s="203">
        <f>IFERROR(__xludf.DUMMYFUNCTION("IMPORTRANGE(""https://docs.google.com/spreadsheets/d/1IYY_tgx_IHuhSq3AJ5eI5OnqOPBNLWSHKh2a30DoXe8/edit?usp=sharing"",""สุราษฎร์ธานี!M354"")"),63301.95)</f>
        <v>63301.95</v>
      </c>
      <c r="O459" s="203">
        <f t="shared" si="117"/>
        <v>5.995649736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IFERROR(__xludf.DUMMYFUNCTION("IMPORTRANGE(""https://docs.google.com/spreadsheets/d/1IYY_tgx_IHuhSq3AJ5eI5OnqOPBNLWSHKh2a30DoXe8/edit?usp=sharing"",""สุราษฎร์ธานี!M355"")"),0.0)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IFERROR(__xludf.DUMMYFUNCTION("IMPORTRANGE(""https://docs.google.com/spreadsheets/d/1IYY_tgx_IHuhSq3AJ5eI5OnqOPBNLWSHKh2a30DoXe8/edit?usp=sharing"",""สุราษฎร์ธานี!M356"")"),0.0)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IFERROR(__xludf.DUMMYFUNCTION("IMPORTRANGE(""https://docs.google.com/spreadsheets/d/1IYY_tgx_IHuhSq3AJ5eI5OnqOPBNLWSHKh2a30DoXe8/edit?usp=sharing"",""สุราษฎร์ธานี!M357"")"),37741.95)</f>
        <v>37741.95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IFERROR(__xludf.DUMMYFUNCTION("IMPORTRANGE(""https://docs.google.com/spreadsheets/d/1IYY_tgx_IHuhSq3AJ5eI5OnqOPBNLWSHKh2a30DoXe8/edit?usp=sharing"",""สุราษฎร์ธานี!M358"")"),25560.0)</f>
        <v>25560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IFERROR(__xludf.DUMMYFUNCTION("IMPORTRANGE(""https://docs.google.com/spreadsheets/d/1IYY_tgx_IHuhSq3AJ5eI5OnqOPBNLWSHKh2a30DoXe8/edit?usp=sharing"",""สุราษฎร์ธานี!I359"")"),146061.0)</f>
        <v>146061</v>
      </c>
      <c r="J464" s="301">
        <f>IFERROR(__xludf.DUMMYFUNCTION("IMPORTRANGE(""https://docs.google.com/spreadsheets/d/1IYY_tgx_IHuhSq3AJ5eI5OnqOPBNLWSHKh2a30DoXe8/edit?usp=sharing"",""สุราษฎร์ธานี!J359"")"),0.0)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IFERROR(__xludf.DUMMYFUNCTION("IMPORTRANGE(""https://docs.google.com/spreadsheets/d/1IYY_tgx_IHuhSq3AJ5eI5OnqOPBNLWSHKh2a30DoXe8/edit?usp=sharing"",""สุราษฎร์ธานี!I360"")"),146061.0)</f>
        <v>146061</v>
      </c>
      <c r="J465" s="453">
        <f>IFERROR(__xludf.DUMMYFUNCTION("IMPORTRANGE(""https://docs.google.com/spreadsheets/d/1IYY_tgx_IHuhSq3AJ5eI5OnqOPBNLWSHKh2a30DoXe8/edit?usp=sharing"",""สุราษฎร์ธานี!J360"")"),128308.0)</f>
        <v>128308</v>
      </c>
      <c r="K465" s="236">
        <f t="shared" si="118"/>
        <v>87.84548921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IFERROR(__xludf.DUMMYFUNCTION("IMPORTRANGE(""https://docs.google.com/spreadsheets/d/1IYY_tgx_IHuhSq3AJ5eI5OnqOPBNLWSHKh2a30DoXe8/edit?usp=sharing"",""สุราษฎร์ธานี!I361"")"),11860.0)</f>
        <v>11860</v>
      </c>
      <c r="J466" s="453">
        <f>IFERROR(__xludf.DUMMYFUNCTION("IMPORTRANGE(""https://docs.google.com/spreadsheets/d/1IYY_tgx_IHuhSq3AJ5eI5OnqOPBNLWSHKh2a30DoXe8/edit?usp=sharing"",""สุราษฎร์ธานี!J361"")"),9912.0)</f>
        <v>9912</v>
      </c>
      <c r="K466" s="236">
        <f t="shared" si="118"/>
        <v>83.57504216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IFERROR(__xludf.DUMMYFUNCTION("IMPORTRANGE(""https://docs.google.com/spreadsheets/d/1IYY_tgx_IHuhSq3AJ5eI5OnqOPBNLWSHKh2a30DoXe8/edit?usp=sharing"",""สุราษฎร์ธานี!I362"")"),0.0)</f>
        <v>0</v>
      </c>
      <c r="J467" s="223">
        <f>IFERROR(__xludf.DUMMYFUNCTION("IMPORTRANGE(""https://docs.google.com/spreadsheets/d/1IYY_tgx_IHuhSq3AJ5eI5OnqOPBNLWSHKh2a30DoXe8/edit?usp=sharing"",""สุราษฎร์ธานี!J362"")"),102807.0)</f>
        <v>102807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IFERROR(__xludf.DUMMYFUNCTION("IMPORTRANGE(""https://docs.google.com/spreadsheets/d/1IYY_tgx_IHuhSq3AJ5eI5OnqOPBNLWSHKh2a30DoXe8/edit?usp=sharing"",""สุราษฎร์ธานี!I363"")"),0.0)</f>
        <v>0</v>
      </c>
      <c r="J468" s="223">
        <f>IFERROR(__xludf.DUMMYFUNCTION("IMPORTRANGE(""https://docs.google.com/spreadsheets/d/1IYY_tgx_IHuhSq3AJ5eI5OnqOPBNLWSHKh2a30DoXe8/edit?usp=sharing"",""สุราษฎร์ธานี!J363"")"),8280.0)</f>
        <v>8280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IFERROR(__xludf.DUMMYFUNCTION("IMPORTRANGE(""https://docs.google.com/spreadsheets/d/1IYY_tgx_IHuhSq3AJ5eI5OnqOPBNLWSHKh2a30DoXe8/edit?usp=sharing"",""สุราษฎร์ธานี!I364"")"),0.0)</f>
        <v>0</v>
      </c>
      <c r="J469" s="223">
        <f>IFERROR(__xludf.DUMMYFUNCTION("IMPORTRANGE(""https://docs.google.com/spreadsheets/d/1IYY_tgx_IHuhSq3AJ5eI5OnqOPBNLWSHKh2a30DoXe8/edit?usp=sharing"",""สุราษฎร์ธานี!J364"")"),23916.0)</f>
        <v>23916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IFERROR(__xludf.DUMMYFUNCTION("IMPORTRANGE(""https://docs.google.com/spreadsheets/d/1IYY_tgx_IHuhSq3AJ5eI5OnqOPBNLWSHKh2a30DoXe8/edit?usp=sharing"",""สุราษฎร์ธานี!I365"")"),0.0)</f>
        <v>0</v>
      </c>
      <c r="J470" s="223">
        <f>IFERROR(__xludf.DUMMYFUNCTION("IMPORTRANGE(""https://docs.google.com/spreadsheets/d/1IYY_tgx_IHuhSq3AJ5eI5OnqOPBNLWSHKh2a30DoXe8/edit?usp=sharing"",""สุราษฎร์ธานี!J365"")"),1539.0)</f>
        <v>1539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IFERROR(__xludf.DUMMYFUNCTION("IMPORTRANGE(""https://docs.google.com/spreadsheets/d/1IYY_tgx_IHuhSq3AJ5eI5OnqOPBNLWSHKh2a30DoXe8/edit?usp=sharing"",""สุราษฎร์ธานี!I366"")"),0.0)</f>
        <v>0</v>
      </c>
      <c r="J471" s="223">
        <f>IFERROR(__xludf.DUMMYFUNCTION("IMPORTRANGE(""https://docs.google.com/spreadsheets/d/1IYY_tgx_IHuhSq3AJ5eI5OnqOPBNLWSHKh2a30DoXe8/edit?usp=sharing"",""สุราษฎร์ธานี!J366"")"),1585.0)</f>
        <v>1585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IFERROR(__xludf.DUMMYFUNCTION("IMPORTRANGE(""https://docs.google.com/spreadsheets/d/1IYY_tgx_IHuhSq3AJ5eI5OnqOPBNLWSHKh2a30DoXe8/edit?usp=sharing"",""สุราษฎร์ธานี!I367"")"),0.0)</f>
        <v>0</v>
      </c>
      <c r="J472" s="223">
        <f>IFERROR(__xludf.DUMMYFUNCTION("IMPORTRANGE(""https://docs.google.com/spreadsheets/d/1IYY_tgx_IHuhSq3AJ5eI5OnqOPBNLWSHKh2a30DoXe8/edit?usp=sharing"",""สุราษฎร์ธานี!J367"")"),93.0)</f>
        <v>93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IFERROR(__xludf.DUMMYFUNCTION("IMPORTRANGE(""https://docs.google.com/spreadsheets/d/1IYY_tgx_IHuhSq3AJ5eI5OnqOPBNLWSHKh2a30DoXe8/edit?usp=sharing"",""สุราษฎร์ธานี!I368"")"),146061.0)</f>
        <v>146061</v>
      </c>
      <c r="J473" s="453">
        <f>IFERROR(__xludf.DUMMYFUNCTION("IMPORTRANGE(""https://docs.google.com/spreadsheets/d/1IYY_tgx_IHuhSq3AJ5eI5OnqOPBNLWSHKh2a30DoXe8/edit?usp=sharing"",""สุราษฎร์ธานี!J368"")"),0.0)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IFERROR(__xludf.DUMMYFUNCTION("IMPORTRANGE(""https://docs.google.com/spreadsheets/d/1IYY_tgx_IHuhSq3AJ5eI5OnqOPBNLWSHKh2a30DoXe8/edit?usp=sharing"",""สุราษฎร์ธานี!I369"")"),11860.0)</f>
        <v>11860</v>
      </c>
      <c r="J474" s="453">
        <f>IFERROR(__xludf.DUMMYFUNCTION("IMPORTRANGE(""https://docs.google.com/spreadsheets/d/1IYY_tgx_IHuhSq3AJ5eI5OnqOPBNLWSHKh2a30DoXe8/edit?usp=sharing"",""สุราษฎร์ธานี!J369"")"),0.0)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IFERROR(__xludf.DUMMYFUNCTION("IMPORTRANGE(""https://docs.google.com/spreadsheets/d/1IYY_tgx_IHuhSq3AJ5eI5OnqOPBNLWSHKh2a30DoXe8/edit?usp=sharing"",""สุราษฎร์ธานี!I370"")"),0.0)</f>
        <v>0</v>
      </c>
      <c r="J475" s="223">
        <f>IFERROR(__xludf.DUMMYFUNCTION("IMPORTRANGE(""https://docs.google.com/spreadsheets/d/1IYY_tgx_IHuhSq3AJ5eI5OnqOPBNLWSHKh2a30DoXe8/edit?usp=sharing"",""สุราษฎร์ธานี!J370"")"),0.0)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IFERROR(__xludf.DUMMYFUNCTION("IMPORTRANGE(""https://docs.google.com/spreadsheets/d/1IYY_tgx_IHuhSq3AJ5eI5OnqOPBNLWSHKh2a30DoXe8/edit?usp=sharing"",""สุราษฎร์ธานี!I371"")"),0.0)</f>
        <v>0</v>
      </c>
      <c r="J476" s="223">
        <f>IFERROR(__xludf.DUMMYFUNCTION("IMPORTRANGE(""https://docs.google.com/spreadsheets/d/1IYY_tgx_IHuhSq3AJ5eI5OnqOPBNLWSHKh2a30DoXe8/edit?usp=sharing"",""สุราษฎร์ธานี!J371"")"),0.0)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IFERROR(__xludf.DUMMYFUNCTION("IMPORTRANGE(""https://docs.google.com/spreadsheets/d/1IYY_tgx_IHuhSq3AJ5eI5OnqOPBNLWSHKh2a30DoXe8/edit?usp=sharing"",""สุราษฎร์ธานี!I372"")"),0.0)</f>
        <v>0</v>
      </c>
      <c r="J477" s="223">
        <f>IFERROR(__xludf.DUMMYFUNCTION("IMPORTRANGE(""https://docs.google.com/spreadsheets/d/1IYY_tgx_IHuhSq3AJ5eI5OnqOPBNLWSHKh2a30DoXe8/edit?usp=sharing"",""สุราษฎร์ธานี!J372"")"),0.0)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IFERROR(__xludf.DUMMYFUNCTION("IMPORTRANGE(""https://docs.google.com/spreadsheets/d/1IYY_tgx_IHuhSq3AJ5eI5OnqOPBNLWSHKh2a30DoXe8/edit?usp=sharing"",""สุราษฎร์ธานี!I373"")"),0.0)</f>
        <v>0</v>
      </c>
      <c r="J478" s="223">
        <f>IFERROR(__xludf.DUMMYFUNCTION("IMPORTRANGE(""https://docs.google.com/spreadsheets/d/1IYY_tgx_IHuhSq3AJ5eI5OnqOPBNLWSHKh2a30DoXe8/edit?usp=sharing"",""สุราษฎร์ธานี!J373"")"),0.0)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IFERROR(__xludf.DUMMYFUNCTION("IMPORTRANGE(""https://docs.google.com/spreadsheets/d/1IYY_tgx_IHuhSq3AJ5eI5OnqOPBNLWSHKh2a30DoXe8/edit?usp=sharing"",""สุราษฎร์ธานี!I374"")"),0.0)</f>
        <v>0</v>
      </c>
      <c r="J479" s="223">
        <f>IFERROR(__xludf.DUMMYFUNCTION("IMPORTRANGE(""https://docs.google.com/spreadsheets/d/1IYY_tgx_IHuhSq3AJ5eI5OnqOPBNLWSHKh2a30DoXe8/edit?usp=sharing"",""สุราษฎร์ธานี!J374"")"),0.0)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IFERROR(__xludf.DUMMYFUNCTION("IMPORTRANGE(""https://docs.google.com/spreadsheets/d/1IYY_tgx_IHuhSq3AJ5eI5OnqOPBNLWSHKh2a30DoXe8/edit?usp=sharing"",""สุราษฎร์ธานี!I375"")"),0.0)</f>
        <v>0</v>
      </c>
      <c r="J480" s="223">
        <f>IFERROR(__xludf.DUMMYFUNCTION("IMPORTRANGE(""https://docs.google.com/spreadsheets/d/1IYY_tgx_IHuhSq3AJ5eI5OnqOPBNLWSHKh2a30DoXe8/edit?usp=sharing"",""สุราษฎร์ธานี!J375"")"),0.0)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IFERROR(__xludf.DUMMYFUNCTION("IMPORTRANGE(""https://docs.google.com/spreadsheets/d/1IYY_tgx_IHuhSq3AJ5eI5OnqOPBNLWSHKh2a30DoXe8/edit?usp=sharing"",""สุราษฎร์ธานี!I376"")"),146061.0)</f>
        <v>146061</v>
      </c>
      <c r="J481" s="453">
        <f>IFERROR(__xludf.DUMMYFUNCTION("IMPORTRANGE(""https://docs.google.com/spreadsheets/d/1IYY_tgx_IHuhSq3AJ5eI5OnqOPBNLWSHKh2a30DoXe8/edit?usp=sharing"",""สุราษฎร์ธานี!J376"")"),0.0)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IFERROR(__xludf.DUMMYFUNCTION("IMPORTRANGE(""https://docs.google.com/spreadsheets/d/1IYY_tgx_IHuhSq3AJ5eI5OnqOPBNLWSHKh2a30DoXe8/edit?usp=sharing"",""สุราษฎร์ธานี!I377"")"),11860.0)</f>
        <v>11860</v>
      </c>
      <c r="J482" s="453">
        <f>IFERROR(__xludf.DUMMYFUNCTION("IMPORTRANGE(""https://docs.google.com/spreadsheets/d/1IYY_tgx_IHuhSq3AJ5eI5OnqOPBNLWSHKh2a30DoXe8/edit?usp=sharing"",""สุราษฎร์ธานี!J377"")"),0.0)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IFERROR(__xludf.DUMMYFUNCTION("IMPORTRANGE(""https://docs.google.com/spreadsheets/d/1IYY_tgx_IHuhSq3AJ5eI5OnqOPBNLWSHKh2a30DoXe8/edit?usp=sharing"",""สุราษฎร์ธานี!I378"")"),0.0)</f>
        <v>0</v>
      </c>
      <c r="J483" s="223">
        <f>IFERROR(__xludf.DUMMYFUNCTION("IMPORTRANGE(""https://docs.google.com/spreadsheets/d/1IYY_tgx_IHuhSq3AJ5eI5OnqOPBNLWSHKh2a30DoXe8/edit?usp=sharing"",""สุราษฎร์ธานี!J378"")"),0.0)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IFERROR(__xludf.DUMMYFUNCTION("IMPORTRANGE(""https://docs.google.com/spreadsheets/d/1IYY_tgx_IHuhSq3AJ5eI5OnqOPBNLWSHKh2a30DoXe8/edit?usp=sharing"",""สุราษฎร์ธานี!I379"")"),0.0)</f>
        <v>0</v>
      </c>
      <c r="J484" s="223">
        <f>IFERROR(__xludf.DUMMYFUNCTION("IMPORTRANGE(""https://docs.google.com/spreadsheets/d/1IYY_tgx_IHuhSq3AJ5eI5OnqOPBNLWSHKh2a30DoXe8/edit?usp=sharing"",""สุราษฎร์ธานี!J379"")"),0.0)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IFERROR(__xludf.DUMMYFUNCTION("IMPORTRANGE(""https://docs.google.com/spreadsheets/d/1IYY_tgx_IHuhSq3AJ5eI5OnqOPBNLWSHKh2a30DoXe8/edit?usp=sharing"",""สุราษฎร์ธานี!I380"")"),0.0)</f>
        <v>0</v>
      </c>
      <c r="J485" s="223">
        <f>IFERROR(__xludf.DUMMYFUNCTION("IMPORTRANGE(""https://docs.google.com/spreadsheets/d/1IYY_tgx_IHuhSq3AJ5eI5OnqOPBNLWSHKh2a30DoXe8/edit?usp=sharing"",""สุราษฎร์ธานี!J380"")"),0.0)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IFERROR(__xludf.DUMMYFUNCTION("IMPORTRANGE(""https://docs.google.com/spreadsheets/d/1IYY_tgx_IHuhSq3AJ5eI5OnqOPBNLWSHKh2a30DoXe8/edit?usp=sharing"",""สุราษฎร์ธานี!I381"")"),0.0)</f>
        <v>0</v>
      </c>
      <c r="J486" s="223">
        <f>IFERROR(__xludf.DUMMYFUNCTION("IMPORTRANGE(""https://docs.google.com/spreadsheets/d/1IYY_tgx_IHuhSq3AJ5eI5OnqOPBNLWSHKh2a30DoXe8/edit?usp=sharing"",""สุราษฎร์ธานี!J381"")"),0.0)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IFERROR(__xludf.DUMMYFUNCTION("IMPORTRANGE(""https://docs.google.com/spreadsheets/d/1IYY_tgx_IHuhSq3AJ5eI5OnqOPBNLWSHKh2a30DoXe8/edit?usp=sharing"",""สุราษฎร์ธานี!I382"")"),0.0)</f>
        <v>0</v>
      </c>
      <c r="J487" s="453">
        <f>IFERROR(__xludf.DUMMYFUNCTION("IMPORTRANGE(""https://docs.google.com/spreadsheets/d/1IYY_tgx_IHuhSq3AJ5eI5OnqOPBNLWSHKh2a30DoXe8/edit?usp=sharing"",""สุราษฎร์ธานี!J382"")"),0.0)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IFERROR(__xludf.DUMMYFUNCTION("IMPORTRANGE(""https://docs.google.com/spreadsheets/d/1IYY_tgx_IHuhSq3AJ5eI5OnqOPBNLWSHKh2a30DoXe8/edit?usp=sharing"",""สุราษฎร์ธานี!I383"")"),0.0)</f>
        <v>0</v>
      </c>
      <c r="J488" s="453">
        <f>IFERROR(__xludf.DUMMYFUNCTION("IMPORTRANGE(""https://docs.google.com/spreadsheets/d/1IYY_tgx_IHuhSq3AJ5eI5OnqOPBNLWSHKh2a30DoXe8/edit?usp=sharing"",""สุราษฎร์ธานี!J383"")"),0.0)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IFERROR(__xludf.DUMMYFUNCTION("IMPORTRANGE(""https://docs.google.com/spreadsheets/d/1IYY_tgx_IHuhSq3AJ5eI5OnqOPBNLWSHKh2a30DoXe8/edit?usp=sharing"",""สุราษฎร์ธานี!I384"")"),0.0)</f>
        <v>0</v>
      </c>
      <c r="J489" s="223">
        <f>IFERROR(__xludf.DUMMYFUNCTION("IMPORTRANGE(""https://docs.google.com/spreadsheets/d/1IYY_tgx_IHuhSq3AJ5eI5OnqOPBNLWSHKh2a30DoXe8/edit?usp=sharing"",""สุราษฎร์ธานี!J384"")"),0.0)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IFERROR(__xludf.DUMMYFUNCTION("IMPORTRANGE(""https://docs.google.com/spreadsheets/d/1IYY_tgx_IHuhSq3AJ5eI5OnqOPBNLWSHKh2a30DoXe8/edit?usp=sharing"",""สุราษฎร์ธานี!I385"")"),0.0)</f>
        <v>0</v>
      </c>
      <c r="J490" s="223">
        <f>IFERROR(__xludf.DUMMYFUNCTION("IMPORTRANGE(""https://docs.google.com/spreadsheets/d/1IYY_tgx_IHuhSq3AJ5eI5OnqOPBNLWSHKh2a30DoXe8/edit?usp=sharing"",""สุราษฎร์ธานี!J385"")"),0.0)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IFERROR(__xludf.DUMMYFUNCTION("IMPORTRANGE(""https://docs.google.com/spreadsheets/d/1IYY_tgx_IHuhSq3AJ5eI5OnqOPBNLWSHKh2a30DoXe8/edit?usp=sharing"",""สุราษฎร์ธานี!I386"")"),0.0)</f>
        <v>0</v>
      </c>
      <c r="J491" s="223">
        <f>IFERROR(__xludf.DUMMYFUNCTION("IMPORTRANGE(""https://docs.google.com/spreadsheets/d/1IYY_tgx_IHuhSq3AJ5eI5OnqOPBNLWSHKh2a30DoXe8/edit?usp=sharing"",""สุราษฎร์ธานี!J386"")"),0.0)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IFERROR(__xludf.DUMMYFUNCTION("IMPORTRANGE(""https://docs.google.com/spreadsheets/d/1IYY_tgx_IHuhSq3AJ5eI5OnqOPBNLWSHKh2a30DoXe8/edit?usp=sharing"",""สุราษฎร์ธานี!I387"")"),0.0)</f>
        <v>0</v>
      </c>
      <c r="J492" s="223">
        <f>IFERROR(__xludf.DUMMYFUNCTION("IMPORTRANGE(""https://docs.google.com/spreadsheets/d/1IYY_tgx_IHuhSq3AJ5eI5OnqOPBNLWSHKh2a30DoXe8/edit?usp=sharing"",""สุราษฎร์ธานี!J387"")"),0.0)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IFERROR(__xludf.DUMMYFUNCTION("IMPORTRANGE(""https://docs.google.com/spreadsheets/d/1IYY_tgx_IHuhSq3AJ5eI5OnqOPBNLWSHKh2a30DoXe8/edit?usp=sharing"",""สุราษฎร์ธานี!I388"")"),0.0)</f>
        <v>0</v>
      </c>
      <c r="J493" s="223">
        <f>IFERROR(__xludf.DUMMYFUNCTION("IMPORTRANGE(""https://docs.google.com/spreadsheets/d/1IYY_tgx_IHuhSq3AJ5eI5OnqOPBNLWSHKh2a30DoXe8/edit?usp=sharing"",""สุราษฎร์ธานี!J388"")"),0.0)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IFERROR(__xludf.DUMMYFUNCTION("IMPORTRANGE(""https://docs.google.com/spreadsheets/d/1IYY_tgx_IHuhSq3AJ5eI5OnqOPBNLWSHKh2a30DoXe8/edit?usp=sharing"",""สุราษฎร์ธานี!I389"")"),0.0)</f>
        <v>0</v>
      </c>
      <c r="J494" s="469">
        <f>IFERROR(__xludf.DUMMYFUNCTION("IMPORTRANGE(""https://docs.google.com/spreadsheets/d/1IYY_tgx_IHuhSq3AJ5eI5OnqOPBNLWSHKh2a30DoXe8/edit?usp=sharing"",""สุราษฎร์ธานี!J389"")"),0.0)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IFERROR(__xludf.DUMMYFUNCTION("IMPORTRANGE(""https://docs.google.com/spreadsheets/d/1IYY_tgx_IHuhSq3AJ5eI5OnqOPBNLWSHKh2a30DoXe8/edit?usp=sharing"",""สุราษฎร์ธานี!I390"")"),0.0)</f>
        <v>0</v>
      </c>
      <c r="J495" s="469">
        <f>IFERROR(__xludf.DUMMYFUNCTION("IMPORTRANGE(""https://docs.google.com/spreadsheets/d/1IYY_tgx_IHuhSq3AJ5eI5OnqOPBNLWSHKh2a30DoXe8/edit?usp=sharing"",""สุราษฎร์ธานี!J390"")"),0.0)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IFERROR(__xludf.DUMMYFUNCTION("IMPORTRANGE(""https://docs.google.com/spreadsheets/d/1IYY_tgx_IHuhSq3AJ5eI5OnqOPBNLWSHKh2a30DoXe8/edit?usp=sharing"",""สุราษฎร์ธานี!I391"")"),0.0)</f>
        <v>0</v>
      </c>
      <c r="J496" s="469">
        <f>IFERROR(__xludf.DUMMYFUNCTION("IMPORTRANGE(""https://docs.google.com/spreadsheets/d/1IYY_tgx_IHuhSq3AJ5eI5OnqOPBNLWSHKh2a30DoXe8/edit?usp=sharing"",""สุราษฎร์ธานี!J391"")"),0.0)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IFERROR(__xludf.DUMMYFUNCTION("IMPORTRANGE(""https://docs.google.com/spreadsheets/d/1IYY_tgx_IHuhSq3AJ5eI5OnqOPBNLWSHKh2a30DoXe8/edit?usp=sharing"",""สุราษฎร์ธานี!I392"")"),6467.0)</f>
        <v>6467</v>
      </c>
      <c r="J497" s="476">
        <f>IFERROR(__xludf.DUMMYFUNCTION("IMPORTRANGE(""https://docs.google.com/spreadsheets/d/1IYY_tgx_IHuhSq3AJ5eI5OnqOPBNLWSHKh2a30DoXe8/edit?usp=sharing"",""สุราษฎร์ธานี!J392"")"),0.0)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IFERROR(__xludf.DUMMYFUNCTION("IMPORTRANGE(""https://docs.google.com/spreadsheets/d/1IYY_tgx_IHuhSq3AJ5eI5OnqOPBNLWSHKh2a30DoXe8/edit?usp=sharing"",""สุราษฎร์ธานี!I393"")"),6467.0)</f>
        <v>6467</v>
      </c>
      <c r="J498" s="453">
        <f>IFERROR(__xludf.DUMMYFUNCTION("IMPORTRANGE(""https://docs.google.com/spreadsheets/d/1IYY_tgx_IHuhSq3AJ5eI5OnqOPBNLWSHKh2a30DoXe8/edit?usp=sharing"",""สุราษฎร์ธานี!J393"")"),0.0)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IFERROR(__xludf.DUMMYFUNCTION("IMPORTRANGE(""https://docs.google.com/spreadsheets/d/1IYY_tgx_IHuhSq3AJ5eI5OnqOPBNLWSHKh2a30DoXe8/edit?usp=sharing"",""สุราษฎร์ธานี!I394"")"),565.0)</f>
        <v>565</v>
      </c>
      <c r="J499" s="453">
        <f>IFERROR(__xludf.DUMMYFUNCTION("IMPORTRANGE(""https://docs.google.com/spreadsheets/d/1IYY_tgx_IHuhSq3AJ5eI5OnqOPBNLWSHKh2a30DoXe8/edit?usp=sharing"",""สุราษฎร์ธานี!J394"")"),0.0)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IFERROR(__xludf.DUMMYFUNCTION("IMPORTRANGE(""https://docs.google.com/spreadsheets/d/1IYY_tgx_IHuhSq3AJ5eI5OnqOPBNLWSHKh2a30DoXe8/edit?usp=sharing"",""สุราษฎร์ธานี!I395"")"),0.0)</f>
        <v>0</v>
      </c>
      <c r="J500" s="195">
        <f>IFERROR(__xludf.DUMMYFUNCTION("IMPORTRANGE(""https://docs.google.com/spreadsheets/d/1IYY_tgx_IHuhSq3AJ5eI5OnqOPBNLWSHKh2a30DoXe8/edit?usp=sharing"",""สุราษฎร์ธานี!J395"")"),0.0)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IFERROR(__xludf.DUMMYFUNCTION("IMPORTRANGE(""https://docs.google.com/spreadsheets/d/1IYY_tgx_IHuhSq3AJ5eI5OnqOPBNLWSHKh2a30DoXe8/edit?usp=sharing"",""สุราษฎร์ธานี!I396"")"),0.0)</f>
        <v>0</v>
      </c>
      <c r="J501" s="195">
        <f>IFERROR(__xludf.DUMMYFUNCTION("IMPORTRANGE(""https://docs.google.com/spreadsheets/d/1IYY_tgx_IHuhSq3AJ5eI5OnqOPBNLWSHKh2a30DoXe8/edit?usp=sharing"",""สุราษฎร์ธานี!J396"")"),0.0)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IFERROR(__xludf.DUMMYFUNCTION("IMPORTRANGE(""https://docs.google.com/spreadsheets/d/1IYY_tgx_IHuhSq3AJ5eI5OnqOPBNLWSHKh2a30DoXe8/edit?usp=sharing"",""สุราษฎร์ธานี!I397"")"),0.0)</f>
        <v>0</v>
      </c>
      <c r="J502" s="223">
        <f>IFERROR(__xludf.DUMMYFUNCTION("IMPORTRANGE(""https://docs.google.com/spreadsheets/d/1IYY_tgx_IHuhSq3AJ5eI5OnqOPBNLWSHKh2a30DoXe8/edit?usp=sharing"",""สุราษฎร์ธานี!J397"")"),0.0)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IFERROR(__xludf.DUMMYFUNCTION("IMPORTRANGE(""https://docs.google.com/spreadsheets/d/1IYY_tgx_IHuhSq3AJ5eI5OnqOPBNLWSHKh2a30DoXe8/edit?usp=sharing"",""สุราษฎร์ธานี!I398"")"),0.0)</f>
        <v>0</v>
      </c>
      <c r="J503" s="232">
        <f>IFERROR(__xludf.DUMMYFUNCTION("IMPORTRANGE(""https://docs.google.com/spreadsheets/d/1IYY_tgx_IHuhSq3AJ5eI5OnqOPBNLWSHKh2a30DoXe8/edit?usp=sharing"",""สุราษฎร์ธานี!J398"")"),0.0)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IFERROR(__xludf.DUMMYFUNCTION("IMPORTRANGE(""https://docs.google.com/spreadsheets/d/1IYY_tgx_IHuhSq3AJ5eI5OnqOPBNLWSHKh2a30DoXe8/edit?usp=sharing"",""สุราษฎร์ธานี!I399"")"),0.0)</f>
        <v>0</v>
      </c>
      <c r="J504" s="223">
        <f>IFERROR(__xludf.DUMMYFUNCTION("IMPORTRANGE(""https://docs.google.com/spreadsheets/d/1IYY_tgx_IHuhSq3AJ5eI5OnqOPBNLWSHKh2a30DoXe8/edit?usp=sharing"",""สุราษฎร์ธานี!J399"")"),0.0)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IFERROR(__xludf.DUMMYFUNCTION("IMPORTRANGE(""https://docs.google.com/spreadsheets/d/1IYY_tgx_IHuhSq3AJ5eI5OnqOPBNLWSHKh2a30DoXe8/edit?usp=sharing"",""สุราษฎร์ธานี!I400"")"),0.0)</f>
        <v>0</v>
      </c>
      <c r="J505" s="232">
        <f>IFERROR(__xludf.DUMMYFUNCTION("IMPORTRANGE(""https://docs.google.com/spreadsheets/d/1IYY_tgx_IHuhSq3AJ5eI5OnqOPBNLWSHKh2a30DoXe8/edit?usp=sharing"",""สุราษฎร์ธานี!J400"")"),0.0)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IFERROR(__xludf.DUMMYFUNCTION("IMPORTRANGE(""https://docs.google.com/spreadsheets/d/1IYY_tgx_IHuhSq3AJ5eI5OnqOPBNLWSHKh2a30DoXe8/edit?usp=sharing"",""สุราษฎร์ธานี!I401"")"),0.0)</f>
        <v>0</v>
      </c>
      <c r="J506" s="223">
        <f>IFERROR(__xludf.DUMMYFUNCTION("IMPORTRANGE(""https://docs.google.com/spreadsheets/d/1IYY_tgx_IHuhSq3AJ5eI5OnqOPBNLWSHKh2a30DoXe8/edit?usp=sharing"",""สุราษฎร์ธานี!J401"")"),0.0)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IFERROR(__xludf.DUMMYFUNCTION("IMPORTRANGE(""https://docs.google.com/spreadsheets/d/1IYY_tgx_IHuhSq3AJ5eI5OnqOPBNLWSHKh2a30DoXe8/edit?usp=sharing"",""สุราษฎร์ธานี!I402"")"),0.0)</f>
        <v>0</v>
      </c>
      <c r="J507" s="232">
        <f>IFERROR(__xludf.DUMMYFUNCTION("IMPORTRANGE(""https://docs.google.com/spreadsheets/d/1IYY_tgx_IHuhSq3AJ5eI5OnqOPBNLWSHKh2a30DoXe8/edit?usp=sharing"",""สุราษฎร์ธานี!J402"")"),0.0)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IFERROR(__xludf.DUMMYFUNCTION("IMPORTRANGE(""https://docs.google.com/spreadsheets/d/1IYY_tgx_IHuhSq3AJ5eI5OnqOPBNLWSHKh2a30DoXe8/edit?usp=sharing"",""สุราษฎร์ธานี!I403"")"),0.0)</f>
        <v>0</v>
      </c>
      <c r="J508" s="195">
        <f>IFERROR(__xludf.DUMMYFUNCTION("IMPORTRANGE(""https://docs.google.com/spreadsheets/d/1IYY_tgx_IHuhSq3AJ5eI5OnqOPBNLWSHKh2a30DoXe8/edit?usp=sharing"",""สุราษฎร์ธานี!J403"")"),0.0)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IFERROR(__xludf.DUMMYFUNCTION("IMPORTRANGE(""https://docs.google.com/spreadsheets/d/1IYY_tgx_IHuhSq3AJ5eI5OnqOPBNLWSHKh2a30DoXe8/edit?usp=sharing"",""สุราษฎร์ธานี!I404"")"),0.0)</f>
        <v>0</v>
      </c>
      <c r="J509" s="195">
        <f>IFERROR(__xludf.DUMMYFUNCTION("IMPORTRANGE(""https://docs.google.com/spreadsheets/d/1IYY_tgx_IHuhSq3AJ5eI5OnqOPBNLWSHKh2a30DoXe8/edit?usp=sharing"",""สุราษฎร์ธานี!J404"")"),0.0)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IFERROR(__xludf.DUMMYFUNCTION("IMPORTRANGE(""https://docs.google.com/spreadsheets/d/1IYY_tgx_IHuhSq3AJ5eI5OnqOPBNLWSHKh2a30DoXe8/edit?usp=sharing"",""สุราษฎร์ธานี!I405"")"),0.0)</f>
        <v>0</v>
      </c>
      <c r="J510" s="232">
        <f>IFERROR(__xludf.DUMMYFUNCTION("IMPORTRANGE(""https://docs.google.com/spreadsheets/d/1IYY_tgx_IHuhSq3AJ5eI5OnqOPBNLWSHKh2a30DoXe8/edit?usp=sharing"",""สุราษฎร์ธานี!J405"")"),0.0)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IFERROR(__xludf.DUMMYFUNCTION("IMPORTRANGE(""https://docs.google.com/spreadsheets/d/1IYY_tgx_IHuhSq3AJ5eI5OnqOPBNLWSHKh2a30DoXe8/edit?usp=sharing"",""สุราษฎร์ธานี!I406"")"),0.0)</f>
        <v>0</v>
      </c>
      <c r="J511" s="232">
        <f>IFERROR(__xludf.DUMMYFUNCTION("IMPORTRANGE(""https://docs.google.com/spreadsheets/d/1IYY_tgx_IHuhSq3AJ5eI5OnqOPBNLWSHKh2a30DoXe8/edit?usp=sharing"",""สุราษฎร์ธานี!J406"")"),0.0)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IFERROR(__xludf.DUMMYFUNCTION("IMPORTRANGE(""https://docs.google.com/spreadsheets/d/1IYY_tgx_IHuhSq3AJ5eI5OnqOPBNLWSHKh2a30DoXe8/edit?usp=sharing"",""สุราษฎร์ธานี!I407"")"),0.0)</f>
        <v>0</v>
      </c>
      <c r="J512" s="232">
        <f>IFERROR(__xludf.DUMMYFUNCTION("IMPORTRANGE(""https://docs.google.com/spreadsheets/d/1IYY_tgx_IHuhSq3AJ5eI5OnqOPBNLWSHKh2a30DoXe8/edit?usp=sharing"",""สุราษฎร์ธานี!J407"")"),0.0)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IFERROR(__xludf.DUMMYFUNCTION("IMPORTRANGE(""https://docs.google.com/spreadsheets/d/1IYY_tgx_IHuhSq3AJ5eI5OnqOPBNLWSHKh2a30DoXe8/edit?usp=sharing"",""สุราษฎร์ธานี!I408"")"),0.0)</f>
        <v>0</v>
      </c>
      <c r="J513" s="232">
        <f>IFERROR(__xludf.DUMMYFUNCTION("IMPORTRANGE(""https://docs.google.com/spreadsheets/d/1IYY_tgx_IHuhSq3AJ5eI5OnqOPBNLWSHKh2a30DoXe8/edit?usp=sharing"",""สุราษฎร์ธานี!J408"")"),0.0)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IFERROR(__xludf.DUMMYFUNCTION("IMPORTRANGE(""https://docs.google.com/spreadsheets/d/1IYY_tgx_IHuhSq3AJ5eI5OnqOPBNLWSHKh2a30DoXe8/edit?usp=sharing"",""สุราษฎร์ธานี!I409"")"),0.0)</f>
        <v>0</v>
      </c>
      <c r="J514" s="232">
        <f>IFERROR(__xludf.DUMMYFUNCTION("IMPORTRANGE(""https://docs.google.com/spreadsheets/d/1IYY_tgx_IHuhSq3AJ5eI5OnqOPBNLWSHKh2a30DoXe8/edit?usp=sharing"",""สุราษฎร์ธานี!J409"")"),0.0)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IFERROR(__xludf.DUMMYFUNCTION("IMPORTRANGE(""https://docs.google.com/spreadsheets/d/1IYY_tgx_IHuhSq3AJ5eI5OnqOPBNLWSHKh2a30DoXe8/edit?usp=sharing"",""สุราษฎร์ธานี!I410"")"),0.0)</f>
        <v>0</v>
      </c>
      <c r="J515" s="232">
        <f>IFERROR(__xludf.DUMMYFUNCTION("IMPORTRANGE(""https://docs.google.com/spreadsheets/d/1IYY_tgx_IHuhSq3AJ5eI5OnqOPBNLWSHKh2a30DoXe8/edit?usp=sharing"",""สุราษฎร์ธานี!J410"")"),0.0)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IFERROR(__xludf.DUMMYFUNCTION("IMPORTRANGE(""https://docs.google.com/spreadsheets/d/1IYY_tgx_IHuhSq3AJ5eI5OnqOPBNLWSHKh2a30DoXe8/edit?usp=sharing"",""สุราษฎร์ธานี!I411"")"),0.0)</f>
        <v>0</v>
      </c>
      <c r="J516" s="301">
        <f>IFERROR(__xludf.DUMMYFUNCTION("IMPORTRANGE(""https://docs.google.com/spreadsheets/d/1IYY_tgx_IHuhSq3AJ5eI5OnqOPBNLWSHKh2a30DoXe8/edit?usp=sharing"",""สุราษฎร์ธานี!J411"")"),0.0)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IFERROR(__xludf.DUMMYFUNCTION("IMPORTRANGE(""https://docs.google.com/spreadsheets/d/1IYY_tgx_IHuhSq3AJ5eI5OnqOPBNLWSHKh2a30DoXe8/edit?usp=sharing"",""สุราษฎร์ธานี!I412"")"),0.0)</f>
        <v>0</v>
      </c>
      <c r="J517" s="317">
        <f>IFERROR(__xludf.DUMMYFUNCTION("IMPORTRANGE(""https://docs.google.com/spreadsheets/d/1IYY_tgx_IHuhSq3AJ5eI5OnqOPBNLWSHKh2a30DoXe8/edit?usp=sharing"",""สุราษฎร์ธานี!J412"")"),0.0)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IFERROR(__xludf.DUMMYFUNCTION("IMPORTRANGE(""https://docs.google.com/spreadsheets/d/1IYY_tgx_IHuhSq3AJ5eI5OnqOPBNLWSHKh2a30DoXe8/edit?usp=sharing"",""สุราษฎร์ธานี!I413"")"),0.0)</f>
        <v>0</v>
      </c>
      <c r="J518" s="317">
        <f>IFERROR(__xludf.DUMMYFUNCTION("IMPORTRANGE(""https://docs.google.com/spreadsheets/d/1IYY_tgx_IHuhSq3AJ5eI5OnqOPBNLWSHKh2a30DoXe8/edit?usp=sharing"",""สุราษฎร์ธานี!J413"")"),0.0)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IFERROR(__xludf.DUMMYFUNCTION("IMPORTRANGE(""https://docs.google.com/spreadsheets/d/1IYY_tgx_IHuhSq3AJ5eI5OnqOPBNLWSHKh2a30DoXe8/edit?usp=sharing"",""สุราษฎร์ธานี!I414"")"),0.0)</f>
        <v>0</v>
      </c>
      <c r="J519" s="222">
        <f>IFERROR(__xludf.DUMMYFUNCTION("IMPORTRANGE(""https://docs.google.com/spreadsheets/d/1IYY_tgx_IHuhSq3AJ5eI5OnqOPBNLWSHKh2a30DoXe8/edit?usp=sharing"",""สุราษฎร์ธานี!J414"")"),0.0)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IFERROR(__xludf.DUMMYFUNCTION("IMPORTRANGE(""https://docs.google.com/spreadsheets/d/1IYY_tgx_IHuhSq3AJ5eI5OnqOPBNLWSHKh2a30DoXe8/edit?usp=sharing"",""สุราษฎร์ธานี!I415"")"),0.0)</f>
        <v>0</v>
      </c>
      <c r="J520" s="222">
        <f>IFERROR(__xludf.DUMMYFUNCTION("IMPORTRANGE(""https://docs.google.com/spreadsheets/d/1IYY_tgx_IHuhSq3AJ5eI5OnqOPBNLWSHKh2a30DoXe8/edit?usp=sharing"",""สุราษฎร์ธานี!J415"")"),0.0)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IFERROR(__xludf.DUMMYFUNCTION("IMPORTRANGE(""https://docs.google.com/spreadsheets/d/1IYY_tgx_IHuhSq3AJ5eI5OnqOPBNLWSHKh2a30DoXe8/edit?usp=sharing"",""สุราษฎร์ธานี!I416"")"),0.0)</f>
        <v>0</v>
      </c>
      <c r="J521" s="222">
        <f>IFERROR(__xludf.DUMMYFUNCTION("IMPORTRANGE(""https://docs.google.com/spreadsheets/d/1IYY_tgx_IHuhSq3AJ5eI5OnqOPBNLWSHKh2a30DoXe8/edit?usp=sharing"",""สุราษฎร์ธานี!J416"")"),0.0)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IFERROR(__xludf.DUMMYFUNCTION("IMPORTRANGE(""https://docs.google.com/spreadsheets/d/1IYY_tgx_IHuhSq3AJ5eI5OnqOPBNLWSHKh2a30DoXe8/edit?usp=sharing"",""สุราษฎร์ธานี!I417"")"),0.0)</f>
        <v>0</v>
      </c>
      <c r="J522" s="222">
        <f>IFERROR(__xludf.DUMMYFUNCTION("IMPORTRANGE(""https://docs.google.com/spreadsheets/d/1IYY_tgx_IHuhSq3AJ5eI5OnqOPBNLWSHKh2a30DoXe8/edit?usp=sharing"",""สุราษฎร์ธานี!J417"")"),0.0)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IFERROR(__xludf.DUMMYFUNCTION("IMPORTRANGE(""https://docs.google.com/spreadsheets/d/1IYY_tgx_IHuhSq3AJ5eI5OnqOPBNLWSHKh2a30DoXe8/edit?usp=sharing"",""สุราษฎร์ธานี!I418"")"),0.0)</f>
        <v>0</v>
      </c>
      <c r="J523" s="222">
        <f>IFERROR(__xludf.DUMMYFUNCTION("IMPORTRANGE(""https://docs.google.com/spreadsheets/d/1IYY_tgx_IHuhSq3AJ5eI5OnqOPBNLWSHKh2a30DoXe8/edit?usp=sharing"",""สุราษฎร์ธานี!J418"")"),0.0)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IFERROR(__xludf.DUMMYFUNCTION("IMPORTRANGE(""https://docs.google.com/spreadsheets/d/1IYY_tgx_IHuhSq3AJ5eI5OnqOPBNLWSHKh2a30DoXe8/edit?usp=sharing"",""สุราษฎร์ธานี!I419"")"),0.0)</f>
        <v>0</v>
      </c>
      <c r="J524" s="222">
        <f>IFERROR(__xludf.DUMMYFUNCTION("IMPORTRANGE(""https://docs.google.com/spreadsheets/d/1IYY_tgx_IHuhSq3AJ5eI5OnqOPBNLWSHKh2a30DoXe8/edit?usp=sharing"",""สุราษฎร์ธานี!J419"")"),0.0)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IFERROR(__xludf.DUMMYFUNCTION("IMPORTRANGE(""https://docs.google.com/spreadsheets/d/1IYY_tgx_IHuhSq3AJ5eI5OnqOPBNLWSHKh2a30DoXe8/edit?usp=sharing"",""สุราษฎร์ธานี!I420"")"),0.0)</f>
        <v>0</v>
      </c>
      <c r="J525" s="317">
        <f>IFERROR(__xludf.DUMMYFUNCTION("IMPORTRANGE(""https://docs.google.com/spreadsheets/d/1IYY_tgx_IHuhSq3AJ5eI5OnqOPBNLWSHKh2a30DoXe8/edit?usp=sharing"",""สุราษฎร์ธานี!J420"")"),0.0)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IFERROR(__xludf.DUMMYFUNCTION("IMPORTRANGE(""https://docs.google.com/spreadsheets/d/1IYY_tgx_IHuhSq3AJ5eI5OnqOPBNLWSHKh2a30DoXe8/edit?usp=sharing"",""สุราษฎร์ธานี!I421"")"),0.0)</f>
        <v>0</v>
      </c>
      <c r="J526" s="317">
        <f>IFERROR(__xludf.DUMMYFUNCTION("IMPORTRANGE(""https://docs.google.com/spreadsheets/d/1IYY_tgx_IHuhSq3AJ5eI5OnqOPBNLWSHKh2a30DoXe8/edit?usp=sharing"",""สุราษฎร์ธานี!J421"")"),0.0)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IFERROR(__xludf.DUMMYFUNCTION("IMPORTRANGE(""https://docs.google.com/spreadsheets/d/1IYY_tgx_IHuhSq3AJ5eI5OnqOPBNLWSHKh2a30DoXe8/edit?usp=sharing"",""สุราษฎร์ธานี!I422"")"),0.0)</f>
        <v>0</v>
      </c>
      <c r="J527" s="232">
        <f>IFERROR(__xludf.DUMMYFUNCTION("IMPORTRANGE(""https://docs.google.com/spreadsheets/d/1IYY_tgx_IHuhSq3AJ5eI5OnqOPBNLWSHKh2a30DoXe8/edit?usp=sharing"",""สุราษฎร์ธานี!J422"")"),0.0)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IFERROR(__xludf.DUMMYFUNCTION("IMPORTRANGE(""https://docs.google.com/spreadsheets/d/1IYY_tgx_IHuhSq3AJ5eI5OnqOPBNLWSHKh2a30DoXe8/edit?usp=sharing"",""สุราษฎร์ธานี!I423"")"),0.0)</f>
        <v>0</v>
      </c>
      <c r="J528" s="232">
        <f>IFERROR(__xludf.DUMMYFUNCTION("IMPORTRANGE(""https://docs.google.com/spreadsheets/d/1IYY_tgx_IHuhSq3AJ5eI5OnqOPBNLWSHKh2a30DoXe8/edit?usp=sharing"",""สุราษฎร์ธานี!J423"")"),0.0)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IFERROR(__xludf.DUMMYFUNCTION("IMPORTRANGE(""https://docs.google.com/spreadsheets/d/1IYY_tgx_IHuhSq3AJ5eI5OnqOPBNLWSHKh2a30DoXe8/edit?usp=sharing"",""สุราษฎร์ธานี!I424"")"),0.0)</f>
        <v>0</v>
      </c>
      <c r="J529" s="232">
        <f>IFERROR(__xludf.DUMMYFUNCTION("IMPORTRANGE(""https://docs.google.com/spreadsheets/d/1IYY_tgx_IHuhSq3AJ5eI5OnqOPBNLWSHKh2a30DoXe8/edit?usp=sharing"",""สุราษฎร์ธานี!J424"")"),0.0)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IFERROR(__xludf.DUMMYFUNCTION("IMPORTRANGE(""https://docs.google.com/spreadsheets/d/1IYY_tgx_IHuhSq3AJ5eI5OnqOPBNLWSHKh2a30DoXe8/edit?usp=sharing"",""สุราษฎร์ธานี!I425"")"),0.0)</f>
        <v>0</v>
      </c>
      <c r="J530" s="232">
        <f>IFERROR(__xludf.DUMMYFUNCTION("IMPORTRANGE(""https://docs.google.com/spreadsheets/d/1IYY_tgx_IHuhSq3AJ5eI5OnqOPBNLWSHKh2a30DoXe8/edit?usp=sharing"",""สุราษฎร์ธานี!J425"")"),0.0)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IFERROR(__xludf.DUMMYFUNCTION("IMPORTRANGE(""https://docs.google.com/spreadsheets/d/1IYY_tgx_IHuhSq3AJ5eI5OnqOPBNLWSHKh2a30DoXe8/edit?usp=sharing"",""สุราษฎร์ธานี!I426"")"),0.0)</f>
        <v>0</v>
      </c>
      <c r="J531" s="232">
        <f>IFERROR(__xludf.DUMMYFUNCTION("IMPORTRANGE(""https://docs.google.com/spreadsheets/d/1IYY_tgx_IHuhSq3AJ5eI5OnqOPBNLWSHKh2a30DoXe8/edit?usp=sharing"",""สุราษฎร์ธานี!J426"")"),0.0)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IFERROR(__xludf.DUMMYFUNCTION("IMPORTRANGE(""https://docs.google.com/spreadsheets/d/1IYY_tgx_IHuhSq3AJ5eI5OnqOPBNLWSHKh2a30DoXe8/edit?usp=sharing"",""สุราษฎร์ธานี!I427"")"),0.0)</f>
        <v>0</v>
      </c>
      <c r="J532" s="499">
        <f>IFERROR(__xludf.DUMMYFUNCTION("IMPORTRANGE(""https://docs.google.com/spreadsheets/d/1IYY_tgx_IHuhSq3AJ5eI5OnqOPBNLWSHKh2a30DoXe8/edit?usp=sharing"",""สุราษฎร์ธานี!J427"")"),0.0)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IFERROR(__xludf.DUMMYFUNCTION("IMPORTRANGE(""https://docs.google.com/spreadsheets/d/1IYY_tgx_IHuhSq3AJ5eI5OnqOPBNLWSHKh2a30DoXe8/edit?usp=sharing"",""สุราษฎร์ธานี!I428"")"),24.0)</f>
        <v>24</v>
      </c>
      <c r="J533" s="443">
        <f>IFERROR(__xludf.DUMMYFUNCTION("IMPORTRANGE(""https://docs.google.com/spreadsheets/d/1IYY_tgx_IHuhSq3AJ5eI5OnqOPBNLWSHKh2a30DoXe8/edit?usp=sharing"",""สุราษฎร์ธานี!J428"")"),24.0)</f>
        <v>24</v>
      </c>
      <c r="K533" s="444">
        <f>IF(I533&gt;0,J533*100/I533,0)</f>
        <v>100</v>
      </c>
      <c r="L533" s="445">
        <f>IFERROR(__xludf.DUMMYFUNCTION("IMPORTRANGE(""https://docs.google.com/spreadsheets/d/1IYY_tgx_IHuhSq3AJ5eI5OnqOPBNLWSHKh2a30DoXe8/edit?usp=sharing"",""สุราษฎร์ธานี!L428"")"),36040.0)</f>
        <v>36040</v>
      </c>
      <c r="M533" s="445"/>
      <c r="N533" s="445">
        <f>IFERROR(__xludf.DUMMYFUNCTION("IMPORTRANGE(""https://docs.google.com/spreadsheets/d/1IYY_tgx_IHuhSq3AJ5eI5OnqOPBNLWSHKh2a30DoXe8/edit?usp=sharing"",""สุราษฎร์ธานี!M428"")"),20786.0)</f>
        <v>20786</v>
      </c>
      <c r="O533" s="445">
        <f t="shared" ref="O533:O537" si="119">+IF(L533&gt;0,N533*100/L533,0)</f>
        <v>57.67480577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IFERROR(__xludf.DUMMYFUNCTION("IMPORTRANGE(""https://docs.google.com/spreadsheets/d/1IYY_tgx_IHuhSq3AJ5eI5OnqOPBNLWSHKh2a30DoXe8/edit?usp=sharing"",""สุราษฎร์ธานี!L429"")"),0.0)</f>
        <v>0</v>
      </c>
      <c r="M534" s="197"/>
      <c r="N534" s="203">
        <f>IFERROR(__xludf.DUMMYFUNCTION("IMPORTRANGE(""https://docs.google.com/spreadsheets/d/1IYY_tgx_IHuhSq3AJ5eI5OnqOPBNLWSHKh2a30DoXe8/edit?usp=sharing"",""สุราษฎร์ธานี!M429"")"),0.0)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IFERROR(__xludf.DUMMYFUNCTION("IMPORTRANGE(""https://docs.google.com/spreadsheets/d/1IYY_tgx_IHuhSq3AJ5eI5OnqOPBNLWSHKh2a30DoXe8/edit?usp=sharing"",""สุราษฎร์ธานี!L430"")"),36040.0)</f>
        <v>36040</v>
      </c>
      <c r="M535" s="198"/>
      <c r="N535" s="203">
        <f>IFERROR(__xludf.DUMMYFUNCTION("IMPORTRANGE(""https://docs.google.com/spreadsheets/d/1IYY_tgx_IHuhSq3AJ5eI5OnqOPBNLWSHKh2a30DoXe8/edit?usp=sharing"",""สุราษฎร์ธานี!M430"")"),20786.0)</f>
        <v>20786</v>
      </c>
      <c r="O535" s="203">
        <f t="shared" si="119"/>
        <v>57.67480577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IFERROR(__xludf.DUMMYFUNCTION("IMPORTRANGE(""https://docs.google.com/spreadsheets/d/1IYY_tgx_IHuhSq3AJ5eI5OnqOPBNLWSHKh2a30DoXe8/edit?usp=sharing"",""สุราษฎร์ธานี!L431"")"),0.0)</f>
        <v>0</v>
      </c>
      <c r="M536" s="203"/>
      <c r="N536" s="203">
        <f>IFERROR(__xludf.DUMMYFUNCTION("IMPORTRANGE(""https://docs.google.com/spreadsheets/d/1IYY_tgx_IHuhSq3AJ5eI5OnqOPBNLWSHKh2a30DoXe8/edit?usp=sharing"",""สุราษฎร์ธานี!M431"")"),0.0)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IFERROR(__xludf.DUMMYFUNCTION("IMPORTRANGE(""https://docs.google.com/spreadsheets/d/1IYY_tgx_IHuhSq3AJ5eI5OnqOPBNLWSHKh2a30DoXe8/edit?usp=sharing"",""สุราษฎร์ธานี!L432"")"),36040.0)</f>
        <v>36040</v>
      </c>
      <c r="M537" s="203"/>
      <c r="N537" s="203">
        <f>IFERROR(__xludf.DUMMYFUNCTION("IMPORTRANGE(""https://docs.google.com/spreadsheets/d/1IYY_tgx_IHuhSq3AJ5eI5OnqOPBNLWSHKh2a30DoXe8/edit?usp=sharing"",""สุราษฎร์ธานี!M432"")"),20786.0)</f>
        <v>20786</v>
      </c>
      <c r="O537" s="203">
        <f t="shared" si="119"/>
        <v>57.67480577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IFERROR(__xludf.DUMMYFUNCTION("IMPORTRANGE(""https://docs.google.com/spreadsheets/d/1IYY_tgx_IHuhSq3AJ5eI5OnqOPBNLWSHKh2a30DoXe8/edit?usp=sharing"",""สุราษฎร์ธานี!M433"")"),17179.0)</f>
        <v>17179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IFERROR(__xludf.DUMMYFUNCTION("IMPORTRANGE(""https://docs.google.com/spreadsheets/d/1IYY_tgx_IHuhSq3AJ5eI5OnqOPBNLWSHKh2a30DoXe8/edit?usp=sharing"",""สุราษฎร์ธานี!M434"")"),0.0)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IFERROR(__xludf.DUMMYFUNCTION("IMPORTRANGE(""https://docs.google.com/spreadsheets/d/1IYY_tgx_IHuhSq3AJ5eI5OnqOPBNLWSHKh2a30DoXe8/edit?usp=sharing"",""สุราษฎร์ธานี!M435"")"),0.0)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IFERROR(__xludf.DUMMYFUNCTION("IMPORTRANGE(""https://docs.google.com/spreadsheets/d/1IYY_tgx_IHuhSq3AJ5eI5OnqOPBNLWSHKh2a30DoXe8/edit?usp=sharing"",""สุราษฎร์ธานี!M436"")"),3607.0)</f>
        <v>3607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IFERROR(__xludf.DUMMYFUNCTION("IMPORTRANGE(""https://docs.google.com/spreadsheets/d/1IYY_tgx_IHuhSq3AJ5eI5OnqOPBNLWSHKh2a30DoXe8/edit?usp=sharing"",""สุราษฎร์ธานี!J438"")"),0.0)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IFERROR(__xludf.DUMMYFUNCTION("IMPORTRANGE(""https://docs.google.com/spreadsheets/d/1IYY_tgx_IHuhSq3AJ5eI5OnqOPBNLWSHKh2a30DoXe8/edit?usp=sharing"",""สุราษฎร์ธานี!J439"")"),1.0)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IFERROR(__xludf.DUMMYFUNCTION("IMPORTRANGE(""https://docs.google.com/spreadsheets/d/1IYY_tgx_IHuhSq3AJ5eI5OnqOPBNLWSHKh2a30DoXe8/edit?usp=sharing"",""สุราษฎร์ธานี!J440"")"),1.0)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IFERROR(__xludf.DUMMYFUNCTION("IMPORTRANGE(""https://docs.google.com/spreadsheets/d/1IYY_tgx_IHuhSq3AJ5eI5OnqOPBNLWSHKh2a30DoXe8/edit?usp=sharing"",""สุราษฎร์ธานี!J441"")"),1.0)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IFERROR(__xludf.DUMMYFUNCTION("IMPORTRANGE(""https://docs.google.com/spreadsheets/d/1IYY_tgx_IHuhSq3AJ5eI5OnqOPBNLWSHKh2a30DoXe8/edit?usp=sharing"",""สุราษฎร์ธานี!I442"")"),24.0)</f>
        <v>24</v>
      </c>
      <c r="J547" s="223">
        <f>IFERROR(__xludf.DUMMYFUNCTION("IMPORTRANGE(""https://docs.google.com/spreadsheets/d/1IYY_tgx_IHuhSq3AJ5eI5OnqOPBNLWSHKh2a30DoXe8/edit?usp=sharing"",""สุราษฎร์ธานี!J442"")"),24.0)</f>
        <v>24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IFERROR(__xludf.DUMMYFUNCTION("IMPORTRANGE(""https://docs.google.com/spreadsheets/d/1IYY_tgx_IHuhSq3AJ5eI5OnqOPBNLWSHKh2a30DoXe8/edit?usp=sharing"",""สุราษฎร์ธานี!J166"")"),0.0)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IFERROR(__xludf.DUMMYFUNCTION("IMPORTRANGE(""https://docs.google.com/spreadsheets/d/1IYY_tgx_IHuhSq3AJ5eI5OnqOPBNLWSHKh2a30DoXe8/edit?usp=sharing"",""สุราษฎร์ธานี!J444"")"),0.0)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IFERROR(__xludf.DUMMYFUNCTION("IMPORTRANGE(""https://docs.google.com/spreadsheets/d/1IYY_tgx_IHuhSq3AJ5eI5OnqOPBNLWSHKh2a30DoXe8/edit?usp=sharing"",""สุราษฎร์ธานี!J445"")"),0.0)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IFERROR(__xludf.DUMMYFUNCTION("IMPORTRANGE(""https://docs.google.com/spreadsheets/d/1IYY_tgx_IHuhSq3AJ5eI5OnqOPBNLWSHKh2a30DoXe8/edit?usp=sharing"",""สุราษฎร์ธานี!I446"")"),0.0)</f>
        <v>0</v>
      </c>
      <c r="J551" s="443">
        <f>IFERROR(__xludf.DUMMYFUNCTION("IMPORTRANGE(""https://docs.google.com/spreadsheets/d/1IYY_tgx_IHuhSq3AJ5eI5OnqOPBNLWSHKh2a30DoXe8/edit?usp=sharing"",""สุราษฎร์ธานี!J446"")"),0.0)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IFERROR(__xludf.DUMMYFUNCTION("IMPORTRANGE(""https://docs.google.com/spreadsheets/d/1IYY_tgx_IHuhSq3AJ5eI5OnqOPBNLWSHKh2a30DoXe8/edit?usp=sharing"",""สุราษฎร์ธานี!L446"")"),0.0)</f>
        <v>0</v>
      </c>
      <c r="M551" s="445"/>
      <c r="N551" s="445">
        <f>IFERROR(__xludf.DUMMYFUNCTION("IMPORTRANGE(""https://docs.google.com/spreadsheets/d/1IYY_tgx_IHuhSq3AJ5eI5OnqOPBNLWSHKh2a30DoXe8/edit?usp=sharing"",""สุราษฎร์ธานี!M446"")"),0.0)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IFERROR(__xludf.DUMMYFUNCTION("IMPORTRANGE(""https://docs.google.com/spreadsheets/d/1IYY_tgx_IHuhSq3AJ5eI5OnqOPBNLWSHKh2a30DoXe8/edit?usp=sharing"",""สุราษฎร์ธานี!L447"")"),0.0)</f>
        <v>0</v>
      </c>
      <c r="M552" s="197"/>
      <c r="N552" s="203">
        <f>IFERROR(__xludf.DUMMYFUNCTION("IMPORTRANGE(""https://docs.google.com/spreadsheets/d/1IYY_tgx_IHuhSq3AJ5eI5OnqOPBNLWSHKh2a30DoXe8/edit?usp=sharing"",""สุราษฎร์ธานี!M447"")"),0.0)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IFERROR(__xludf.DUMMYFUNCTION("IMPORTRANGE(""https://docs.google.com/spreadsheets/d/1IYY_tgx_IHuhSq3AJ5eI5OnqOPBNLWSHKh2a30DoXe8/edit?usp=sharing"",""สุราษฎร์ธานี!L448"")"),0.0)</f>
        <v>0</v>
      </c>
      <c r="M553" s="198"/>
      <c r="N553" s="203">
        <f>IFERROR(__xludf.DUMMYFUNCTION("IMPORTRANGE(""https://docs.google.com/spreadsheets/d/1IYY_tgx_IHuhSq3AJ5eI5OnqOPBNLWSHKh2a30DoXe8/edit?usp=sharing"",""สุราษฎร์ธานี!M448"")"),0.0)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IFERROR(__xludf.DUMMYFUNCTION("IMPORTRANGE(""https://docs.google.com/spreadsheets/d/1IYY_tgx_IHuhSq3AJ5eI5OnqOPBNLWSHKh2a30DoXe8/edit?usp=sharing"",""สุราษฎร์ธานี!L449"")"),0.0)</f>
        <v>0</v>
      </c>
      <c r="M554" s="203"/>
      <c r="N554" s="203">
        <f>IFERROR(__xludf.DUMMYFUNCTION("IMPORTRANGE(""https://docs.google.com/spreadsheets/d/1IYY_tgx_IHuhSq3AJ5eI5OnqOPBNLWSHKh2a30DoXe8/edit?usp=sharing"",""สุราษฎร์ธานี!M449"")"),0.0)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IFERROR(__xludf.DUMMYFUNCTION("IMPORTRANGE(""https://docs.google.com/spreadsheets/d/1IYY_tgx_IHuhSq3AJ5eI5OnqOPBNLWSHKh2a30DoXe8/edit?usp=sharing"",""สุราษฎร์ธานี!L450"")"),0.0)</f>
        <v>0</v>
      </c>
      <c r="M555" s="203"/>
      <c r="N555" s="203">
        <f>IFERROR(__xludf.DUMMYFUNCTION("IMPORTRANGE(""https://docs.google.com/spreadsheets/d/1IYY_tgx_IHuhSq3AJ5eI5OnqOPBNLWSHKh2a30DoXe8/edit?usp=sharing"",""สุราษฎร์ธานี!M450"")"),0.0)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IFERROR(__xludf.DUMMYFUNCTION("IMPORTRANGE(""https://docs.google.com/spreadsheets/d/1IYY_tgx_IHuhSq3AJ5eI5OnqOPBNLWSHKh2a30DoXe8/edit?usp=sharing"",""สุราษฎร์ธานี!M451"")"),0.0)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IFERROR(__xludf.DUMMYFUNCTION("IMPORTRANGE(""https://docs.google.com/spreadsheets/d/1IYY_tgx_IHuhSq3AJ5eI5OnqOPBNLWSHKh2a30DoXe8/edit?usp=sharing"",""สุราษฎร์ธานี!M452"")"),0.0)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IFERROR(__xludf.DUMMYFUNCTION("IMPORTRANGE(""https://docs.google.com/spreadsheets/d/1IYY_tgx_IHuhSq3AJ5eI5OnqOPBNLWSHKh2a30DoXe8/edit?usp=sharing"",""สุราษฎร์ธานี!M453"")"),0.0)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IFERROR(__xludf.DUMMYFUNCTION("IMPORTRANGE(""https://docs.google.com/spreadsheets/d/1IYY_tgx_IHuhSq3AJ5eI5OnqOPBNLWSHKh2a30DoXe8/edit?usp=sharing"",""สุราษฎร์ธานี!M454"")"),0.0)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IFERROR(__xludf.DUMMYFUNCTION("IMPORTRANGE(""https://docs.google.com/spreadsheets/d/1IYY_tgx_IHuhSq3AJ5eI5OnqOPBNLWSHKh2a30DoXe8/edit?usp=sharing"",""สุราษฎร์ธานี!I455"")"),0.0)</f>
        <v>0</v>
      </c>
      <c r="J560" s="195">
        <f>IFERROR(__xludf.DUMMYFUNCTION("IMPORTRANGE(""https://docs.google.com/spreadsheets/d/1IYY_tgx_IHuhSq3AJ5eI5OnqOPBNLWSHKh2a30DoXe8/edit?usp=sharing"",""สุราษฎร์ธานี!J455"")"),0.0)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IFERROR(__xludf.DUMMYFUNCTION("IMPORTRANGE(""https://docs.google.com/spreadsheets/d/1IYY_tgx_IHuhSq3AJ5eI5OnqOPBNLWSHKh2a30DoXe8/edit?usp=sharing"",""สุราษฎร์ธานี!I456"")"),0.0)</f>
        <v>0</v>
      </c>
      <c r="J561" s="238">
        <f>IFERROR(__xludf.DUMMYFUNCTION("IMPORTRANGE(""https://docs.google.com/spreadsheets/d/1IYY_tgx_IHuhSq3AJ5eI5OnqOPBNLWSHKh2a30DoXe8/edit?usp=sharing"",""สุราษฎร์ธานี!J456"")"),0.0)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IFERROR(__xludf.DUMMYFUNCTION("IMPORTRANGE(""https://docs.google.com/spreadsheets/d/1IYY_tgx_IHuhSq3AJ5eI5OnqOPBNLWSHKh2a30DoXe8/edit?usp=sharing"",""สุราษฎร์ธานี!I457"")"),"")</f>
        <v/>
      </c>
      <c r="J562" s="238" t="str">
        <f>IFERROR(__xludf.DUMMYFUNCTION("IMPORTRANGE(""https://docs.google.com/spreadsheets/d/1IYY_tgx_IHuhSq3AJ5eI5OnqOPBNLWSHKh2a30DoXe8/edit?usp=sharing"",""สุราษฎร์ธานี!J457"")"),"")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IFERROR(__xludf.DUMMYFUNCTION("IMPORTRANGE(""https://docs.google.com/spreadsheets/d/1IYY_tgx_IHuhSq3AJ5eI5OnqOPBNLWSHKh2a30DoXe8/edit?usp=sharing"",""สุราษฎร์ธานี!I458"")"),"")</f>
        <v/>
      </c>
      <c r="J563" s="222" t="str">
        <f>IFERROR(__xludf.DUMMYFUNCTION("IMPORTRANGE(""https://docs.google.com/spreadsheets/d/1IYY_tgx_IHuhSq3AJ5eI5OnqOPBNLWSHKh2a30DoXe8/edit?usp=sharing"",""สุราษฎร์ธานี!J458"")"),"")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IFERROR(__xludf.DUMMYFUNCTION("IMPORTRANGE(""https://docs.google.com/spreadsheets/d/1IYY_tgx_IHuhSq3AJ5eI5OnqOPBNLWSHKh2a30DoXe8/edit?usp=sharing"",""สุราษฎร์ธานี!I459"")"),3100.0)</f>
        <v>3100</v>
      </c>
      <c r="J564" s="404">
        <f>IFERROR(__xludf.DUMMYFUNCTION("IMPORTRANGE(""https://docs.google.com/spreadsheets/d/1IYY_tgx_IHuhSq3AJ5eI5OnqOPBNLWSHKh2a30DoXe8/edit?usp=sharing"",""สุราษฎร์ธานี!J459"")"),2805.0)</f>
        <v>2805</v>
      </c>
      <c r="K564" s="405">
        <f t="shared" si="122"/>
        <v>90.48387097</v>
      </c>
      <c r="L564" s="406">
        <f>IFERROR(__xludf.DUMMYFUNCTION("IMPORTRANGE(""https://docs.google.com/spreadsheets/d/1IYY_tgx_IHuhSq3AJ5eI5OnqOPBNLWSHKh2a30DoXe8/edit?usp=sharing"",""สุราษฎร์ธานี!L459"")"),167200.0)</f>
        <v>167200</v>
      </c>
      <c r="M564" s="406"/>
      <c r="N564" s="406">
        <f>IFERROR(__xludf.DUMMYFUNCTION("IMPORTRANGE(""https://docs.google.com/spreadsheets/d/1IYY_tgx_IHuhSq3AJ5eI5OnqOPBNLWSHKh2a30DoXe8/edit?usp=sharing"",""สุราษฎร์ธานี!M459"")"),11000.0)</f>
        <v>11000</v>
      </c>
      <c r="O564" s="406">
        <f t="shared" ref="O564:O568" si="123">+IF(L564&gt;0,N564*100/L564,0)</f>
        <v>6.578947368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IFERROR(__xludf.DUMMYFUNCTION("IMPORTRANGE(""https://docs.google.com/spreadsheets/d/1IYY_tgx_IHuhSq3AJ5eI5OnqOPBNLWSHKh2a30DoXe8/edit?usp=sharing"",""สุราษฎร์ธานี!L460"")"),0.0)</f>
        <v>0</v>
      </c>
      <c r="M565" s="197"/>
      <c r="N565" s="203">
        <f>IFERROR(__xludf.DUMMYFUNCTION("IMPORTRANGE(""https://docs.google.com/spreadsheets/d/1IYY_tgx_IHuhSq3AJ5eI5OnqOPBNLWSHKh2a30DoXe8/edit?usp=sharing"",""สุราษฎร์ธานี!M460"")"),0.0)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IFERROR(__xludf.DUMMYFUNCTION("IMPORTRANGE(""https://docs.google.com/spreadsheets/d/1IYY_tgx_IHuhSq3AJ5eI5OnqOPBNLWSHKh2a30DoXe8/edit?usp=sharing"",""สุราษฎร์ธานี!L461"")"),167200.0)</f>
        <v>167200</v>
      </c>
      <c r="M566" s="198"/>
      <c r="N566" s="203">
        <f>IFERROR(__xludf.DUMMYFUNCTION("IMPORTRANGE(""https://docs.google.com/spreadsheets/d/1IYY_tgx_IHuhSq3AJ5eI5OnqOPBNLWSHKh2a30DoXe8/edit?usp=sharing"",""สุราษฎร์ธานี!M461"")"),11000.0)</f>
        <v>11000</v>
      </c>
      <c r="O566" s="203">
        <f t="shared" si="123"/>
        <v>6.578947368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IFERROR(__xludf.DUMMYFUNCTION("IMPORTRANGE(""https://docs.google.com/spreadsheets/d/1IYY_tgx_IHuhSq3AJ5eI5OnqOPBNLWSHKh2a30DoXe8/edit?usp=sharing"",""สุราษฎร์ธานี!L462"")"),0.0)</f>
        <v>0</v>
      </c>
      <c r="M567" s="203"/>
      <c r="N567" s="203">
        <f>IFERROR(__xludf.DUMMYFUNCTION("IMPORTRANGE(""https://docs.google.com/spreadsheets/d/1IYY_tgx_IHuhSq3AJ5eI5OnqOPBNLWSHKh2a30DoXe8/edit?usp=sharing"",""สุราษฎร์ธานี!M462"")"),0.0)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IFERROR(__xludf.DUMMYFUNCTION("IMPORTRANGE(""https://docs.google.com/spreadsheets/d/1IYY_tgx_IHuhSq3AJ5eI5OnqOPBNLWSHKh2a30DoXe8/edit?usp=sharing"",""สุราษฎร์ธานี!L463"")"),167200.0)</f>
        <v>167200</v>
      </c>
      <c r="M568" s="203"/>
      <c r="N568" s="203">
        <f>IFERROR(__xludf.DUMMYFUNCTION("IMPORTRANGE(""https://docs.google.com/spreadsheets/d/1IYY_tgx_IHuhSq3AJ5eI5OnqOPBNLWSHKh2a30DoXe8/edit?usp=sharing"",""สุราษฎร์ธานี!M463"")"),11000.0)</f>
        <v>11000</v>
      </c>
      <c r="O568" s="203">
        <f t="shared" si="123"/>
        <v>6.578947368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IFERROR(__xludf.DUMMYFUNCTION("IMPORTRANGE(""https://docs.google.com/spreadsheets/d/1IYY_tgx_IHuhSq3AJ5eI5OnqOPBNLWSHKh2a30DoXe8/edit?usp=sharing"",""สุราษฎร์ธานี!M464"")"),0.0)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IFERROR(__xludf.DUMMYFUNCTION("IMPORTRANGE(""https://docs.google.com/spreadsheets/d/1IYY_tgx_IHuhSq3AJ5eI5OnqOPBNLWSHKh2a30DoXe8/edit?usp=sharing"",""สุราษฎร์ธานี!M465"")"),0.0)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IFERROR(__xludf.DUMMYFUNCTION("IMPORTRANGE(""https://docs.google.com/spreadsheets/d/1IYY_tgx_IHuhSq3AJ5eI5OnqOPBNLWSHKh2a30DoXe8/edit?usp=sharing"",""สุราษฎร์ธานี!M466"")"),11000.0)</f>
        <v>11000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IFERROR(__xludf.DUMMYFUNCTION("IMPORTRANGE(""https://docs.google.com/spreadsheets/d/1IYY_tgx_IHuhSq3AJ5eI5OnqOPBNLWSHKh2a30DoXe8/edit?usp=sharing"",""สุราษฎร์ธานี!M467"")"),0.0)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IFERROR(__xludf.DUMMYFUNCTION("IMPORTRANGE(""https://docs.google.com/spreadsheets/d/1IYY_tgx_IHuhSq3AJ5eI5OnqOPBNLWSHKh2a30DoXe8/edit?usp=sharing"",""สุราษฎร์ธานี!I468"")"),3100.0)</f>
        <v>3100</v>
      </c>
      <c r="J573" s="453">
        <f>IFERROR(__xludf.DUMMYFUNCTION("IMPORTRANGE(""https://docs.google.com/spreadsheets/d/1IYY_tgx_IHuhSq3AJ5eI5OnqOPBNLWSHKh2a30DoXe8/edit?usp=sharing"",""สุราษฎร์ธานี!J468"")"),2805.0)</f>
        <v>2805</v>
      </c>
      <c r="K573" s="236">
        <f>IF(I573&gt;0,J573*100/I573,0)</f>
        <v>90.48387097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IFERROR(__xludf.DUMMYFUNCTION("IMPORTRANGE(""https://docs.google.com/spreadsheets/d/1IYY_tgx_IHuhSq3AJ5eI5OnqOPBNLWSHKh2a30DoXe8/edit?usp=sharing"",""สุราษฎร์ธานี!I470"")"),0.0)</f>
        <v>0</v>
      </c>
      <c r="J575" s="232">
        <f>IFERROR(__xludf.DUMMYFUNCTION("IMPORTRANGE(""https://docs.google.com/spreadsheets/d/1IYY_tgx_IHuhSq3AJ5eI5OnqOPBNLWSHKh2a30DoXe8/edit?usp=sharing"",""สุราษฎร์ธานี!J470"")"),0.0)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IFERROR(__xludf.DUMMYFUNCTION("IMPORTRANGE(""https://docs.google.com/spreadsheets/d/1IYY_tgx_IHuhSq3AJ5eI5OnqOPBNLWSHKh2a30DoXe8/edit?usp=sharing"",""สุราษฎร์ธานี!I471"")"),0.0)</f>
        <v>0</v>
      </c>
      <c r="J576" s="232">
        <f>IFERROR(__xludf.DUMMYFUNCTION("IMPORTRANGE(""https://docs.google.com/spreadsheets/d/1IYY_tgx_IHuhSq3AJ5eI5OnqOPBNLWSHKh2a30DoXe8/edit?usp=sharing"",""สุราษฎร์ธานี!J471"")"),0.0)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IFERROR(__xludf.DUMMYFUNCTION("IMPORTRANGE(""https://docs.google.com/spreadsheets/d/1IYY_tgx_IHuhSq3AJ5eI5OnqOPBNLWSHKh2a30DoXe8/edit?usp=sharing"",""สุราษฎร์ธานี!I472"")"),0.0)</f>
        <v>0</v>
      </c>
      <c r="J577" s="223">
        <f>IFERROR(__xludf.DUMMYFUNCTION("IMPORTRANGE(""https://docs.google.com/spreadsheets/d/1IYY_tgx_IHuhSq3AJ5eI5OnqOPBNLWSHKh2a30DoXe8/edit?usp=sharing"",""สุราษฎร์ธานี!J472"")"),2804.0)</f>
        <v>2804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IFERROR(__xludf.DUMMYFUNCTION("IMPORTRANGE(""https://docs.google.com/spreadsheets/d/1IYY_tgx_IHuhSq3AJ5eI5OnqOPBNLWSHKh2a30DoXe8/edit?usp=sharing"",""สุราษฎร์ธานี!I473"")"),0.0)</f>
        <v>0</v>
      </c>
      <c r="J578" s="232">
        <f>IFERROR(__xludf.DUMMYFUNCTION("IMPORTRANGE(""https://docs.google.com/spreadsheets/d/1IYY_tgx_IHuhSq3AJ5eI5OnqOPBNLWSHKh2a30DoXe8/edit?usp=sharing"",""สุราษฎร์ธานี!J473"")"),1.0)</f>
        <v>1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IFERROR(__xludf.DUMMYFUNCTION("IMPORTRANGE(""https://docs.google.com/spreadsheets/d/1IYY_tgx_IHuhSq3AJ5eI5OnqOPBNLWSHKh2a30DoXe8/edit?usp=sharing"",""สุราษฎร์ธานี!I474"")"),0.0)</f>
        <v>0</v>
      </c>
      <c r="J579" s="232">
        <f>IFERROR(__xludf.DUMMYFUNCTION("IMPORTRANGE(""https://docs.google.com/spreadsheets/d/1IYY_tgx_IHuhSq3AJ5eI5OnqOPBNLWSHKh2a30DoXe8/edit?usp=sharing"",""สุราษฎร์ธานี!J474"")"),0.0)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IFERROR(__xludf.DUMMYFUNCTION("IMPORTRANGE(""https://docs.google.com/spreadsheets/d/1IYY_tgx_IHuhSq3AJ5eI5OnqOPBNLWSHKh2a30DoXe8/edit?usp=sharing"",""สุราษฎร์ธานี!I475"")"),0.0)</f>
        <v>0</v>
      </c>
      <c r="J580" s="404">
        <f>IFERROR(__xludf.DUMMYFUNCTION("IMPORTRANGE(""https://docs.google.com/spreadsheets/d/1IYY_tgx_IHuhSq3AJ5eI5OnqOPBNLWSHKh2a30DoXe8/edit?usp=sharing"",""สุราษฎร์ธานี!J475"")"),0.0)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IFERROR(__xludf.DUMMYFUNCTION("IMPORTRANGE(""https://docs.google.com/spreadsheets/d/1IYY_tgx_IHuhSq3AJ5eI5OnqOPBNLWSHKh2a30DoXe8/edit?usp=sharing"",""สุราษฎร์ธานี!L475"")"),0.0)</f>
        <v>0</v>
      </c>
      <c r="M580" s="406"/>
      <c r="N580" s="406">
        <f>IFERROR(__xludf.DUMMYFUNCTION("IMPORTRANGE(""https://docs.google.com/spreadsheets/d/1IYY_tgx_IHuhSq3AJ5eI5OnqOPBNLWSHKh2a30DoXe8/edit?usp=sharing"",""สุราษฎร์ธานี!M475"")"),0.0)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IFERROR(__xludf.DUMMYFUNCTION("IMPORTRANGE(""https://docs.google.com/spreadsheets/d/1IYY_tgx_IHuhSq3AJ5eI5OnqOPBNLWSHKh2a30DoXe8/edit?usp=sharing"",""สุราษฎร์ธานี!L476"")"),0.0)</f>
        <v>0</v>
      </c>
      <c r="M581" s="197"/>
      <c r="N581" s="203">
        <f>IFERROR(__xludf.DUMMYFUNCTION("IMPORTRANGE(""https://docs.google.com/spreadsheets/d/1IYY_tgx_IHuhSq3AJ5eI5OnqOPBNLWSHKh2a30DoXe8/edit?usp=sharing"",""สุราษฎร์ธานี!M476"")"),0.0)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IFERROR(__xludf.DUMMYFUNCTION("IMPORTRANGE(""https://docs.google.com/spreadsheets/d/1IYY_tgx_IHuhSq3AJ5eI5OnqOPBNLWSHKh2a30DoXe8/edit?usp=sharing"",""สุราษฎร์ธานี!L477"")"),0.0)</f>
        <v>0</v>
      </c>
      <c r="M582" s="198"/>
      <c r="N582" s="203">
        <f>IFERROR(__xludf.DUMMYFUNCTION("IMPORTRANGE(""https://docs.google.com/spreadsheets/d/1IYY_tgx_IHuhSq3AJ5eI5OnqOPBNLWSHKh2a30DoXe8/edit?usp=sharing"",""สุราษฎร์ธานี!M477"")"),0.0)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IFERROR(__xludf.DUMMYFUNCTION("IMPORTRANGE(""https://docs.google.com/spreadsheets/d/1IYY_tgx_IHuhSq3AJ5eI5OnqOPBNLWSHKh2a30DoXe8/edit?usp=sharing"",""สุราษฎร์ธานี!L478"")"),0.0)</f>
        <v>0</v>
      </c>
      <c r="M583" s="203"/>
      <c r="N583" s="203">
        <f>IFERROR(__xludf.DUMMYFUNCTION("IMPORTRANGE(""https://docs.google.com/spreadsheets/d/1IYY_tgx_IHuhSq3AJ5eI5OnqOPBNLWSHKh2a30DoXe8/edit?usp=sharing"",""สุราษฎร์ธานี!M478"")"),0.0)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IFERROR(__xludf.DUMMYFUNCTION("IMPORTRANGE(""https://docs.google.com/spreadsheets/d/1IYY_tgx_IHuhSq3AJ5eI5OnqOPBNLWSHKh2a30DoXe8/edit?usp=sharing"",""สุราษฎร์ธานี!L479"")"),0.0)</f>
        <v>0</v>
      </c>
      <c r="M584" s="203"/>
      <c r="N584" s="203">
        <f>IFERROR(__xludf.DUMMYFUNCTION("IMPORTRANGE(""https://docs.google.com/spreadsheets/d/1IYY_tgx_IHuhSq3AJ5eI5OnqOPBNLWSHKh2a30DoXe8/edit?usp=sharing"",""สุราษฎร์ธานี!M479"")"),0.0)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IFERROR(__xludf.DUMMYFUNCTION("IMPORTRANGE(""https://docs.google.com/spreadsheets/d/1IYY_tgx_IHuhSq3AJ5eI5OnqOPBNLWSHKh2a30DoXe8/edit?usp=sharing"",""สุราษฎร์ธานี!M480"")"),0.0)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IFERROR(__xludf.DUMMYFUNCTION("IMPORTRANGE(""https://docs.google.com/spreadsheets/d/1IYY_tgx_IHuhSq3AJ5eI5OnqOPBNLWSHKh2a30DoXe8/edit?usp=sharing"",""สุราษฎร์ธานี!M481"")"),0.0)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IFERROR(__xludf.DUMMYFUNCTION("IMPORTRANGE(""https://docs.google.com/spreadsheets/d/1IYY_tgx_IHuhSq3AJ5eI5OnqOPBNLWSHKh2a30DoXe8/edit?usp=sharing"",""สุราษฎร์ธานี!M482"")"),0.0)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IFERROR(__xludf.DUMMYFUNCTION("IMPORTRANGE(""https://docs.google.com/spreadsheets/d/1IYY_tgx_IHuhSq3AJ5eI5OnqOPBNLWSHKh2a30DoXe8/edit?usp=sharing"",""สุราษฎร์ธานี!M483"")"),0.0)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IFERROR(__xludf.DUMMYFUNCTION("IMPORTRANGE(""https://docs.google.com/spreadsheets/d/1IYY_tgx_IHuhSq3AJ5eI5OnqOPBNLWSHKh2a30DoXe8/edit?usp=sharing"",""สุราษฎร์ธานี!I484"")"),0.0)</f>
        <v>0</v>
      </c>
      <c r="J589" s="222">
        <f>IFERROR(__xludf.DUMMYFUNCTION("IMPORTRANGE(""https://docs.google.com/spreadsheets/d/1IYY_tgx_IHuhSq3AJ5eI5OnqOPBNLWSHKh2a30DoXe8/edit?usp=sharing"",""สุราษฎร์ธานี!J484"")"),0.0)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IFERROR(__xludf.DUMMYFUNCTION("IMPORTRANGE(""https://docs.google.com/spreadsheets/d/1IYY_tgx_IHuhSq3AJ5eI5OnqOPBNLWSHKh2a30DoXe8/edit?usp=sharing"",""สุราษฎร์ธานี!I485"")"),0.0)</f>
        <v>0</v>
      </c>
      <c r="J590" s="222">
        <f>IFERROR(__xludf.DUMMYFUNCTION("IMPORTRANGE(""https://docs.google.com/spreadsheets/d/1IYY_tgx_IHuhSq3AJ5eI5OnqOPBNLWSHKh2a30DoXe8/edit?usp=sharing"",""สุราษฎร์ธานี!J485"")"),0.0)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IFERROR(__xludf.DUMMYFUNCTION("IMPORTRANGE(""https://docs.google.com/spreadsheets/d/1IYY_tgx_IHuhSq3AJ5eI5OnqOPBNLWSHKh2a30DoXe8/edit?usp=sharing"",""สุราษฎร์ธานี!I486"")"),0.0)</f>
        <v>0</v>
      </c>
      <c r="J591" s="222">
        <f>IFERROR(__xludf.DUMMYFUNCTION("IMPORTRANGE(""https://docs.google.com/spreadsheets/d/1IYY_tgx_IHuhSq3AJ5eI5OnqOPBNLWSHKh2a30DoXe8/edit?usp=sharing"",""สุราษฎร์ธานี!J486"")"),0.0)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IFERROR(__xludf.DUMMYFUNCTION("IMPORTRANGE(""https://docs.google.com/spreadsheets/d/1IYY_tgx_IHuhSq3AJ5eI5OnqOPBNLWSHKh2a30DoXe8/edit?usp=sharing"",""สุราษฎร์ธานี!I487"")"),0.0)</f>
        <v>0</v>
      </c>
      <c r="J592" s="222">
        <f>IFERROR(__xludf.DUMMYFUNCTION("IMPORTRANGE(""https://docs.google.com/spreadsheets/d/1IYY_tgx_IHuhSq3AJ5eI5OnqOPBNLWSHKh2a30DoXe8/edit?usp=sharing"",""สุราษฎร์ธานี!J487"")"),0.0)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IFERROR(__xludf.DUMMYFUNCTION("IMPORTRANGE(""https://docs.google.com/spreadsheets/d/1IYY_tgx_IHuhSq3AJ5eI5OnqOPBNLWSHKh2a30DoXe8/edit?usp=sharing"",""สุราษฎร์ธานี!I488"")"),0.0)</f>
        <v>0</v>
      </c>
      <c r="J593" s="222">
        <f>IFERROR(__xludf.DUMMYFUNCTION("IMPORTRANGE(""https://docs.google.com/spreadsheets/d/1IYY_tgx_IHuhSq3AJ5eI5OnqOPBNLWSHKh2a30DoXe8/edit?usp=sharing"",""สุราษฎร์ธานี!J488"")"),0.0)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IFERROR(__xludf.DUMMYFUNCTION("IMPORTRANGE(""https://docs.google.com/spreadsheets/d/1IYY_tgx_IHuhSq3AJ5eI5OnqOPBNLWSHKh2a30DoXe8/edit?usp=sharing"",""สุราษฎร์ธานี!I489"")"),0.0)</f>
        <v>0</v>
      </c>
      <c r="J594" s="222">
        <f>IFERROR(__xludf.DUMMYFUNCTION("IMPORTRANGE(""https://docs.google.com/spreadsheets/d/1IYY_tgx_IHuhSq3AJ5eI5OnqOPBNLWSHKh2a30DoXe8/edit?usp=sharing"",""สุราษฎร์ธานี!J489"")"),0.0)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IFERROR(__xludf.DUMMYFUNCTION("IMPORTRANGE(""https://docs.google.com/spreadsheets/d/1IYY_tgx_IHuhSq3AJ5eI5OnqOPBNLWSHKh2a30DoXe8/edit?usp=sharing"",""สุราษฎร์ธานี!I490"")"),0.0)</f>
        <v>0</v>
      </c>
      <c r="J595" s="222">
        <f>IFERROR(__xludf.DUMMYFUNCTION("IMPORTRANGE(""https://docs.google.com/spreadsheets/d/1IYY_tgx_IHuhSq3AJ5eI5OnqOPBNLWSHKh2a30DoXe8/edit?usp=sharing"",""สุราษฎร์ธานี!J490"")"),0.0)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IFERROR(__xludf.DUMMYFUNCTION("IMPORTRANGE(""https://docs.google.com/spreadsheets/d/1IYY_tgx_IHuhSq3AJ5eI5OnqOPBNLWSHKh2a30DoXe8/edit?usp=sharing"",""สุราษฎร์ธานี!I491"")"),0.0)</f>
        <v>0</v>
      </c>
      <c r="J596" s="275">
        <f>IFERROR(__xludf.DUMMYFUNCTION("IMPORTRANGE(""https://docs.google.com/spreadsheets/d/1IYY_tgx_IHuhSq3AJ5eI5OnqOPBNLWSHKh2a30DoXe8/edit?usp=sharing"",""สุราษฎร์ธานี!J491"")"),0.0)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IFERROR(__xludf.DUMMYFUNCTION("IMPORTRANGE(""https://docs.google.com/spreadsheets/d/1IYY_tgx_IHuhSq3AJ5eI5OnqOPBNLWSHKh2a30DoXe8/edit?usp=sharing"",""สุราษฎร์ธานี!I492"")"),100.0)</f>
        <v>100</v>
      </c>
      <c r="J597" s="520">
        <f>IFERROR(__xludf.DUMMYFUNCTION("IMPORTRANGE(""https://docs.google.com/spreadsheets/d/1IYY_tgx_IHuhSq3AJ5eI5OnqOPBNLWSHKh2a30DoXe8/edit?usp=sharing"",""สุราษฎร์ธานี!J492"")"),0.0)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IFERROR(__xludf.DUMMYFUNCTION("IMPORTRANGE(""https://docs.google.com/spreadsheets/d/1IYY_tgx_IHuhSq3AJ5eI5OnqOPBNLWSHKh2a30DoXe8/edit?usp=sharing"",""สุราษฎร์ธานี!L492"")"),8100.0)</f>
        <v>8100</v>
      </c>
      <c r="M597" s="445"/>
      <c r="N597" s="445">
        <f>IFERROR(__xludf.DUMMYFUNCTION("IMPORTRANGE(""https://docs.google.com/spreadsheets/d/1IYY_tgx_IHuhSq3AJ5eI5OnqOPBNLWSHKh2a30DoXe8/edit?usp=sharing"",""สุราษฎร์ธานี!M492"")"),2600.0)</f>
        <v>2600</v>
      </c>
      <c r="O597" s="445">
        <f t="shared" ref="O597:O601" si="127">+IF(L597&gt;0,N597*100/L597,0)</f>
        <v>32.09876543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IFERROR(__xludf.DUMMYFUNCTION("IMPORTRANGE(""https://docs.google.com/spreadsheets/d/1IYY_tgx_IHuhSq3AJ5eI5OnqOPBNLWSHKh2a30DoXe8/edit?usp=sharing"",""สุราษฎร์ธานี!L493"")"),0.0)</f>
        <v>0</v>
      </c>
      <c r="M598" s="197"/>
      <c r="N598" s="203">
        <f>IFERROR(__xludf.DUMMYFUNCTION("IMPORTRANGE(""https://docs.google.com/spreadsheets/d/1IYY_tgx_IHuhSq3AJ5eI5OnqOPBNLWSHKh2a30DoXe8/edit?usp=sharing"",""สุราษฎร์ธานี!M493"")"),0.0)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IFERROR(__xludf.DUMMYFUNCTION("IMPORTRANGE(""https://docs.google.com/spreadsheets/d/1IYY_tgx_IHuhSq3AJ5eI5OnqOPBNLWSHKh2a30DoXe8/edit?usp=sharing"",""สุราษฎร์ธานี!L494"")"),8100.0)</f>
        <v>8100</v>
      </c>
      <c r="M599" s="198"/>
      <c r="N599" s="203">
        <f>IFERROR(__xludf.DUMMYFUNCTION("IMPORTRANGE(""https://docs.google.com/spreadsheets/d/1IYY_tgx_IHuhSq3AJ5eI5OnqOPBNLWSHKh2a30DoXe8/edit?usp=sharing"",""สุราษฎร์ธานี!M494"")"),2600.0)</f>
        <v>2600</v>
      </c>
      <c r="O599" s="203">
        <f t="shared" si="127"/>
        <v>32.09876543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IFERROR(__xludf.DUMMYFUNCTION("IMPORTRANGE(""https://docs.google.com/spreadsheets/d/1IYY_tgx_IHuhSq3AJ5eI5OnqOPBNLWSHKh2a30DoXe8/edit?usp=sharing"",""สุราษฎร์ธานี!L495"")"),0.0)</f>
        <v>0</v>
      </c>
      <c r="M600" s="203"/>
      <c r="N600" s="203">
        <f>IFERROR(__xludf.DUMMYFUNCTION("IMPORTRANGE(""https://docs.google.com/spreadsheets/d/1IYY_tgx_IHuhSq3AJ5eI5OnqOPBNLWSHKh2a30DoXe8/edit?usp=sharing"",""สุราษฎร์ธานี!M495"")"),0.0)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IFERROR(__xludf.DUMMYFUNCTION("IMPORTRANGE(""https://docs.google.com/spreadsheets/d/1IYY_tgx_IHuhSq3AJ5eI5OnqOPBNLWSHKh2a30DoXe8/edit?usp=sharing"",""สุราษฎร์ธานี!L496"")"),8100.0)</f>
        <v>8100</v>
      </c>
      <c r="M601" s="203"/>
      <c r="N601" s="203">
        <f>IFERROR(__xludf.DUMMYFUNCTION("IMPORTRANGE(""https://docs.google.com/spreadsheets/d/1IYY_tgx_IHuhSq3AJ5eI5OnqOPBNLWSHKh2a30DoXe8/edit?usp=sharing"",""สุราษฎร์ธานี!M496"")"),2600.0)</f>
        <v>2600</v>
      </c>
      <c r="O601" s="203">
        <f t="shared" si="127"/>
        <v>32.09876543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IFERROR(__xludf.DUMMYFUNCTION("IMPORTRANGE(""https://docs.google.com/spreadsheets/d/1IYY_tgx_IHuhSq3AJ5eI5OnqOPBNLWSHKh2a30DoXe8/edit?usp=sharing"",""สุราษฎร์ธานี!M497"")"),0.0)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IFERROR(__xludf.DUMMYFUNCTION("IMPORTRANGE(""https://docs.google.com/spreadsheets/d/1IYY_tgx_IHuhSq3AJ5eI5OnqOPBNLWSHKh2a30DoXe8/edit?usp=sharing"",""สุราษฎร์ธานี!M498"")"),0.0)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IFERROR(__xludf.DUMMYFUNCTION("IMPORTRANGE(""https://docs.google.com/spreadsheets/d/1IYY_tgx_IHuhSq3AJ5eI5OnqOPBNLWSHKh2a30DoXe8/edit?usp=sharing"",""สุราษฎร์ธานี!M499"")"),0.0)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IFERROR(__xludf.DUMMYFUNCTION("IMPORTRANGE(""https://docs.google.com/spreadsheets/d/1IYY_tgx_IHuhSq3AJ5eI5OnqOPBNLWSHKh2a30DoXe8/edit?usp=sharing"",""สุราษฎร์ธานี!M500"")"),2600.0)</f>
        <v>2600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IFERROR(__xludf.DUMMYFUNCTION("IMPORTRANGE(""https://docs.google.com/spreadsheets/d/1IYY_tgx_IHuhSq3AJ5eI5OnqOPBNLWSHKh2a30DoXe8/edit?usp=sharing"",""สุราษฎร์ธานี!J502"")"),0.0)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IFERROR(__xludf.DUMMYFUNCTION("IMPORTRANGE(""https://docs.google.com/spreadsheets/d/1IYY_tgx_IHuhSq3AJ5eI5OnqOPBNLWSHKh2a30DoXe8/edit?usp=sharing"",""สุราษฎร์ธานี!J503"")"),1.0)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IFERROR(__xludf.DUMMYFUNCTION("IMPORTRANGE(""https://docs.google.com/spreadsheets/d/1IYY_tgx_IHuhSq3AJ5eI5OnqOPBNLWSHKh2a30DoXe8/edit?usp=sharing"",""สุราษฎร์ธานี!J166"")"),0.0)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IFERROR(__xludf.DUMMYFUNCTION("IMPORTRANGE(""https://docs.google.com/spreadsheets/d/1IYY_tgx_IHuhSq3AJ5eI5OnqOPBNLWSHKh2a30DoXe8/edit?usp=sharing"",""สุราษฎร์ธานี!J166"")"),0.0)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IFERROR(__xludf.DUMMYFUNCTION("IMPORTRANGE(""https://docs.google.com/spreadsheets/d/1IYY_tgx_IHuhSq3AJ5eI5OnqOPBNLWSHKh2a30DoXe8/edit?usp=sharing"",""สุราษฎร์ธานี!I506"")"),100.0)</f>
        <v>100</v>
      </c>
      <c r="J611" s="195">
        <f>IFERROR(__xludf.DUMMYFUNCTION("IMPORTRANGE(""https://docs.google.com/spreadsheets/d/1IYY_tgx_IHuhSq3AJ5eI5OnqOPBNLWSHKh2a30DoXe8/edit?usp=sharing"",""สุราษฎร์ธานี!J506"")"),0.0)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IFERROR(__xludf.DUMMYFUNCTION("IMPORTRANGE(""https://docs.google.com/spreadsheets/d/1IYY_tgx_IHuhSq3AJ5eI5OnqOPBNLWSHKh2a30DoXe8/edit?usp=sharing"",""สุราษฎร์ธานี!I507"")"),0.0)</f>
        <v>0</v>
      </c>
      <c r="J612" s="232">
        <f>IFERROR(__xludf.DUMMYFUNCTION("IMPORTRANGE(""https://docs.google.com/spreadsheets/d/1IYY_tgx_IHuhSq3AJ5eI5OnqOPBNLWSHKh2a30DoXe8/edit?usp=sharing"",""สุราษฎร์ธานี!J507"")"),0.0)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IFERROR(__xludf.DUMMYFUNCTION("IMPORTRANGE(""https://docs.google.com/spreadsheets/d/1IYY_tgx_IHuhSq3AJ5eI5OnqOPBNLWSHKh2a30DoXe8/edit?usp=sharing"",""สุราษฎร์ธานี!I508"")"),0.0)</f>
        <v>0</v>
      </c>
      <c r="J613" s="232">
        <f>IFERROR(__xludf.DUMMYFUNCTION("IMPORTRANGE(""https://docs.google.com/spreadsheets/d/1IYY_tgx_IHuhSq3AJ5eI5OnqOPBNLWSHKh2a30DoXe8/edit?usp=sharing"",""สุราษฎร์ธานี!J508"")"),0.0)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IFERROR(__xludf.DUMMYFUNCTION("IMPORTRANGE(""https://docs.google.com/spreadsheets/d/1IYY_tgx_IHuhSq3AJ5eI5OnqOPBNLWSHKh2a30DoXe8/edit?usp=sharing"",""สุราษฎร์ธานี!I509"")"),0.0)</f>
        <v>0</v>
      </c>
      <c r="J614" s="232">
        <f>IFERROR(__xludf.DUMMYFUNCTION("IMPORTRANGE(""https://docs.google.com/spreadsheets/d/1IYY_tgx_IHuhSq3AJ5eI5OnqOPBNLWSHKh2a30DoXe8/edit?usp=sharing"",""สุราษฎร์ธานี!J509"")"),0.0)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IFERROR(__xludf.DUMMYFUNCTION("IMPORTRANGE(""https://docs.google.com/spreadsheets/d/1IYY_tgx_IHuhSq3AJ5eI5OnqOPBNLWSHKh2a30DoXe8/edit?usp=sharing"",""สุราษฎร์ธานี!I510"")"),0.0)</f>
        <v>0</v>
      </c>
      <c r="J615" s="232">
        <f>IFERROR(__xludf.DUMMYFUNCTION("IMPORTRANGE(""https://docs.google.com/spreadsheets/d/1IYY_tgx_IHuhSq3AJ5eI5OnqOPBNLWSHKh2a30DoXe8/edit?usp=sharing"",""สุราษฎร์ธานี!J510"")"),0.0)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IFERROR(__xludf.DUMMYFUNCTION("IMPORTRANGE(""https://docs.google.com/spreadsheets/d/1IYY_tgx_IHuhSq3AJ5eI5OnqOPBNLWSHKh2a30DoXe8/edit?usp=sharing"",""สุราษฎร์ธานี!I511"")"),0.0)</f>
        <v>0</v>
      </c>
      <c r="J616" s="232">
        <f>IFERROR(__xludf.DUMMYFUNCTION("IMPORTRANGE(""https://docs.google.com/spreadsheets/d/1IYY_tgx_IHuhSq3AJ5eI5OnqOPBNLWSHKh2a30DoXe8/edit?usp=sharing"",""สุราษฎร์ธานี!J511"")"),0.0)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IFERROR(__xludf.DUMMYFUNCTION("IMPORTRANGE(""https://docs.google.com/spreadsheets/d/1IYY_tgx_IHuhSq3AJ5eI5OnqOPBNLWSHKh2a30DoXe8/edit?usp=sharing"",""สุราษฎร์ธานี!I512"")"),0.0)</f>
        <v>0</v>
      </c>
      <c r="J617" s="222">
        <f>IFERROR(__xludf.DUMMYFUNCTION("IMPORTRANGE(""https://docs.google.com/spreadsheets/d/1IYY_tgx_IHuhSq3AJ5eI5OnqOPBNLWSHKh2a30DoXe8/edit?usp=sharing"",""สุราษฎร์ธานี!J512"")"),0.0)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IFERROR(__xludf.DUMMYFUNCTION("IMPORTRANGE(""https://docs.google.com/spreadsheets/d/1IYY_tgx_IHuhSq3AJ5eI5OnqOPBNLWSHKh2a30DoXe8/edit?usp=sharing"",""สุราษฎร์ธานี!I513"")"),0.0)</f>
        <v>0</v>
      </c>
      <c r="J618" s="223">
        <f>IFERROR(__xludf.DUMMYFUNCTION("IMPORTRANGE(""https://docs.google.com/spreadsheets/d/1IYY_tgx_IHuhSq3AJ5eI5OnqOPBNLWSHKh2a30DoXe8/edit?usp=sharing"",""สุราษฎร์ธานี!J513"")"),0.0)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IFERROR(__xludf.DUMMYFUNCTION("IMPORTRANGE(""https://docs.google.com/spreadsheets/d/1IYY_tgx_IHuhSq3AJ5eI5OnqOPBNLWSHKh2a30DoXe8/edit?usp=sharing"",""สุราษฎร์ธานี!I514"")"),0.0)</f>
        <v>0</v>
      </c>
      <c r="J619" s="223">
        <f>IFERROR(__xludf.DUMMYFUNCTION("IMPORTRANGE(""https://docs.google.com/spreadsheets/d/1IYY_tgx_IHuhSq3AJ5eI5OnqOPBNLWSHKh2a30DoXe8/edit?usp=sharing"",""สุราษฎร์ธานี!J514"")"),0.0)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IFERROR(__xludf.DUMMYFUNCTION("IMPORTRANGE(""https://docs.google.com/spreadsheets/d/1IYY_tgx_IHuhSq3AJ5eI5OnqOPBNLWSHKh2a30DoXe8/edit?usp=sharing"",""สุราษฎร์ธานี!I515"")"),0.0)</f>
        <v>0</v>
      </c>
      <c r="J620" s="237">
        <f>IFERROR(__xludf.DUMMYFUNCTION("IMPORTRANGE(""https://docs.google.com/spreadsheets/d/1IYY_tgx_IHuhSq3AJ5eI5OnqOPBNLWSHKh2a30DoXe8/edit?usp=sharing"",""สุราษฎร์ธานี!J515"")"),0.0)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IFERROR(__xludf.DUMMYFUNCTION("IMPORTRANGE(""https://docs.google.com/spreadsheets/d/1IYY_tgx_IHuhSq3AJ5eI5OnqOPBNLWSHKh2a30DoXe8/edit?usp=sharing"",""สุราษฎร์ธานี!I516"")"),0.0)</f>
        <v>0</v>
      </c>
      <c r="J621" s="237">
        <f>IFERROR(__xludf.DUMMYFUNCTION("IMPORTRANGE(""https://docs.google.com/spreadsheets/d/1IYY_tgx_IHuhSq3AJ5eI5OnqOPBNLWSHKh2a30DoXe8/edit?usp=sharing"",""สุราษฎร์ธานี!J516"")"),0.0)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IFERROR(__xludf.DUMMYFUNCTION("IMPORTRANGE(""https://docs.google.com/spreadsheets/d/1IYY_tgx_IHuhSq3AJ5eI5OnqOPBNLWSHKh2a30DoXe8/edit?usp=sharing"",""สุราษฎร์ธานี!I517"")"),0.0)</f>
        <v>0</v>
      </c>
      <c r="J622" s="223">
        <f>IFERROR(__xludf.DUMMYFUNCTION("IMPORTRANGE(""https://docs.google.com/spreadsheets/d/1IYY_tgx_IHuhSq3AJ5eI5OnqOPBNLWSHKh2a30DoXe8/edit?usp=sharing"",""สุราษฎร์ธานี!J517"")"),0.0)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IFERROR(__xludf.DUMMYFUNCTION("IMPORTRANGE(""https://docs.google.com/spreadsheets/d/1IYY_tgx_IHuhSq3AJ5eI5OnqOPBNLWSHKh2a30DoXe8/edit?usp=sharing"",""สุราษฎร์ธานี!I518"")"),0.0)</f>
        <v>0</v>
      </c>
      <c r="J623" s="223">
        <f>IFERROR(__xludf.DUMMYFUNCTION("IMPORTRANGE(""https://docs.google.com/spreadsheets/d/1IYY_tgx_IHuhSq3AJ5eI5OnqOPBNLWSHKh2a30DoXe8/edit?usp=sharing"",""สุราษฎร์ธานี!J518"")"),0.0)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IFERROR(__xludf.DUMMYFUNCTION("IMPORTRANGE(""https://docs.google.com/spreadsheets/d/1IYY_tgx_IHuhSq3AJ5eI5OnqOPBNLWSHKh2a30DoXe8/edit?usp=sharing"",""สุราษฎร์ธานี!I519"")"),0.0)</f>
        <v>0</v>
      </c>
      <c r="J624" s="222">
        <f>IFERROR(__xludf.DUMMYFUNCTION("IMPORTRANGE(""https://docs.google.com/spreadsheets/d/1IYY_tgx_IHuhSq3AJ5eI5OnqOPBNLWSHKh2a30DoXe8/edit?usp=sharing"",""สุราษฎร์ธานี!J519"")"),0.0)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IFERROR(__xludf.DUMMYFUNCTION("IMPORTRANGE(""https://docs.google.com/spreadsheets/d/1IYY_tgx_IHuhSq3AJ5eI5OnqOPBNLWSHKh2a30DoXe8/edit?usp=sharing"",""สุราษฎร์ธานี!I520"")"),0.0)</f>
        <v>0</v>
      </c>
      <c r="J625" s="223">
        <f>IFERROR(__xludf.DUMMYFUNCTION("IMPORTRANGE(""https://docs.google.com/spreadsheets/d/1IYY_tgx_IHuhSq3AJ5eI5OnqOPBNLWSHKh2a30DoXe8/edit?usp=sharing"",""สุราษฎร์ธานี!J520"")"),0.0)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IFERROR(__xludf.DUMMYFUNCTION("IMPORTRANGE(""https://docs.google.com/spreadsheets/d/1IYY_tgx_IHuhSq3AJ5eI5OnqOPBNLWSHKh2a30DoXe8/edit?usp=sharing"",""สุราษฎร์ธานี!I521"")"),0.0)</f>
        <v>0</v>
      </c>
      <c r="J626" s="223">
        <f>IFERROR(__xludf.DUMMYFUNCTION("IMPORTRANGE(""https://docs.google.com/spreadsheets/d/1IYY_tgx_IHuhSq3AJ5eI5OnqOPBNLWSHKh2a30DoXe8/edit?usp=sharing"",""สุราษฎร์ธานี!J521"")"),0.0)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IFERROR(__xludf.DUMMYFUNCTION("IMPORTRANGE(""https://docs.google.com/spreadsheets/d/1IYY_tgx_IHuhSq3AJ5eI5OnqOPBNLWSHKh2a30DoXe8/edit?usp=sharing"",""สุราษฎร์ธานี!I523"")"),4091300.88)</f>
        <v>4091300.88</v>
      </c>
      <c r="J628" s="374">
        <f>IFERROR(__xludf.DUMMYFUNCTION("IMPORTRANGE(""https://docs.google.com/spreadsheets/d/1IYY_tgx_IHuhSq3AJ5eI5OnqOPBNLWSHKh2a30DoXe8/edit?usp=sharing"",""สุราษฎร์ธานี!J523"")"),86714.04)</f>
        <v>86714.04</v>
      </c>
      <c r="K628" s="375">
        <f t="shared" ref="K628:K635" si="130">IF(I628&gt;0,J628*100/I628,0)</f>
        <v>2.11947355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IFERROR(__xludf.DUMMYFUNCTION("IMPORTRANGE(""https://docs.google.com/spreadsheets/d/1IYY_tgx_IHuhSq3AJ5eI5OnqOPBNLWSHKh2a30DoXe8/edit?usp=sharing"",""สุราษฎร์ธานี!I524"")"),252.0)</f>
        <v>252</v>
      </c>
      <c r="J629" s="374">
        <f>IFERROR(__xludf.DUMMYFUNCTION("IMPORTRANGE(""https://docs.google.com/spreadsheets/d/1IYY_tgx_IHuhSq3AJ5eI5OnqOPBNLWSHKh2a30DoXe8/edit?usp=sharing"",""สุราษฎร์ธานี!J524"")"),6.0)</f>
        <v>6</v>
      </c>
      <c r="K629" s="375">
        <f t="shared" si="130"/>
        <v>2.380952381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IFERROR(__xludf.DUMMYFUNCTION("IMPORTRANGE(""https://docs.google.com/spreadsheets/d/1IYY_tgx_IHuhSq3AJ5eI5OnqOPBNLWSHKh2a30DoXe8/edit?usp=sharing"",""สุราษฎร์ธานี!I525"")"),2294817.46)</f>
        <v>2294817.46</v>
      </c>
      <c r="J630" s="374">
        <f>IFERROR(__xludf.DUMMYFUNCTION("IMPORTRANGE(""https://docs.google.com/spreadsheets/d/1IYY_tgx_IHuhSq3AJ5eI5OnqOPBNLWSHKh2a30DoXe8/edit?usp=sharing"",""สุราษฎร์ธานี!J525"")"),202382.87)</f>
        <v>202382.87</v>
      </c>
      <c r="K630" s="375">
        <f t="shared" si="130"/>
        <v>8.819127165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IFERROR(__xludf.DUMMYFUNCTION("IMPORTRANGE(""https://docs.google.com/spreadsheets/d/1IYY_tgx_IHuhSq3AJ5eI5OnqOPBNLWSHKh2a30DoXe8/edit?usp=sharing"",""สุราษฎร์ธานี!I526"")"),72.0)</f>
        <v>72</v>
      </c>
      <c r="J631" s="374">
        <f>IFERROR(__xludf.DUMMYFUNCTION("IMPORTRANGE(""https://docs.google.com/spreadsheets/d/1IYY_tgx_IHuhSq3AJ5eI5OnqOPBNLWSHKh2a30DoXe8/edit?usp=sharing"",""สุราษฎร์ธานี!J526"")"),47.0)</f>
        <v>47</v>
      </c>
      <c r="K631" s="375">
        <f t="shared" si="130"/>
        <v>65.27777778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IFERROR(__xludf.DUMMYFUNCTION("IMPORTRANGE(""https://docs.google.com/spreadsheets/d/1IYY_tgx_IHuhSq3AJ5eI5OnqOPBNLWSHKh2a30DoXe8/edit?usp=sharing"",""สุราษฎร์ธานี!I527"")"),0.0)</f>
        <v>0</v>
      </c>
      <c r="J632" s="374">
        <f>IFERROR(__xludf.DUMMYFUNCTION("IMPORTRANGE(""https://docs.google.com/spreadsheets/d/1IYY_tgx_IHuhSq3AJ5eI5OnqOPBNLWSHKh2a30DoXe8/edit?usp=sharing"",""สุราษฎร์ธานี!J527"")"),0.0)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IFERROR(__xludf.DUMMYFUNCTION("IMPORTRANGE(""https://docs.google.com/spreadsheets/d/1IYY_tgx_IHuhSq3AJ5eI5OnqOPBNLWSHKh2a30DoXe8/edit?usp=sharing"",""สุราษฎร์ธานี!I528"")"),0.0)</f>
        <v>0</v>
      </c>
      <c r="J633" s="374">
        <f>IFERROR(__xludf.DUMMYFUNCTION("IMPORTRANGE(""https://docs.google.com/spreadsheets/d/1IYY_tgx_IHuhSq3AJ5eI5OnqOPBNLWSHKh2a30DoXe8/edit?usp=sharing"",""สุราษฎร์ธานี!J528"")"),0.0)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IFERROR(__xludf.DUMMYFUNCTION("IMPORTRANGE(""https://docs.google.com/spreadsheets/d/1IYY_tgx_IHuhSq3AJ5eI5OnqOPBNLWSHKh2a30DoXe8/edit?usp=sharing"",""สุราษฎร์ธานี!I529"")"),5000000.0)</f>
        <v>5000000</v>
      </c>
      <c r="J634" s="374">
        <f>IFERROR(__xludf.DUMMYFUNCTION("IMPORTRANGE(""https://docs.google.com/spreadsheets/d/1IYY_tgx_IHuhSq3AJ5eI5OnqOPBNLWSHKh2a30DoXe8/edit?usp=sharing"",""สุราษฎร์ธานี!J529"")"),0.0)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IFERROR(__xludf.DUMMYFUNCTION("IMPORTRANGE(""https://docs.google.com/spreadsheets/d/1IYY_tgx_IHuhSq3AJ5eI5OnqOPBNLWSHKh2a30DoXe8/edit?usp=sharing"",""สุราษฎร์ธานี!I530"")"),100.0)</f>
        <v>100</v>
      </c>
      <c r="J635" s="544">
        <f>IFERROR(__xludf.DUMMYFUNCTION("IMPORTRANGE(""https://docs.google.com/spreadsheets/d/1IYY_tgx_IHuhSq3AJ5eI5OnqOPBNLWSHKh2a30DoXe8/edit?usp=sharing"",""สุราษฎร์ธานี!J530"")"),0.0)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239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9980358</v>
      </c>
      <c r="M8" s="41">
        <f t="shared" si="1"/>
        <v>1894273</v>
      </c>
      <c r="N8" s="41">
        <f t="shared" si="1"/>
        <v>1393564.76</v>
      </c>
      <c r="O8" s="40">
        <f t="shared" ref="O8:O16" si="3">IF(L8&gt;0,N8*100/L8,0)</f>
        <v>13.96307387</v>
      </c>
      <c r="P8" s="40">
        <f t="shared" ref="P8:P16" si="4">IF(M8&gt;0,N8*100/M8,0)</f>
        <v>73.5672609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9980358</v>
      </c>
      <c r="M10" s="48">
        <f t="shared" si="5"/>
        <v>1894273</v>
      </c>
      <c r="N10" s="48">
        <f t="shared" si="5"/>
        <v>1393564.76</v>
      </c>
      <c r="O10" s="47">
        <f t="shared" si="3"/>
        <v>13.96307387</v>
      </c>
      <c r="P10" s="47">
        <f t="shared" si="4"/>
        <v>73.5672609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4472558</v>
      </c>
      <c r="M12" s="58">
        <f t="shared" si="7"/>
        <v>1894273</v>
      </c>
      <c r="N12" s="58">
        <f t="shared" si="7"/>
        <v>1361994.76</v>
      </c>
      <c r="O12" s="58">
        <f t="shared" si="3"/>
        <v>30.45225484</v>
      </c>
      <c r="P12" s="58">
        <f t="shared" si="4"/>
        <v>71.90065846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1878000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2594558</v>
      </c>
      <c r="M14" s="58">
        <f t="shared" si="9"/>
        <v>0</v>
      </c>
      <c r="N14" s="58">
        <f t="shared" si="9"/>
        <v>187195.76</v>
      </c>
      <c r="O14" s="61">
        <f t="shared" si="3"/>
        <v>7.214938344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5507800</v>
      </c>
      <c r="M16" s="58">
        <f t="shared" si="11"/>
        <v>0</v>
      </c>
      <c r="N16" s="58">
        <f t="shared" si="11"/>
        <v>31570</v>
      </c>
      <c r="O16" s="70">
        <f t="shared" si="3"/>
        <v>0.5731871165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8781185</v>
      </c>
      <c r="M18" s="41">
        <f t="shared" si="12"/>
        <v>1894273</v>
      </c>
      <c r="N18" s="41">
        <f t="shared" si="12"/>
        <v>1206369</v>
      </c>
      <c r="O18" s="40">
        <f t="shared" ref="O18:O20" si="14">IF(L18&gt;0,N18*100/L18,0)</f>
        <v>13.73811166</v>
      </c>
      <c r="P18" s="40">
        <f t="shared" ref="P18:P26" si="15">IF(M18&gt;0,N18*100/M18,0)</f>
        <v>63.68506546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8781185</v>
      </c>
      <c r="M20" s="48">
        <f t="shared" si="16"/>
        <v>1894273</v>
      </c>
      <c r="N20" s="48">
        <f t="shared" si="16"/>
        <v>1206369</v>
      </c>
      <c r="O20" s="47">
        <f t="shared" si="14"/>
        <v>13.73811166</v>
      </c>
      <c r="P20" s="47">
        <f t="shared" si="15"/>
        <v>63.68506546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3273385</v>
      </c>
      <c r="M22" s="62">
        <f t="shared" si="18"/>
        <v>1894273</v>
      </c>
      <c r="N22" s="61">
        <f t="shared" si="18"/>
        <v>1174799</v>
      </c>
      <c r="O22" s="61">
        <f t="shared" si="19"/>
        <v>35.88942333</v>
      </c>
      <c r="P22" s="61">
        <f t="shared" si="15"/>
        <v>62.01846302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1878000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1395385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5507800</v>
      </c>
      <c r="M26" s="70">
        <f t="shared" si="23"/>
        <v>0</v>
      </c>
      <c r="N26" s="70">
        <f t="shared" si="23"/>
        <v>31570</v>
      </c>
      <c r="O26" s="70">
        <f t="shared" si="19"/>
        <v>0.5731871165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1199173</v>
      </c>
      <c r="M28" s="41">
        <f t="shared" si="24"/>
        <v>0</v>
      </c>
      <c r="N28" s="41">
        <f t="shared" si="24"/>
        <v>187195.76</v>
      </c>
      <c r="O28" s="40">
        <f t="shared" ref="O28:O30" si="26">IF(L28&gt;0,N28*100/L28,0)</f>
        <v>15.61040484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1199173</v>
      </c>
      <c r="M30" s="48">
        <f t="shared" si="28"/>
        <v>0</v>
      </c>
      <c r="N30" s="48">
        <f t="shared" si="28"/>
        <v>187195.76</v>
      </c>
      <c r="O30" s="47">
        <f t="shared" si="26"/>
        <v>15.61040484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1199173</v>
      </c>
      <c r="M32" s="61">
        <f t="shared" si="30"/>
        <v>0</v>
      </c>
      <c r="N32" s="61">
        <f t="shared" si="30"/>
        <v>187195.76</v>
      </c>
      <c r="O32" s="61">
        <f t="shared" si="31"/>
        <v>15.61040484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1199173</v>
      </c>
      <c r="M34" s="61">
        <f t="shared" si="33"/>
        <v>0</v>
      </c>
      <c r="N34" s="61">
        <f t="shared" si="33"/>
        <v>187195.76</v>
      </c>
      <c r="O34" s="61">
        <f t="shared" si="31"/>
        <v>15.61040484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8781185</v>
      </c>
      <c r="M37" s="75">
        <f t="shared" si="34"/>
        <v>1894273</v>
      </c>
      <c r="N37" s="75">
        <f t="shared" si="34"/>
        <v>1206369</v>
      </c>
      <c r="O37" s="76">
        <f t="shared" si="31"/>
        <v>13.73811166</v>
      </c>
      <c r="P37" s="76">
        <f t="shared" si="27"/>
        <v>63.68506546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651800</v>
      </c>
      <c r="M41" s="102">
        <f t="shared" si="35"/>
        <v>325900</v>
      </c>
      <c r="N41" s="102">
        <f t="shared" si="35"/>
        <v>252854</v>
      </c>
      <c r="O41" s="101">
        <f t="shared" ref="O41:O43" si="37">IF(L41&gt;0,N41*100/L41,0)</f>
        <v>38.79318809</v>
      </c>
      <c r="P41" s="101">
        <f t="shared" ref="P41:P43" si="38">IF(M41&gt;0,N41*100/M41,0)</f>
        <v>77.58637619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651800</v>
      </c>
      <c r="M43" s="102">
        <f t="shared" si="39"/>
        <v>325900</v>
      </c>
      <c r="N43" s="102">
        <f t="shared" si="39"/>
        <v>252854</v>
      </c>
      <c r="O43" s="101">
        <f t="shared" si="37"/>
        <v>38.79318809</v>
      </c>
      <c r="P43" s="101">
        <f t="shared" si="38"/>
        <v>77.58637619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651800</v>
      </c>
      <c r="M45" s="115">
        <f>IFERROR(__xludf.DUMMYFUNCTION("IMPORTRANGE(""https://docs.google.com/spreadsheets/d/1Yj_ptqi66GCucihVvJfMjLAmec39IyEx_6qawtMGysU/edit?usp=sharing"",""สบก!Q81"")"),325900.0)</f>
        <v>325900</v>
      </c>
      <c r="N45" s="115">
        <f>IFERROR(__xludf.DUMMYFUNCTION("IMPORTRANGE(""https://docs.google.com/spreadsheets/d/1Yj_ptqi66GCucihVvJfMjLAmec39IyEx_6qawtMGysU/edit?usp=sharing"",""สบก!R81"")"),252854.0)</f>
        <v>252854</v>
      </c>
      <c r="O45" s="116">
        <f>IF(L45&gt;0,N45*100/L45,0)</f>
        <v>38.79318809</v>
      </c>
      <c r="P45" s="116">
        <f>IF(M45&gt;0,N45*100/M45,0)</f>
        <v>77.58637619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IFERROR(__xludf.DUMMYFUNCTION("IMPORTRANGE(""https://docs.google.com/spreadsheets/d/1Yj_ptqi66GCucihVvJfMjLAmec39IyEx_6qawtMGysU/edit?usp=sharing"",""สบก!M81"")"),651800.0)</f>
        <v>651800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IFERROR(__xludf.DUMMYFUNCTION("IMPORTRANGE(""https://docs.google.com/spreadsheets/d/1Yj_ptqi66GCucihVvJfMjLAmec39IyEx_6qawtMGysU/edit?usp=sharing"",""สบก!N81"")"),0.0)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IFERROR(__xludf.DUMMYFUNCTION("IMPORTRANGE(""https://docs.google.com/spreadsheets/d/1Yj_ptqi66GCucihVvJfMjLAmec39IyEx_6qawtMGysU/edit?usp=sharing"",""สบก!O81"")"),0.0)</f>
        <v>0</v>
      </c>
      <c r="M49" s="125"/>
      <c r="N49" s="115">
        <f>IFERROR(__xludf.DUMMYFUNCTION("IMPORTRANGE(""https://docs.google.com/spreadsheets/d/1Yj_ptqi66GCucihVvJfMjLAmec39IyEx_6qawtMGysU/edit?usp=sharing"",""สบก!S81"")"),0.0)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600000</v>
      </c>
      <c r="M53" s="151">
        <f t="shared" si="40"/>
        <v>313308</v>
      </c>
      <c r="N53" s="151">
        <f t="shared" si="40"/>
        <v>195024</v>
      </c>
      <c r="O53" s="150">
        <f t="shared" ref="O53:O55" si="42">IF(L53&gt;0,N53*100/L53,0)</f>
        <v>32.504</v>
      </c>
      <c r="P53" s="150">
        <f t="shared" ref="P53:P55" si="43">IF(M53&gt;0,N53*100/M53,0)</f>
        <v>62.24673484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600000</v>
      </c>
      <c r="M55" s="151">
        <f t="shared" si="44"/>
        <v>313308</v>
      </c>
      <c r="N55" s="151">
        <f t="shared" si="44"/>
        <v>195024</v>
      </c>
      <c r="O55" s="150">
        <f t="shared" si="42"/>
        <v>32.504</v>
      </c>
      <c r="P55" s="150">
        <f t="shared" si="43"/>
        <v>62.24673484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600000</v>
      </c>
      <c r="M57" s="115">
        <f>IFERROR(__xludf.DUMMYFUNCTION("IMPORTRANGE(""https://docs.google.com/spreadsheets/d/1Yj_ptqi66GCucihVvJfMjLAmec39IyEx_6qawtMGysU/edit?usp=sharing"",""สบก!Z81"")"),313308.0)</f>
        <v>313308</v>
      </c>
      <c r="N57" s="115">
        <f>IFERROR(__xludf.DUMMYFUNCTION("IMPORTRANGE(""https://docs.google.com/spreadsheets/d/1Yj_ptqi66GCucihVvJfMjLAmec39IyEx_6qawtMGysU/edit?usp=sharing"",""สบก!AA81"")"),195024.0)</f>
        <v>195024</v>
      </c>
      <c r="O57" s="116">
        <f>IF(L57&gt;0,N57*100/L57,0)</f>
        <v>32.504</v>
      </c>
      <c r="P57" s="116">
        <f>IF(M57&gt;0,N57*100/M57,0)</f>
        <v>62.24673484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IFERROR(__xludf.DUMMYFUNCTION("IMPORTRANGE(""https://docs.google.com/spreadsheets/d/1Yj_ptqi66GCucihVvJfMjLAmec39IyEx_6qawtMGysU/edit?usp=sharing"",""สบก!V81"")"),600000.0)</f>
        <v>600000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IFERROR(__xludf.DUMMYFUNCTION("IMPORTRANGE(""https://docs.google.com/spreadsheets/d/1Yj_ptqi66GCucihVvJfMjLAmec39IyEx_6qawtMGysU/edit?usp=sharing"",""สบก!W81"")"),0.0)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IFERROR(__xludf.DUMMYFUNCTION("IMPORTRANGE(""https://docs.google.com/spreadsheets/d/1Yj_ptqi66GCucihVvJfMjLAmec39IyEx_6qawtMGysU/edit?usp=sharing"",""สบก!X81"")"),0.0)</f>
        <v>0</v>
      </c>
      <c r="M61" s="125"/>
      <c r="N61" s="115">
        <f>IFERROR(__xludf.DUMMYFUNCTION("IMPORTRANGE(""https://docs.google.com/spreadsheets/d/1Yj_ptqi66GCucihVvJfMjLAmec39IyEx_6qawtMGysU/edit?usp=sharing"",""สบก!AB81"")"),0.0)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IFERROR(__xludf.DUMMYFUNCTION("IMPORTRANGE(""https://docs.google.com/spreadsheets/d/1IYY_tgx_IHuhSq3AJ5eI5OnqOPBNLWSHKh2a30DoXe8/edit?usp=sharing"",""กระบี่!I9"")"),1.0)</f>
        <v>1</v>
      </c>
      <c r="J64" s="172">
        <f>IFERROR(__xludf.DUMMYFUNCTION("IMPORTRANGE(""https://docs.google.com/spreadsheets/d/1IYY_tgx_IHuhSq3AJ5eI5OnqOPBNLWSHKh2a30DoXe8/edit?usp=sharing"",""กระบี่!J9"")"),1.0)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IFERROR(__xludf.DUMMYFUNCTION("IMPORTRANGE(""https://docs.google.com/spreadsheets/d/1IYY_tgx_IHuhSq3AJ5eI5OnqOPBNLWSHKh2a30DoXe8/edit?usp=sharing"",""กระบี่!I10"")"),30.0)</f>
        <v>30</v>
      </c>
      <c r="J65" s="172">
        <f>IFERROR(__xludf.DUMMYFUNCTION("IMPORTRANGE(""https://docs.google.com/spreadsheets/d/1IYY_tgx_IHuhSq3AJ5eI5OnqOPBNLWSHKh2a30DoXe8/edit?usp=sharing"",""กระบี่!J10"")"),30.0)</f>
        <v>30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692200</v>
      </c>
      <c r="M66" s="183">
        <f t="shared" si="46"/>
        <v>382720</v>
      </c>
      <c r="N66" s="183">
        <f t="shared" si="46"/>
        <v>193218</v>
      </c>
      <c r="O66" s="182">
        <f t="shared" ref="O66:O68" si="48">IF(L66&gt;0,N66*100/L66,0)</f>
        <v>27.91360878</v>
      </c>
      <c r="P66" s="182">
        <f t="shared" ref="P66:P68" si="49">IF(M66&gt;0,N66*100/M66,0)</f>
        <v>50.48547241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692200</v>
      </c>
      <c r="M68" s="188">
        <f t="shared" si="50"/>
        <v>382720</v>
      </c>
      <c r="N68" s="188">
        <f t="shared" si="50"/>
        <v>193218</v>
      </c>
      <c r="O68" s="187">
        <f t="shared" si="48"/>
        <v>27.91360878</v>
      </c>
      <c r="P68" s="187">
        <f t="shared" si="49"/>
        <v>50.48547241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692200</v>
      </c>
      <c r="M70" s="201">
        <f>IFERROR(__xludf.DUMMYFUNCTION("IMPORTRANGE(""https://docs.google.com/spreadsheets/d/1Yj_ptqi66GCucihVvJfMjLAmec39IyEx_6qawtMGysU/edit?usp=sharing"",""สบก!AI81"")"),382720.0)</f>
        <v>382720</v>
      </c>
      <c r="N70" s="202">
        <f>IFERROR(__xludf.DUMMYFUNCTION("IMPORTRANGE(""https://docs.google.com/spreadsheets/d/1Yj_ptqi66GCucihVvJfMjLAmec39IyEx_6qawtMGysU/edit?usp=sharing"",""สบก!AJ81"")"),193218.0)</f>
        <v>193218</v>
      </c>
      <c r="O70" s="203">
        <f>IF(L70&gt;0,N70*100/L70,0)</f>
        <v>27.91360878</v>
      </c>
      <c r="P70" s="203">
        <f>IF(M70&gt;0,N70*100/M70,0)</f>
        <v>50.48547241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IFERROR(__xludf.DUMMYFUNCTION("IMPORTRANGE(""https://docs.google.com/spreadsheets/d/1Yj_ptqi66GCucihVvJfMjLAmec39IyEx_6qawtMGysU/edit?usp=sharing"",""สบก!AE81"")"),320200.0)</f>
        <v>320200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IFERROR(__xludf.DUMMYFUNCTION("IMPORTRANGE(""https://docs.google.com/spreadsheets/d/1Yj_ptqi66GCucihVvJfMjLAmec39IyEx_6qawtMGysU/edit?usp=sharing"",""สบก!AF81"")"),372000.0)</f>
        <v>372000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IFERROR(__xludf.DUMMYFUNCTION("IMPORTRANGE(""https://docs.google.com/spreadsheets/d/1Yj_ptqi66GCucihVvJfMjLAmec39IyEx_6qawtMGysU/edit?usp=sharing"",""สบก!AG81"")"),0.0)</f>
        <v>0</v>
      </c>
      <c r="M74" s="125"/>
      <c r="N74" s="115">
        <f>IFERROR(__xludf.DUMMYFUNCTION("IMPORTRANGE(""https://docs.google.com/spreadsheets/d/1Yj_ptqi66GCucihVvJfMjLAmec39IyEx_6qawtMGysU/edit?usp=sharing"",""สบก!AK81"")"),0.0)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IFERROR(__xludf.DUMMYFUNCTION("IMPORTRANGE(""https://docs.google.com/spreadsheets/d/1IYY_tgx_IHuhSq3AJ5eI5OnqOPBNLWSHKh2a30DoXe8/edit?usp=sharing"",""กระบี่!J16"")"),0.0)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IFERROR(__xludf.DUMMYFUNCTION("IMPORTRANGE(""https://docs.google.com/spreadsheets/d/1IYY_tgx_IHuhSq3AJ5eI5OnqOPBNLWSHKh2a30DoXe8/edit?usp=sharing"",""กระบี่!J17"")"),1.0)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IFERROR(__xludf.DUMMYFUNCTION("IMPORTRANGE(""https://docs.google.com/spreadsheets/d/1IYY_tgx_IHuhSq3AJ5eI5OnqOPBNLWSHKh2a30DoXe8/edit?usp=sharing"",""กระบี่!J18"")"),1.0)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IFERROR(__xludf.DUMMYFUNCTION("IMPORTRANGE(""https://docs.google.com/spreadsheets/d/1IYY_tgx_IHuhSq3AJ5eI5OnqOPBNLWSHKh2a30DoXe8/edit?usp=sharing"",""กระบี่!J19"")"),1.0)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IFERROR(__xludf.DUMMYFUNCTION("IMPORTRANGE(""https://docs.google.com/spreadsheets/d/1IYY_tgx_IHuhSq3AJ5eI5OnqOPBNLWSHKh2a30DoXe8/edit?usp=sharing"",""กระบี่!I20"")"),1.0)</f>
        <v>1</v>
      </c>
      <c r="J80" s="235">
        <f>IFERROR(__xludf.DUMMYFUNCTION("IMPORTRANGE(""https://docs.google.com/spreadsheets/d/1IYY_tgx_IHuhSq3AJ5eI5OnqOPBNLWSHKh2a30DoXe8/edit?usp=sharing"",""กระบี่!J20"")"),1.0)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IFERROR(__xludf.DUMMYFUNCTION("IMPORTRANGE(""https://docs.google.com/spreadsheets/d/1IYY_tgx_IHuhSq3AJ5eI5OnqOPBNLWSHKh2a30DoXe8/edit?usp=sharing"",""กระบี่!I21"")"),30.0)</f>
        <v>30</v>
      </c>
      <c r="J81" s="235">
        <f>IFERROR(__xludf.DUMMYFUNCTION("IMPORTRANGE(""https://docs.google.com/spreadsheets/d/1IYY_tgx_IHuhSq3AJ5eI5OnqOPBNLWSHKh2a30DoXe8/edit?usp=sharing"",""กระบี่!J21"")"),30.0)</f>
        <v>30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IFERROR(__xludf.DUMMYFUNCTION("IMPORTRANGE(""https://docs.google.com/spreadsheets/d/1IYY_tgx_IHuhSq3AJ5eI5OnqOPBNLWSHKh2a30DoXe8/edit?usp=sharing"",""กระบี่!I22"")"),0.0)</f>
        <v>0</v>
      </c>
      <c r="J82" s="238">
        <f>IFERROR(__xludf.DUMMYFUNCTION("IMPORTRANGE(""https://docs.google.com/spreadsheets/d/1IYY_tgx_IHuhSq3AJ5eI5OnqOPBNLWSHKh2a30DoXe8/edit?usp=sharing"",""กระบี่!J22"")"),0.0)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IFERROR(__xludf.DUMMYFUNCTION("IMPORTRANGE(""https://docs.google.com/spreadsheets/d/1IYY_tgx_IHuhSq3AJ5eI5OnqOPBNLWSHKh2a30DoXe8/edit?usp=sharing"",""กระบี่!I23"")"),0.0)</f>
        <v>0</v>
      </c>
      <c r="J83" s="238">
        <f>IFERROR(__xludf.DUMMYFUNCTION("IMPORTRANGE(""https://docs.google.com/spreadsheets/d/1IYY_tgx_IHuhSq3AJ5eI5OnqOPBNLWSHKh2a30DoXe8/edit?usp=sharing"",""กระบี่!J23"")"),0.0)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IFERROR(__xludf.DUMMYFUNCTION("IMPORTRANGE(""https://docs.google.com/spreadsheets/d/1IYY_tgx_IHuhSq3AJ5eI5OnqOPBNLWSHKh2a30DoXe8/edit?usp=sharing"",""กระบี่!I24"")"),1.0)</f>
        <v>1</v>
      </c>
      <c r="J84" s="223">
        <f>IFERROR(__xludf.DUMMYFUNCTION("IMPORTRANGE(""https://docs.google.com/spreadsheets/d/1IYY_tgx_IHuhSq3AJ5eI5OnqOPBNLWSHKh2a30DoXe8/edit?usp=sharing"",""กระบี่!J24"")"),1.0)</f>
        <v>1</v>
      </c>
      <c r="K84" s="196">
        <f t="shared" si="51"/>
        <v>100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IFERROR(__xludf.DUMMYFUNCTION("IMPORTRANGE(""https://docs.google.com/spreadsheets/d/1IYY_tgx_IHuhSq3AJ5eI5OnqOPBNLWSHKh2a30DoXe8/edit?usp=sharing"",""กระบี่!I25"")"),30.0)</f>
        <v>30</v>
      </c>
      <c r="J85" s="223">
        <f>IFERROR(__xludf.DUMMYFUNCTION("IMPORTRANGE(""https://docs.google.com/spreadsheets/d/1IYY_tgx_IHuhSq3AJ5eI5OnqOPBNLWSHKh2a30DoXe8/edit?usp=sharing"",""กระบี่!J25"")"),30.0)</f>
        <v>30</v>
      </c>
      <c r="K85" s="196">
        <f t="shared" si="51"/>
        <v>100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IFERROR(__xludf.DUMMYFUNCTION("IMPORTRANGE(""https://docs.google.com/spreadsheets/d/1IYY_tgx_IHuhSq3AJ5eI5OnqOPBNLWSHKh2a30DoXe8/edit?usp=sharing"",""กระบี่!I26"")"),0.0)</f>
        <v>0</v>
      </c>
      <c r="J86" s="238">
        <f>IFERROR(__xludf.DUMMYFUNCTION("IMPORTRANGE(""https://docs.google.com/spreadsheets/d/1IYY_tgx_IHuhSq3AJ5eI5OnqOPBNLWSHKh2a30DoXe8/edit?usp=sharing"",""กระบี่!J26"")"),0.0)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IFERROR(__xludf.DUMMYFUNCTION("IMPORTRANGE(""https://docs.google.com/spreadsheets/d/1IYY_tgx_IHuhSq3AJ5eI5OnqOPBNLWSHKh2a30DoXe8/edit?usp=sharing"",""กระบี่!I27"")"),0.0)</f>
        <v>0</v>
      </c>
      <c r="J87" s="238">
        <f>IFERROR(__xludf.DUMMYFUNCTION("IMPORTRANGE(""https://docs.google.com/spreadsheets/d/1IYY_tgx_IHuhSq3AJ5eI5OnqOPBNLWSHKh2a30DoXe8/edit?usp=sharing"",""กระบี่!J27"")"),0.0)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IFERROR(__xludf.DUMMYFUNCTION("IMPORTRANGE(""https://docs.google.com/spreadsheets/d/1IYY_tgx_IHuhSq3AJ5eI5OnqOPBNLWSHKh2a30DoXe8/edit?usp=sharing"",""กระบี่!I28"")"),0.0)</f>
        <v>0</v>
      </c>
      <c r="J88" s="238">
        <f>IFERROR(__xludf.DUMMYFUNCTION("IMPORTRANGE(""https://docs.google.com/spreadsheets/d/1IYY_tgx_IHuhSq3AJ5eI5OnqOPBNLWSHKh2a30DoXe8/edit?usp=sharing"",""กระบี่!J28"")"),0.0)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IFERROR(__xludf.DUMMYFUNCTION("IMPORTRANGE(""https://docs.google.com/spreadsheets/d/1IYY_tgx_IHuhSq3AJ5eI5OnqOPBNLWSHKh2a30DoXe8/edit?usp=sharing"",""กระบี่!J29"")"),0.0)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IFERROR(__xludf.DUMMYFUNCTION("IMPORTRANGE(""https://docs.google.com/spreadsheets/d/1IYY_tgx_IHuhSq3AJ5eI5OnqOPBNLWSHKh2a30DoXe8/edit?usp=sharing"",""กระบี่!J30"")"),0.0)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IFERROR(__xludf.DUMMYFUNCTION("IMPORTRANGE(""https://docs.google.com/spreadsheets/d/1IYY_tgx_IHuhSq3AJ5eI5OnqOPBNLWSHKh2a30DoXe8/edit?usp=sharing"",""กระบี่!I32"")"),0.0)</f>
        <v>0</v>
      </c>
      <c r="J92" s="172">
        <f>IFERROR(__xludf.DUMMYFUNCTION("IMPORTRANGE(""https://docs.google.com/spreadsheets/d/1IYY_tgx_IHuhSq3AJ5eI5OnqOPBNLWSHKh2a30DoXe8/edit?usp=sharing"",""กระบี่!J32"")"),0.0)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IFERROR(__xludf.DUMMYFUNCTION("IMPORTRANGE(""https://docs.google.com/spreadsheets/d/1IYY_tgx_IHuhSq3AJ5eI5OnqOPBNLWSHKh2a30DoXe8/edit?usp=sharing"",""กระบี่!I33"")"),0.0)</f>
        <v>0</v>
      </c>
      <c r="J93" s="172">
        <f>IFERROR(__xludf.DUMMYFUNCTION("IMPORTRANGE(""https://docs.google.com/spreadsheets/d/1IYY_tgx_IHuhSq3AJ5eI5OnqOPBNLWSHKh2a30DoXe8/edit?usp=sharing"",""กระบี่!J33"")"),0.0)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IFERROR(__xludf.DUMMYFUNCTION("IMPORTRANGE(""https://docs.google.com/spreadsheets/d/1Yj_ptqi66GCucihVvJfMjLAmec39IyEx_6qawtMGysU/edit?usp=sharing"",""สบก!AR81"")"),0.0)</f>
        <v>0</v>
      </c>
      <c r="N98" s="202">
        <f>IFERROR(__xludf.DUMMYFUNCTION("IMPORTRANGE(""https://docs.google.com/spreadsheets/d/1Yj_ptqi66GCucihVvJfMjLAmec39IyEx_6qawtMGysU/edit?usp=sharing"",""สบก!AS81"")"),0.0)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IFERROR(__xludf.DUMMYFUNCTION("IMPORTRANGE(""https://docs.google.com/spreadsheets/d/1Yj_ptqi66GCucihVvJfMjLAmec39IyEx_6qawtMGysU/edit?usp=sharing"",""สบก!AN81"")"),0.0)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IFERROR(__xludf.DUMMYFUNCTION("IMPORTRANGE(""https://docs.google.com/spreadsheets/d/1Yj_ptqi66GCucihVvJfMjLAmec39IyEx_6qawtMGysU/edit?usp=sharing"",""สบก!AO81"")"),0.0)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IFERROR(__xludf.DUMMYFUNCTION("IMPORTRANGE(""https://docs.google.com/spreadsheets/d/1Yj_ptqi66GCucihVvJfMjLAmec39IyEx_6qawtMGysU/edit?usp=sharing"",""สบก!AP81"")"),0.0)</f>
        <v>0</v>
      </c>
      <c r="M102" s="125"/>
      <c r="N102" s="115">
        <f>IFERROR(__xludf.DUMMYFUNCTION("IMPORTRANGE(""https://docs.google.com/spreadsheets/d/1Yj_ptqi66GCucihVvJfMjLAmec39IyEx_6qawtMGysU/edit?usp=sharing"",""สบก!AT81"")"),0.0)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IFERROR(__xludf.DUMMYFUNCTION("IMPORTRANGE(""https://docs.google.com/spreadsheets/d/1IYY_tgx_IHuhSq3AJ5eI5OnqOPBNLWSHKh2a30DoXe8/edit?usp=sharing"",""กระบี่!J39"")"),0.0)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IFERROR(__xludf.DUMMYFUNCTION("IMPORTRANGE(""https://docs.google.com/spreadsheets/d/1IYY_tgx_IHuhSq3AJ5eI5OnqOPBNLWSHKh2a30DoXe8/edit?usp=sharing"",""กระบี่!J40"")"),0.0)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IFERROR(__xludf.DUMMYFUNCTION("IMPORTRANGE(""https://docs.google.com/spreadsheets/d/1IYY_tgx_IHuhSq3AJ5eI5OnqOPBNLWSHKh2a30DoXe8/edit?usp=sharing"",""กระบี่!J41"")"),0.0)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IFERROR(__xludf.DUMMYFUNCTION("IMPORTRANGE(""https://docs.google.com/spreadsheets/d/1IYY_tgx_IHuhSq3AJ5eI5OnqOPBNLWSHKh2a30DoXe8/edit?usp=sharing"",""กระบี่!J42"")"),0.0)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IFERROR(__xludf.DUMMYFUNCTION("IMPORTRANGE(""https://docs.google.com/spreadsheets/d/1IYY_tgx_IHuhSq3AJ5eI5OnqOPBNLWSHKh2a30DoXe8/edit?usp=sharing"",""กระบี่!I43"")"),0.0)</f>
        <v>0</v>
      </c>
      <c r="J108" s="238">
        <f>IFERROR(__xludf.DUMMYFUNCTION("IMPORTRANGE(""https://docs.google.com/spreadsheets/d/1IYY_tgx_IHuhSq3AJ5eI5OnqOPBNLWSHKh2a30DoXe8/edit?usp=sharing"",""กระบี่!J43"")"),0.0)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IFERROR(__xludf.DUMMYFUNCTION("IMPORTRANGE(""https://docs.google.com/spreadsheets/d/1IYY_tgx_IHuhSq3AJ5eI5OnqOPBNLWSHKh2a30DoXe8/edit?usp=sharing"",""กระบี่!I44"")"),0.0)</f>
        <v>0</v>
      </c>
      <c r="J109" s="238">
        <f>IFERROR(__xludf.DUMMYFUNCTION("IMPORTRANGE(""https://docs.google.com/spreadsheets/d/1IYY_tgx_IHuhSq3AJ5eI5OnqOPBNLWSHKh2a30DoXe8/edit?usp=sharing"",""กระบี่!J44"")"),0.0)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IFERROR(__xludf.DUMMYFUNCTION("IMPORTRANGE(""https://docs.google.com/spreadsheets/d/1IYY_tgx_IHuhSq3AJ5eI5OnqOPBNLWSHKh2a30DoXe8/edit?usp=sharing"",""กระบี่!I45"")"),0.0)</f>
        <v>0</v>
      </c>
      <c r="J110" s="238">
        <f>IFERROR(__xludf.DUMMYFUNCTION("IMPORTRANGE(""https://docs.google.com/spreadsheets/d/1IYY_tgx_IHuhSq3AJ5eI5OnqOPBNLWSHKh2a30DoXe8/edit?usp=sharing"",""กระบี่!J45"")"),0.0)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IFERROR(__xludf.DUMMYFUNCTION("IMPORTRANGE(""https://docs.google.com/spreadsheets/d/1IYY_tgx_IHuhSq3AJ5eI5OnqOPBNLWSHKh2a30DoXe8/edit?usp=sharing"",""กระบี่!I46"")"),0.0)</f>
        <v>0</v>
      </c>
      <c r="J111" s="238">
        <f>IFERROR(__xludf.DUMMYFUNCTION("IMPORTRANGE(""https://docs.google.com/spreadsheets/d/1IYY_tgx_IHuhSq3AJ5eI5OnqOPBNLWSHKh2a30DoXe8/edit?usp=sharing"",""กระบี่!J46"")"),0.0)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IFERROR(__xludf.DUMMYFUNCTION("IMPORTRANGE(""https://docs.google.com/spreadsheets/d/1IYY_tgx_IHuhSq3AJ5eI5OnqOPBNLWSHKh2a30DoXe8/edit?usp=sharing"",""กระบี่!I47"")"),0.0)</f>
        <v>0</v>
      </c>
      <c r="J112" s="238">
        <f>IFERROR(__xludf.DUMMYFUNCTION("IMPORTRANGE(""https://docs.google.com/spreadsheets/d/1IYY_tgx_IHuhSq3AJ5eI5OnqOPBNLWSHKh2a30DoXe8/edit?usp=sharing"",""กระบี่!J47"")"),0.0)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IFERROR(__xludf.DUMMYFUNCTION("IMPORTRANGE(""https://docs.google.com/spreadsheets/d/1IYY_tgx_IHuhSq3AJ5eI5OnqOPBNLWSHKh2a30DoXe8/edit?usp=sharing"",""กระบี่!I48"")"),0.0)</f>
        <v>0</v>
      </c>
      <c r="J113" s="238">
        <f>IFERROR(__xludf.DUMMYFUNCTION("IMPORTRANGE(""https://docs.google.com/spreadsheets/d/1IYY_tgx_IHuhSq3AJ5eI5OnqOPBNLWSHKh2a30DoXe8/edit?usp=sharing"",""กระบี่!J48"")"),0.0)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IFERROR(__xludf.DUMMYFUNCTION("IMPORTRANGE(""https://docs.google.com/spreadsheets/d/1IYY_tgx_IHuhSq3AJ5eI5OnqOPBNLWSHKh2a30DoXe8/edit?usp=sharing"",""กระบี่!J49"")"),0.0)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IFERROR(__xludf.DUMMYFUNCTION("IMPORTRANGE(""https://docs.google.com/spreadsheets/d/1IYY_tgx_IHuhSq3AJ5eI5OnqOPBNLWSHKh2a30DoXe8/edit?usp=sharing"",""กระบี่!J50"")"),0.0)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IFERROR(__xludf.DUMMYFUNCTION("IMPORTRANGE(""https://docs.google.com/spreadsheets/d/1IYY_tgx_IHuhSq3AJ5eI5OnqOPBNLWSHKh2a30DoXe8/edit?usp=sharing"",""กระบี่!I52"")"),0.0)</f>
        <v>0</v>
      </c>
      <c r="J117" s="172">
        <f>IFERROR(__xludf.DUMMYFUNCTION("IMPORTRANGE(""https://docs.google.com/spreadsheets/d/1IYY_tgx_IHuhSq3AJ5eI5OnqOPBNLWSHKh2a30DoXe8/edit?usp=sharing"",""กระบี่!J52"")"),0.0)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IFERROR(__xludf.DUMMYFUNCTION("IMPORTRANGE(""https://docs.google.com/spreadsheets/d/1Yj_ptqi66GCucihVvJfMjLAmec39IyEx_6qawtMGysU/edit?usp=sharing"",""สบก!BA81"")"),0.0)</f>
        <v>0</v>
      </c>
      <c r="N122" s="202">
        <f>IFERROR(__xludf.DUMMYFUNCTION("IMPORTRANGE(""https://docs.google.com/spreadsheets/d/1Yj_ptqi66GCucihVvJfMjLAmec39IyEx_6qawtMGysU/edit?usp=sharing"",""สบก!BB81"")"),0.0)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IFERROR(__xludf.DUMMYFUNCTION("IMPORTRANGE(""https://docs.google.com/spreadsheets/d/1Yj_ptqi66GCucihVvJfMjLAmec39IyEx_6qawtMGysU/edit?usp=sharing"",""สบก!AW81"")"),0.0)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IFERROR(__xludf.DUMMYFUNCTION("IMPORTRANGE(""https://docs.google.com/spreadsheets/d/1Yj_ptqi66GCucihVvJfMjLAmec39IyEx_6qawtMGysU/edit?usp=sharing"",""สบก!AX81"")"),0.0)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IFERROR(__xludf.DUMMYFUNCTION("IMPORTRANGE(""https://docs.google.com/spreadsheets/d/1Yj_ptqi66GCucihVvJfMjLAmec39IyEx_6qawtMGysU/edit?usp=sharing"",""สบก!AY81"")"),0.0)</f>
        <v>0</v>
      </c>
      <c r="M126" s="125"/>
      <c r="N126" s="115">
        <f>IFERROR(__xludf.DUMMYFUNCTION("IMPORTRANGE(""https://docs.google.com/spreadsheets/d/1Yj_ptqi66GCucihVvJfMjLAmec39IyEx_6qawtMGysU/edit?usp=sharing"",""สบก!BC81"")"),0.0)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IFERROR(__xludf.DUMMYFUNCTION("IMPORTRANGE(""https://docs.google.com/spreadsheets/d/1IYY_tgx_IHuhSq3AJ5eI5OnqOPBNLWSHKh2a30DoXe8/edit?usp=sharing"",""กระบี่!J58"")"),0.0)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IFERROR(__xludf.DUMMYFUNCTION("IMPORTRANGE(""https://docs.google.com/spreadsheets/d/1IYY_tgx_IHuhSq3AJ5eI5OnqOPBNLWSHKh2a30DoXe8/edit?usp=sharing"",""กระบี่!J59"")"),0.0)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IFERROR(__xludf.DUMMYFUNCTION("IMPORTRANGE(""https://docs.google.com/spreadsheets/d/1IYY_tgx_IHuhSq3AJ5eI5OnqOPBNLWSHKh2a30DoXe8/edit?usp=sharing"",""กระบี่!J60"")"),0.0)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IFERROR(__xludf.DUMMYFUNCTION("IMPORTRANGE(""https://docs.google.com/spreadsheets/d/1IYY_tgx_IHuhSq3AJ5eI5OnqOPBNLWSHKh2a30DoXe8/edit?usp=sharing"",""กระบี่!J61"")"),0.0)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IFERROR(__xludf.DUMMYFUNCTION("IMPORTRANGE(""https://docs.google.com/spreadsheets/d/1IYY_tgx_IHuhSq3AJ5eI5OnqOPBNLWSHKh2a30DoXe8/edit?usp=sharing"",""กระบี่!I62"")"),0.0)</f>
        <v>0</v>
      </c>
      <c r="J132" s="238">
        <f>IFERROR(__xludf.DUMMYFUNCTION("IMPORTRANGE(""https://docs.google.com/spreadsheets/d/1IYY_tgx_IHuhSq3AJ5eI5OnqOPBNLWSHKh2a30DoXe8/edit?usp=sharing"",""กระบี่!J62"")"),0.0)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IFERROR(__xludf.DUMMYFUNCTION("IMPORTRANGE(""https://docs.google.com/spreadsheets/d/1IYY_tgx_IHuhSq3AJ5eI5OnqOPBNLWSHKh2a30DoXe8/edit?usp=sharing"",""กระบี่!I63"")"),0.0)</f>
        <v>0</v>
      </c>
      <c r="J133" s="238">
        <f>IFERROR(__xludf.DUMMYFUNCTION("IMPORTRANGE(""https://docs.google.com/spreadsheets/d/1IYY_tgx_IHuhSq3AJ5eI5OnqOPBNLWSHKh2a30DoXe8/edit?usp=sharing"",""กระบี่!J63"")"),0.0)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IFERROR(__xludf.DUMMYFUNCTION("IMPORTRANGE(""https://docs.google.com/spreadsheets/d/1IYY_tgx_IHuhSq3AJ5eI5OnqOPBNLWSHKh2a30DoXe8/edit?usp=sharing"",""กระบี่!J64"")"),0.0)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IFERROR(__xludf.DUMMYFUNCTION("IMPORTRANGE(""https://docs.google.com/spreadsheets/d/1IYY_tgx_IHuhSq3AJ5eI5OnqOPBNLWSHKh2a30DoXe8/edit?usp=sharing"",""กระบี่!J65"")"),0.0)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IFERROR(__xludf.DUMMYFUNCTION("IMPORTRANGE(""https://docs.google.com/spreadsheets/d/1IYY_tgx_IHuhSq3AJ5eI5OnqOPBNLWSHKh2a30DoXe8/edit?usp=sharing"",""กระบี่!I68"")"),15.0)</f>
        <v>15</v>
      </c>
      <c r="J138" s="301">
        <f>IFERROR(__xludf.DUMMYFUNCTION("IMPORTRANGE(""https://docs.google.com/spreadsheets/d/1IYY_tgx_IHuhSq3AJ5eI5OnqOPBNLWSHKh2a30DoXe8/edit?usp=sharing"",""กระบี่!J68"")"),15.0)</f>
        <v>15</v>
      </c>
      <c r="K138" s="302">
        <f>IF(I138&gt;0,J138*100/I138,0)</f>
        <v>100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70000</v>
      </c>
      <c r="M140" s="183">
        <f t="shared" si="65"/>
        <v>46750</v>
      </c>
      <c r="N140" s="183">
        <f t="shared" si="65"/>
        <v>16482</v>
      </c>
      <c r="O140" s="182">
        <f t="shared" ref="O140:O142" si="67">IF(L140&gt;0,N140*100/L140,0)</f>
        <v>23.54571429</v>
      </c>
      <c r="P140" s="182">
        <f t="shared" ref="P140:P142" si="68">IF(M140&gt;0,N140*100/M140,0)</f>
        <v>35.25561497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70000</v>
      </c>
      <c r="M142" s="188">
        <f t="shared" si="69"/>
        <v>46750</v>
      </c>
      <c r="N142" s="188">
        <f t="shared" si="69"/>
        <v>16482</v>
      </c>
      <c r="O142" s="187">
        <f t="shared" si="67"/>
        <v>23.54571429</v>
      </c>
      <c r="P142" s="187">
        <f t="shared" si="68"/>
        <v>35.25561497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70000</v>
      </c>
      <c r="M144" s="201">
        <f>IFERROR(__xludf.DUMMYFUNCTION("IMPORTRANGE(""https://docs.google.com/spreadsheets/d/1Yj_ptqi66GCucihVvJfMjLAmec39IyEx_6qawtMGysU/edit?usp=sharing"",""สบก!BJ81"")"),46750.0)</f>
        <v>46750</v>
      </c>
      <c r="N144" s="202">
        <f>IFERROR(__xludf.DUMMYFUNCTION("IMPORTRANGE(""https://docs.google.com/spreadsheets/d/1Yj_ptqi66GCucihVvJfMjLAmec39IyEx_6qawtMGysU/edit?usp=sharing"",""สบก!BK81"")"),16482.0)</f>
        <v>16482</v>
      </c>
      <c r="O144" s="203">
        <f>IF(L144&gt;0,N144*100/L144,0)</f>
        <v>23.54571429</v>
      </c>
      <c r="P144" s="203">
        <f>IF(M144&gt;0,N144*100/M144,0)</f>
        <v>35.25561497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IFERROR(__xludf.DUMMYFUNCTION("IMPORTRANGE(""https://docs.google.com/spreadsheets/d/1Yj_ptqi66GCucihVvJfMjLAmec39IyEx_6qawtMGysU/edit?usp=sharing"",""สบก!BF81"")"),0.0)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IFERROR(__xludf.DUMMYFUNCTION("IMPORTRANGE(""https://docs.google.com/spreadsheets/d/1Yj_ptqi66GCucihVvJfMjLAmec39IyEx_6qawtMGysU/edit?usp=sharing"",""สบก!BG81"")"),70000.0)</f>
        <v>70000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IFERROR(__xludf.DUMMYFUNCTION("IMPORTRANGE(""https://docs.google.com/spreadsheets/d/1Yj_ptqi66GCucihVvJfMjLAmec39IyEx_6qawtMGysU/edit?usp=sharing"",""สบก!BH81"")"),0.0)</f>
        <v>0</v>
      </c>
      <c r="M148" s="125"/>
      <c r="N148" s="115">
        <f>IFERROR(__xludf.DUMMYFUNCTION("IMPORTRANGE(""https://docs.google.com/spreadsheets/d/1Yj_ptqi66GCucihVvJfMjLAmec39IyEx_6qawtMGysU/edit?usp=sharing"",""สบก!BL81"")"),0.0)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IFERROR(__xludf.DUMMYFUNCTION("IMPORTRANGE(""https://docs.google.com/spreadsheets/d/1IYY_tgx_IHuhSq3AJ5eI5OnqOPBNLWSHKh2a30DoXe8/edit?usp=sharing"",""กระบี่!I74"")"),4.0)</f>
        <v>4</v>
      </c>
      <c r="J149" s="309">
        <f>IFERROR(__xludf.DUMMYFUNCTION("IMPORTRANGE(""https://docs.google.com/spreadsheets/d/1IYY_tgx_IHuhSq3AJ5eI5OnqOPBNLWSHKh2a30DoXe8/edit?usp=sharing"",""กระบี่!J74"")"),1.0)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IFERROR(__xludf.DUMMYFUNCTION("IMPORTRANGE(""https://docs.google.com/spreadsheets/d/1IYY_tgx_IHuhSq3AJ5eI5OnqOPBNLWSHKh2a30DoXe8/edit?usp=sharing"",""กระบี่!J79"")"),0.0)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IFERROR(__xludf.DUMMYFUNCTION("IMPORTRANGE(""https://docs.google.com/spreadsheets/d/1IYY_tgx_IHuhSq3AJ5eI5OnqOPBNLWSHKh2a30DoXe8/edit?usp=sharing"",""กระบี่!J80"")"),1.0)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IFERROR(__xludf.DUMMYFUNCTION("IMPORTRANGE(""https://docs.google.com/spreadsheets/d/1IYY_tgx_IHuhSq3AJ5eI5OnqOPBNLWSHKh2a30DoXe8/edit?usp=sharing"",""กระบี่!J81"")"),1.0)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IFERROR(__xludf.DUMMYFUNCTION("IMPORTRANGE(""https://docs.google.com/spreadsheets/d/1IYY_tgx_IHuhSq3AJ5eI5OnqOPBNLWSHKh2a30DoXe8/edit?usp=sharing"",""กระบี่!J82"")"),1.0)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IFERROR(__xludf.DUMMYFUNCTION("IMPORTRANGE(""https://docs.google.com/spreadsheets/d/1IYY_tgx_IHuhSq3AJ5eI5OnqOPBNLWSHKh2a30DoXe8/edit?usp=sharing"",""กระบี่!I83"")"),4.0)</f>
        <v>4</v>
      </c>
      <c r="J158" s="223">
        <f>IFERROR(__xludf.DUMMYFUNCTION("IMPORTRANGE(""https://docs.google.com/spreadsheets/d/1IYY_tgx_IHuhSq3AJ5eI5OnqOPBNLWSHKh2a30DoXe8/edit?usp=sharing"",""กระบี่!J83"")"),1.0)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IFERROR(__xludf.DUMMYFUNCTION("IMPORTRANGE(""https://docs.google.com/spreadsheets/d/1IYY_tgx_IHuhSq3AJ5eI5OnqOPBNLWSHKh2a30DoXe8/edit?usp=sharing"",""กระบี่!J84"")"),12.0)</f>
        <v>12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IFERROR(__xludf.DUMMYFUNCTION("IMPORTRANGE(""https://docs.google.com/spreadsheets/d/1IYY_tgx_IHuhSq3AJ5eI5OnqOPBNLWSHKh2a30DoXe8/edit?usp=sharing"",""กระบี่!J85"")"),12.0)</f>
        <v>12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IFERROR(__xludf.DUMMYFUNCTION("IMPORTRANGE(""https://docs.google.com/spreadsheets/d/1IYY_tgx_IHuhSq3AJ5eI5OnqOPBNLWSHKh2a30DoXe8/edit?usp=sharing"",""กระบี่!J86"")"),0.0)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IFERROR(__xludf.DUMMYFUNCTION("IMPORTRANGE(""https://docs.google.com/spreadsheets/d/1IYY_tgx_IHuhSq3AJ5eI5OnqOPBNLWSHKh2a30DoXe8/edit?usp=sharing"",""กระบี่!J87"")"),0.0)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IFERROR(__xludf.DUMMYFUNCTION("IMPORTRANGE(""https://docs.google.com/spreadsheets/d/1IYY_tgx_IHuhSq3AJ5eI5OnqOPBNLWSHKh2a30DoXe8/edit?usp=sharing"",""กระบี่!J88"")"),0.0)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IFERROR(__xludf.DUMMYFUNCTION("IMPORTRANGE(""https://docs.google.com/spreadsheets/d/1IYY_tgx_IHuhSq3AJ5eI5OnqOPBNLWSHKh2a30DoXe8/edit?usp=sharing"",""กระบี่!I89"")"),2.0)</f>
        <v>2</v>
      </c>
      <c r="J164" s="317">
        <f>IFERROR(__xludf.DUMMYFUNCTION("IMPORTRANGE(""https://docs.google.com/spreadsheets/d/1IYY_tgx_IHuhSq3AJ5eI5OnqOPBNLWSHKh2a30DoXe8/edit?usp=sharing"",""กระบี่!J89"")"),0.0)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IFERROR(__xludf.DUMMYFUNCTION("IMPORTRANGE(""https://docs.google.com/spreadsheets/d/1IYY_tgx_IHuhSq3AJ5eI5OnqOPBNLWSHKh2a30DoXe8/edit?usp=sharing"",""กระบี่!J94"")"),0.0)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IFERROR(__xludf.DUMMYFUNCTION("IMPORTRANGE(""https://docs.google.com/spreadsheets/d/1IYY_tgx_IHuhSq3AJ5eI5OnqOPBNLWSHKh2a30DoXe8/edit?usp=sharing"",""กระบี่!J95"")"),1.0)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IFERROR(__xludf.DUMMYFUNCTION("IMPORTRANGE(""https://docs.google.com/spreadsheets/d/1IYY_tgx_IHuhSq3AJ5eI5OnqOPBNLWSHKh2a30DoXe8/edit?usp=sharing"",""กระบี่!J96"")"),1.0)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IFERROR(__xludf.DUMMYFUNCTION("IMPORTRANGE(""https://docs.google.com/spreadsheets/d/1IYY_tgx_IHuhSq3AJ5eI5OnqOPBNLWSHKh2a30DoXe8/edit?usp=sharing"",""กระบี่!J97"")"),1.0)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IFERROR(__xludf.DUMMYFUNCTION("IMPORTRANGE(""https://docs.google.com/spreadsheets/d/1IYY_tgx_IHuhSq3AJ5eI5OnqOPBNLWSHKh2a30DoXe8/edit?usp=sharing"",""กระบี่!I98"")"),2.0)</f>
        <v>2</v>
      </c>
      <c r="J173" s="223">
        <f>IFERROR(__xludf.DUMMYFUNCTION("IMPORTRANGE(""https://docs.google.com/spreadsheets/d/1IYY_tgx_IHuhSq3AJ5eI5OnqOPBNLWSHKh2a30DoXe8/edit?usp=sharing"",""กระบี่!J98"")"),0.0)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IFERROR(__xludf.DUMMYFUNCTION("IMPORTRANGE(""https://docs.google.com/spreadsheets/d/1IYY_tgx_IHuhSq3AJ5eI5OnqOPBNLWSHKh2a30DoXe8/edit?usp=sharing"",""กระบี่!J99"")"),0.0)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IFERROR(__xludf.DUMMYFUNCTION("IMPORTRANGE(""https://docs.google.com/spreadsheets/d/1IYY_tgx_IHuhSq3AJ5eI5OnqOPBNLWSHKh2a30DoXe8/edit?usp=sharing"",""กระบี่!J100"")"),0.0)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IFERROR(__xludf.DUMMYFUNCTION("IMPORTRANGE(""https://docs.google.com/spreadsheets/d/1IYY_tgx_IHuhSq3AJ5eI5OnqOPBNLWSHKh2a30DoXe8/edit?usp=sharing"",""กระบี่!I101"")"),0.0)</f>
        <v>0</v>
      </c>
      <c r="J176" s="317">
        <f>IFERROR(__xludf.DUMMYFUNCTION("IMPORTRANGE(""https://docs.google.com/spreadsheets/d/1IYY_tgx_IHuhSq3AJ5eI5OnqOPBNLWSHKh2a30DoXe8/edit?usp=sharing"",""กระบี่!J101"")"),0.0)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IFERROR(__xludf.DUMMYFUNCTION("IMPORTRANGE(""https://docs.google.com/spreadsheets/d/1IYY_tgx_IHuhSq3AJ5eI5OnqOPBNLWSHKh2a30DoXe8/edit?usp=sharing"",""กระบี่!J106"")"),0.0)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IFERROR(__xludf.DUMMYFUNCTION("IMPORTRANGE(""https://docs.google.com/spreadsheets/d/1IYY_tgx_IHuhSq3AJ5eI5OnqOPBNLWSHKh2a30DoXe8/edit?usp=sharing"",""กระบี่!J107"")"),0.0)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IFERROR(__xludf.DUMMYFUNCTION("IMPORTRANGE(""https://docs.google.com/spreadsheets/d/1IYY_tgx_IHuhSq3AJ5eI5OnqOPBNLWSHKh2a30DoXe8/edit?usp=sharing"",""กระบี่!J108"")"),0.0)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IFERROR(__xludf.DUMMYFUNCTION("IMPORTRANGE(""https://docs.google.com/spreadsheets/d/1IYY_tgx_IHuhSq3AJ5eI5OnqOPBNLWSHKh2a30DoXe8/edit?usp=sharing"",""กระบี่!J109"")"),0.0)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IFERROR(__xludf.DUMMYFUNCTION("IMPORTRANGE(""https://docs.google.com/spreadsheets/d/1IYY_tgx_IHuhSq3AJ5eI5OnqOPBNLWSHKh2a30DoXe8/edit?usp=sharing"",""กระบี่!I110"")"),0.0)</f>
        <v>0</v>
      </c>
      <c r="J185" s="238">
        <f>IFERROR(__xludf.DUMMYFUNCTION("IMPORTRANGE(""https://docs.google.com/spreadsheets/d/1IYY_tgx_IHuhSq3AJ5eI5OnqOPBNLWSHKh2a30DoXe8/edit?usp=sharing"",""กระบี่!J110"")"),0.0)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IFERROR(__xludf.DUMMYFUNCTION("IMPORTRANGE(""https://docs.google.com/spreadsheets/d/1IYY_tgx_IHuhSq3AJ5eI5OnqOPBNLWSHKh2a30DoXe8/edit?usp=sharing"",""กระบี่!I111"")"),0.0)</f>
        <v>0</v>
      </c>
      <c r="J186" s="238">
        <f>IFERROR(__xludf.DUMMYFUNCTION("IMPORTRANGE(""https://docs.google.com/spreadsheets/d/1IYY_tgx_IHuhSq3AJ5eI5OnqOPBNLWSHKh2a30DoXe8/edit?usp=sharing"",""กระบี่!J111"")"),0.0)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IFERROR(__xludf.DUMMYFUNCTION("IMPORTRANGE(""https://docs.google.com/spreadsheets/d/1IYY_tgx_IHuhSq3AJ5eI5OnqOPBNLWSHKh2a30DoXe8/edit?usp=sharing"",""กระบี่!J112"")"),0.0)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IFERROR(__xludf.DUMMYFUNCTION("IMPORTRANGE(""https://docs.google.com/spreadsheets/d/1IYY_tgx_IHuhSq3AJ5eI5OnqOPBNLWSHKh2a30DoXe8/edit?usp=sharing"",""กระบี่!J113"")"),0.0)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IFERROR(__xludf.DUMMYFUNCTION("IMPORTRANGE(""https://docs.google.com/spreadsheets/d/1IYY_tgx_IHuhSq3AJ5eI5OnqOPBNLWSHKh2a30DoXe8/edit?usp=sharing"",""กระบี่!I114"")"),50000.0)</f>
        <v>50000</v>
      </c>
      <c r="J189" s="317">
        <f>IFERROR(__xludf.DUMMYFUNCTION("IMPORTRANGE(""https://docs.google.com/spreadsheets/d/1IYY_tgx_IHuhSq3AJ5eI5OnqOPBNLWSHKh2a30DoXe8/edit?usp=sharing"",""กระบี่!J114"")"),0.0)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IFERROR(__xludf.DUMMYFUNCTION("IMPORTRANGE(""https://docs.google.com/spreadsheets/d/1IYY_tgx_IHuhSq3AJ5eI5OnqOPBNLWSHKh2a30DoXe8/edit?usp=sharing"",""กระบี่!J119"")"),0.0)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IFERROR(__xludf.DUMMYFUNCTION("IMPORTRANGE(""https://docs.google.com/spreadsheets/d/1IYY_tgx_IHuhSq3AJ5eI5OnqOPBNLWSHKh2a30DoXe8/edit?usp=sharing"",""กระบี่!J120"")"),1.0)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IFERROR(__xludf.DUMMYFUNCTION("IMPORTRANGE(""https://docs.google.com/spreadsheets/d/1IYY_tgx_IHuhSq3AJ5eI5OnqOPBNLWSHKh2a30DoXe8/edit?usp=sharing"",""กระบี่!J121"")"),1.0)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IFERROR(__xludf.DUMMYFUNCTION("IMPORTRANGE(""https://docs.google.com/spreadsheets/d/1IYY_tgx_IHuhSq3AJ5eI5OnqOPBNLWSHKh2a30DoXe8/edit?usp=sharing"",""กระบี่!J122"")"),1.0)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IFERROR(__xludf.DUMMYFUNCTION("IMPORTRANGE(""https://docs.google.com/spreadsheets/d/1IYY_tgx_IHuhSq3AJ5eI5OnqOPBNLWSHKh2a30DoXe8/edit?usp=sharing"",""กระบี่!I124"")"),50000.0)</f>
        <v>50000</v>
      </c>
      <c r="J199" s="223">
        <f>IFERROR(__xludf.DUMMYFUNCTION("IMPORTRANGE(""https://docs.google.com/spreadsheets/d/1IYY_tgx_IHuhSq3AJ5eI5OnqOPBNLWSHKh2a30DoXe8/edit?usp=sharing"",""กระบี่!J124"")"),50000.0)</f>
        <v>50000</v>
      </c>
      <c r="K199" s="196">
        <f t="shared" ref="K199:K201" si="71">IF(I199&gt;0,J199*100/I199,0)</f>
        <v>100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IFERROR(__xludf.DUMMYFUNCTION("IMPORTRANGE(""https://docs.google.com/spreadsheets/d/1IYY_tgx_IHuhSq3AJ5eI5OnqOPBNLWSHKh2a30DoXe8/edit?usp=sharing"",""กระบี่!I125"")"),50000.0)</f>
        <v>50000</v>
      </c>
      <c r="J200" s="223">
        <f>IFERROR(__xludf.DUMMYFUNCTION("IMPORTRANGE(""https://docs.google.com/spreadsheets/d/1IYY_tgx_IHuhSq3AJ5eI5OnqOPBNLWSHKh2a30DoXe8/edit?usp=sharing"",""กระบี่!J125"")"),0.0)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IFERROR(__xludf.DUMMYFUNCTION("IMPORTRANGE(""https://docs.google.com/spreadsheets/d/1IYY_tgx_IHuhSq3AJ5eI5OnqOPBNLWSHKh2a30DoXe8/edit?usp=sharing"",""กระบี่!I126"")"),15.0)</f>
        <v>15</v>
      </c>
      <c r="J201" s="223">
        <f>IFERROR(__xludf.DUMMYFUNCTION("IMPORTRANGE(""https://docs.google.com/spreadsheets/d/1IYY_tgx_IHuhSq3AJ5eI5OnqOPBNLWSHKh2a30DoXe8/edit?usp=sharing"",""กระบี่!J126"")"),15.0)</f>
        <v>15</v>
      </c>
      <c r="K201" s="196">
        <f t="shared" si="71"/>
        <v>100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IFERROR(__xludf.DUMMYFUNCTION("IMPORTRANGE(""https://docs.google.com/spreadsheets/d/1IYY_tgx_IHuhSq3AJ5eI5OnqOPBNLWSHKh2a30DoXe8/edit?usp=sharing"",""กระบี่!J127"")"),0.0)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IFERROR(__xludf.DUMMYFUNCTION("IMPORTRANGE(""https://docs.google.com/spreadsheets/d/1IYY_tgx_IHuhSq3AJ5eI5OnqOPBNLWSHKh2a30DoXe8/edit?usp=sharing"",""กระบี่!J128"")"),0.0)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IFERROR(__xludf.DUMMYFUNCTION("IMPORTRANGE(""https://docs.google.com/spreadsheets/d/1IYY_tgx_IHuhSq3AJ5eI5OnqOPBNLWSHKh2a30DoXe8/edit?usp=sharing"",""กระบี่!I129"")"),0.0)</f>
        <v>0</v>
      </c>
      <c r="J204" s="317">
        <f>IFERROR(__xludf.DUMMYFUNCTION("IMPORTRANGE(""https://docs.google.com/spreadsheets/d/1IYY_tgx_IHuhSq3AJ5eI5OnqOPBNLWSHKh2a30DoXe8/edit?usp=sharing"",""กระบี่!J129"")"),0.0)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IFERROR(__xludf.DUMMYFUNCTION("IMPORTRANGE(""https://docs.google.com/spreadsheets/d/1IYY_tgx_IHuhSq3AJ5eI5OnqOPBNLWSHKh2a30DoXe8/edit?usp=sharing"",""กระบี่!J134"")"),0.0)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IFERROR(__xludf.DUMMYFUNCTION("IMPORTRANGE(""https://docs.google.com/spreadsheets/d/1IYY_tgx_IHuhSq3AJ5eI5OnqOPBNLWSHKh2a30DoXe8/edit?usp=sharing"",""กระบี่!J135"")"),0.0)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IFERROR(__xludf.DUMMYFUNCTION("IMPORTRANGE(""https://docs.google.com/spreadsheets/d/1IYY_tgx_IHuhSq3AJ5eI5OnqOPBNLWSHKh2a30DoXe8/edit?usp=sharing"",""กระบี่!J136"")"),0.0)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IFERROR(__xludf.DUMMYFUNCTION("IMPORTRANGE(""https://docs.google.com/spreadsheets/d/1IYY_tgx_IHuhSq3AJ5eI5OnqOPBNLWSHKh2a30DoXe8/edit?usp=sharing"",""กระบี่!J137"")"),0.0)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IFERROR(__xludf.DUMMYFUNCTION("IMPORTRANGE(""https://docs.google.com/spreadsheets/d/1IYY_tgx_IHuhSq3AJ5eI5OnqOPBNLWSHKh2a30DoXe8/edit?usp=sharing"",""กระบี่!I138"")"),0.0)</f>
        <v>0</v>
      </c>
      <c r="J213" s="238">
        <f>IFERROR(__xludf.DUMMYFUNCTION("IMPORTRANGE(""https://docs.google.com/spreadsheets/d/1IYY_tgx_IHuhSq3AJ5eI5OnqOPBNLWSHKh2a30DoXe8/edit?usp=sharing"",""กระบี่!J138"")"),0.0)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IFERROR(__xludf.DUMMYFUNCTION("IMPORTRANGE(""https://docs.google.com/spreadsheets/d/1IYY_tgx_IHuhSq3AJ5eI5OnqOPBNLWSHKh2a30DoXe8/edit?usp=sharing"",""กระบี่!I140"")"),0.0)</f>
        <v>0</v>
      </c>
      <c r="J215" s="238">
        <f>IFERROR(__xludf.DUMMYFUNCTION("IMPORTRANGE(""https://docs.google.com/spreadsheets/d/1IYY_tgx_IHuhSq3AJ5eI5OnqOPBNLWSHKh2a30DoXe8/edit?usp=sharing"",""กระบี่!J140"")"),0.0)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IFERROR(__xludf.DUMMYFUNCTION("IMPORTRANGE(""https://docs.google.com/spreadsheets/d/1IYY_tgx_IHuhSq3AJ5eI5OnqOPBNLWSHKh2a30DoXe8/edit?usp=sharing"",""กระบี่!I141"")"),0.0)</f>
        <v>0</v>
      </c>
      <c r="J216" s="238">
        <f>IFERROR(__xludf.DUMMYFUNCTION("IMPORTRANGE(""https://docs.google.com/spreadsheets/d/1IYY_tgx_IHuhSq3AJ5eI5OnqOPBNLWSHKh2a30DoXe8/edit?usp=sharing"",""กระบี่!J141"")"),0.0)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IFERROR(__xludf.DUMMYFUNCTION("IMPORTRANGE(""https://docs.google.com/spreadsheets/d/1IYY_tgx_IHuhSq3AJ5eI5OnqOPBNLWSHKh2a30DoXe8/edit?usp=sharing"",""กระบี่!J142"")"),0.0)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IFERROR(__xludf.DUMMYFUNCTION("IMPORTRANGE(""https://docs.google.com/spreadsheets/d/1IYY_tgx_IHuhSq3AJ5eI5OnqOPBNLWSHKh2a30DoXe8/edit?usp=sharing"",""กระบี่!J143"")"),0.0)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IFERROR(__xludf.DUMMYFUNCTION("IMPORTRANGE(""https://docs.google.com/spreadsheets/d/1IYY_tgx_IHuhSq3AJ5eI5OnqOPBNLWSHKh2a30DoXe8/edit?usp=sharing"",""กระบี่!I144"")"),13.0)</f>
        <v>13</v>
      </c>
      <c r="J219" s="301">
        <f>IFERROR(__xludf.DUMMYFUNCTION("IMPORTRANGE(""https://docs.google.com/spreadsheets/d/1IYY_tgx_IHuhSq3AJ5eI5OnqOPBNLWSHKh2a30DoXe8/edit?usp=sharing"",""กระบี่!J144"")"),13.0)</f>
        <v>13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19295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19295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1">
        <f>IFERROR(__xludf.DUMMYFUNCTION("IMPORTRANGE(""https://docs.google.com/spreadsheets/d/1Yj_ptqi66GCucihVvJfMjLAmec39IyEx_6qawtMGysU/edit?usp=sharing"",""สบก!BS81"")"),19295.0)</f>
        <v>19295</v>
      </c>
      <c r="N224" s="202">
        <f>IFERROR(__xludf.DUMMYFUNCTION("IMPORTRANGE(""https://docs.google.com/spreadsheets/d/1Yj_ptqi66GCucihVvJfMjLAmec39IyEx_6qawtMGysU/edit?usp=sharing"",""สบก!BT81"")"),19295.0)</f>
        <v>19295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IFERROR(__xludf.DUMMYFUNCTION("IMPORTRANGE(""https://docs.google.com/spreadsheets/d/1Yj_ptqi66GCucihVvJfMjLAmec39IyEx_6qawtMGysU/edit?usp=sharing"",""สบก!BO81"")"),0.0)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IFERROR(__xludf.DUMMYFUNCTION("IMPORTRANGE(""https://docs.google.com/spreadsheets/d/1Yj_ptqi66GCucihVvJfMjLAmec39IyEx_6qawtMGysU/edit?usp=sharing"",""สบก!BP81"")"),19295.0)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IFERROR(__xludf.DUMMYFUNCTION("IMPORTRANGE(""https://docs.google.com/spreadsheets/d/1Yj_ptqi66GCucihVvJfMjLAmec39IyEx_6qawtMGysU/edit?usp=sharing"",""สบก!BQ81"")"),0.0)</f>
        <v>0</v>
      </c>
      <c r="M228" s="125"/>
      <c r="N228" s="115">
        <f>IFERROR(__xludf.DUMMYFUNCTION("IMPORTRANGE(""https://docs.google.com/spreadsheets/d/1Yj_ptqi66GCucihVvJfMjLAmec39IyEx_6qawtMGysU/edit?usp=sharing"",""สบก!BU81"")"),0.0)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IFERROR(__xludf.DUMMYFUNCTION("IMPORTRANGE(""https://docs.google.com/spreadsheets/d/1IYY_tgx_IHuhSq3AJ5eI5OnqOPBNLWSHKh2a30DoXe8/edit?usp=sharing"",""กระบี่!I149"")"),13.0)</f>
        <v>13</v>
      </c>
      <c r="J229" s="301">
        <f>IFERROR(__xludf.DUMMYFUNCTION("IMPORTRANGE(""https://docs.google.com/spreadsheets/d/1IYY_tgx_IHuhSq3AJ5eI5OnqOPBNLWSHKh2a30DoXe8/edit?usp=sharing"",""กระบี่!J149"")"),13.0)</f>
        <v>13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IFERROR(__xludf.DUMMYFUNCTION("IMPORTRANGE(""https://docs.google.com/spreadsheets/d/1IYY_tgx_IHuhSq3AJ5eI5OnqOPBNLWSHKh2a30DoXe8/edit?usp=sharing"",""กระบี่!J151"")"),0.0)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IFERROR(__xludf.DUMMYFUNCTION("IMPORTRANGE(""https://docs.google.com/spreadsheets/d/1IYY_tgx_IHuhSq3AJ5eI5OnqOPBNLWSHKh2a30DoXe8/edit?usp=sharing"",""กระบี่!J152"")"),1.0)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IFERROR(__xludf.DUMMYFUNCTION("IMPORTRANGE(""https://docs.google.com/spreadsheets/d/1IYY_tgx_IHuhSq3AJ5eI5OnqOPBNLWSHKh2a30DoXe8/edit?usp=sharing"",""กระบี่!J153"")"),1.0)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IFERROR(__xludf.DUMMYFUNCTION("IMPORTRANGE(""https://docs.google.com/spreadsheets/d/1IYY_tgx_IHuhSq3AJ5eI5OnqOPBNLWSHKh2a30DoXe8/edit?usp=sharing"",""กระบี่!J154"")"),1.0)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IFERROR(__xludf.DUMMYFUNCTION("IMPORTRANGE(""https://docs.google.com/spreadsheets/d/1IYY_tgx_IHuhSq3AJ5eI5OnqOPBNLWSHKh2a30DoXe8/edit?usp=sharing"",""กระบี่!I155"")"),13.0)</f>
        <v>13</v>
      </c>
      <c r="J235" s="223">
        <f>IFERROR(__xludf.DUMMYFUNCTION("IMPORTRANGE(""https://docs.google.com/spreadsheets/d/1IYY_tgx_IHuhSq3AJ5eI5OnqOPBNLWSHKh2a30DoXe8/edit?usp=sharing"",""กระบี่!J155"")"),13.0)</f>
        <v>13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IFERROR(__xludf.DUMMYFUNCTION("IMPORTRANGE(""https://docs.google.com/spreadsheets/d/1IYY_tgx_IHuhSq3AJ5eI5OnqOPBNLWSHKh2a30DoXe8/edit?usp=sharing"",""กระบี่!J156"")"),0.0)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IFERROR(__xludf.DUMMYFUNCTION("IMPORTRANGE(""https://docs.google.com/spreadsheets/d/1IYY_tgx_IHuhSq3AJ5eI5OnqOPBNLWSHKh2a30DoXe8/edit?usp=sharing"",""กระบี่!J157"")"),0.0)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IFERROR(__xludf.DUMMYFUNCTION("IMPORTRANGE(""https://docs.google.com/spreadsheets/d/1IYY_tgx_IHuhSq3AJ5eI5OnqOPBNLWSHKh2a30DoXe8/edit?usp=sharing"",""กระบี่!I158"")"),0.0)</f>
        <v>0</v>
      </c>
      <c r="J238" s="301">
        <f>IFERROR(__xludf.DUMMYFUNCTION("IMPORTRANGE(""https://docs.google.com/spreadsheets/d/1IYY_tgx_IHuhSq3AJ5eI5OnqOPBNLWSHKh2a30DoXe8/edit?usp=sharing"",""กระบี่!J158"")"),0.0)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IFERROR(__xludf.DUMMYFUNCTION("IMPORTRANGE(""https://docs.google.com/spreadsheets/d/1IYY_tgx_IHuhSq3AJ5eI5OnqOPBNLWSHKh2a30DoXe8/edit?usp=sharing"",""กระบี่!J159"")"),"")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IFERROR(__xludf.DUMMYFUNCTION("IMPORTRANGE(""https://docs.google.com/spreadsheets/d/1IYY_tgx_IHuhSq3AJ5eI5OnqOPBNLWSHKh2a30DoXe8/edit?usp=sharing"",""กระบี่!J161"")"),0.0)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IFERROR(__xludf.DUMMYFUNCTION("IMPORTRANGE(""https://docs.google.com/spreadsheets/d/1IYY_tgx_IHuhSq3AJ5eI5OnqOPBNLWSHKh2a30DoXe8/edit?usp=sharing"",""กระบี่!J162"")"),0.0)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IFERROR(__xludf.DUMMYFUNCTION("IMPORTRANGE(""https://docs.google.com/spreadsheets/d/1IYY_tgx_IHuhSq3AJ5eI5OnqOPBNLWSHKh2a30DoXe8/edit?usp=sharing"",""กระบี่!J163"")"),0.0)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IFERROR(__xludf.DUMMYFUNCTION("IMPORTRANGE(""https://docs.google.com/spreadsheets/d/1IYY_tgx_IHuhSq3AJ5eI5OnqOPBNLWSHKh2a30DoXe8/edit?usp=sharing"",""กระบี่!I164"")"),0.0)</f>
        <v>0</v>
      </c>
      <c r="J244" s="222">
        <f>IFERROR(__xludf.DUMMYFUNCTION("IMPORTRANGE(""https://docs.google.com/spreadsheets/d/1IYY_tgx_IHuhSq3AJ5eI5OnqOPBNLWSHKh2a30DoXe8/edit?usp=sharing"",""กระบี่!J164"")"),0.0)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IFERROR(__xludf.DUMMYFUNCTION("IMPORTRANGE(""https://docs.google.com/spreadsheets/d/1IYY_tgx_IHuhSq3AJ5eI5OnqOPBNLWSHKh2a30DoXe8/edit?usp=sharing"",""กระบี่!J165"")"),0.0)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IFERROR(__xludf.DUMMYFUNCTION("IMPORTRANGE(""https://docs.google.com/spreadsheets/d/1IYY_tgx_IHuhSq3AJ5eI5OnqOPBNLWSHKh2a30DoXe8/edit?usp=sharing"",""กระบี่!J166"")"),0.0)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IFERROR(__xludf.DUMMYFUNCTION("IMPORTRANGE(""https://docs.google.com/spreadsheets/d/1IYY_tgx_IHuhSq3AJ5eI5OnqOPBNLWSHKh2a30DoXe8/edit?usp=sharing"",""กระบี่!I169"")"),0.0)</f>
        <v>0</v>
      </c>
      <c r="J249" s="349">
        <f>IFERROR(__xludf.DUMMYFUNCTION("IMPORTRANGE(""https://docs.google.com/spreadsheets/d/1IYY_tgx_IHuhSq3AJ5eI5OnqOPBNLWSHKh2a30DoXe8/edit?usp=sharing"",""กระบี่!J169"")"),0.0)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IFERROR(__xludf.DUMMYFUNCTION("IMPORTRANGE(""https://docs.google.com/spreadsheets/d/1Yj_ptqi66GCucihVvJfMjLAmec39IyEx_6qawtMGysU/edit?usp=sharing"",""สบก!CB81"")"),0.0)</f>
        <v>0</v>
      </c>
      <c r="N254" s="202">
        <f>IFERROR(__xludf.DUMMYFUNCTION("IMPORTRANGE(""https://docs.google.com/spreadsheets/d/1Yj_ptqi66GCucihVvJfMjLAmec39IyEx_6qawtMGysU/edit?usp=sharing"",""สบก!CC81"")"),0.0)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IFERROR(__xludf.DUMMYFUNCTION("IMPORTRANGE(""https://docs.google.com/spreadsheets/d/1Yj_ptqi66GCucihVvJfMjLAmec39IyEx_6qawtMGysU/edit?usp=sharing"",""สบก!BX81"")"),0.0)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IFERROR(__xludf.DUMMYFUNCTION("IMPORTRANGE(""https://docs.google.com/spreadsheets/d/1Yj_ptqi66GCucihVvJfMjLAmec39IyEx_6qawtMGysU/edit?usp=sharing"",""สบก!BY81"")"),0.0)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IFERROR(__xludf.DUMMYFUNCTION("IMPORTRANGE(""https://docs.google.com/spreadsheets/d/1Yj_ptqi66GCucihVvJfMjLAmec39IyEx_6qawtMGysU/edit?usp=sharing"",""สบก!BZ81"")"),0.0)</f>
        <v>0</v>
      </c>
      <c r="M258" s="125"/>
      <c r="N258" s="115">
        <f>IFERROR(__xludf.DUMMYFUNCTION("IMPORTRANGE(""https://docs.google.com/spreadsheets/d/1Yj_ptqi66GCucihVvJfMjLAmec39IyEx_6qawtMGysU/edit?usp=sharing"",""สบก!CD81"")"),0.0)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IFERROR(__xludf.DUMMYFUNCTION("IMPORTRANGE(""https://docs.google.com/spreadsheets/d/1IYY_tgx_IHuhSq3AJ5eI5OnqOPBNLWSHKh2a30DoXe8/edit?usp=sharing"",""กระบี่!J175"")"),0.0)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IFERROR(__xludf.DUMMYFUNCTION("IMPORTRANGE(""https://docs.google.com/spreadsheets/d/1IYY_tgx_IHuhSq3AJ5eI5OnqOPBNLWSHKh2a30DoXe8/edit?usp=sharing"",""กระบี่!J176"")"),0.0)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IFERROR(__xludf.DUMMYFUNCTION("IMPORTRANGE(""https://docs.google.com/spreadsheets/d/1IYY_tgx_IHuhSq3AJ5eI5OnqOPBNLWSHKh2a30DoXe8/edit?usp=sharing"",""กระบี่!J177"")"),0.0)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IFERROR(__xludf.DUMMYFUNCTION("IMPORTRANGE(""https://docs.google.com/spreadsheets/d/1IYY_tgx_IHuhSq3AJ5eI5OnqOPBNLWSHKh2a30DoXe8/edit?usp=sharing"",""กระบี่!J178"")"),0.0)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IFERROR(__xludf.DUMMYFUNCTION("IMPORTRANGE(""https://docs.google.com/spreadsheets/d/1IYY_tgx_IHuhSq3AJ5eI5OnqOPBNLWSHKh2a30DoXe8/edit?usp=sharing"",""กระบี่!I179"")"),0.0)</f>
        <v>0</v>
      </c>
      <c r="J264" s="223">
        <f>IFERROR(__xludf.DUMMYFUNCTION("IMPORTRANGE(""https://docs.google.com/spreadsheets/d/1IYY_tgx_IHuhSq3AJ5eI5OnqOPBNLWSHKh2a30DoXe8/edit?usp=sharing"",""กระบี่!J179"")"),0.0)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IFERROR(__xludf.DUMMYFUNCTION("IMPORTRANGE(""https://docs.google.com/spreadsheets/d/1IYY_tgx_IHuhSq3AJ5eI5OnqOPBNLWSHKh2a30DoXe8/edit?usp=sharing"",""กระบี่!I180"")"),0.0)</f>
        <v>0</v>
      </c>
      <c r="J265" s="223">
        <f>IFERROR(__xludf.DUMMYFUNCTION("IMPORTRANGE(""https://docs.google.com/spreadsheets/d/1IYY_tgx_IHuhSq3AJ5eI5OnqOPBNLWSHKh2a30DoXe8/edit?usp=sharing"",""กระบี่!J180"")"),0.0)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IFERROR(__xludf.DUMMYFUNCTION("IMPORTRANGE(""https://docs.google.com/spreadsheets/d/1IYY_tgx_IHuhSq3AJ5eI5OnqOPBNLWSHKh2a30DoXe8/edit?usp=sharing"",""กระบี่!I181"")"),0.0)</f>
        <v>0</v>
      </c>
      <c r="J266" s="223">
        <f>IFERROR(__xludf.DUMMYFUNCTION("IMPORTRANGE(""https://docs.google.com/spreadsheets/d/1IYY_tgx_IHuhSq3AJ5eI5OnqOPBNLWSHKh2a30DoXe8/edit?usp=sharing"",""กระบี่!J181"")"),0.0)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IFERROR(__xludf.DUMMYFUNCTION("IMPORTRANGE(""https://docs.google.com/spreadsheets/d/1IYY_tgx_IHuhSq3AJ5eI5OnqOPBNLWSHKh2a30DoXe8/edit?usp=sharing"",""กระบี่!I182"")"),0.0)</f>
        <v>0</v>
      </c>
      <c r="J267" s="223">
        <f>IFERROR(__xludf.DUMMYFUNCTION("IMPORTRANGE(""https://docs.google.com/spreadsheets/d/1IYY_tgx_IHuhSq3AJ5eI5OnqOPBNLWSHKh2a30DoXe8/edit?usp=sharing"",""กระบี่!J182"")"),0.0)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IFERROR(__xludf.DUMMYFUNCTION("IMPORTRANGE(""https://docs.google.com/spreadsheets/d/1IYY_tgx_IHuhSq3AJ5eI5OnqOPBNLWSHKh2a30DoXe8/edit?usp=sharing"",""กระบี่!J183"")"),0.0)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IFERROR(__xludf.DUMMYFUNCTION("IMPORTRANGE(""https://docs.google.com/spreadsheets/d/1IYY_tgx_IHuhSq3AJ5eI5OnqOPBNLWSHKh2a30DoXe8/edit?usp=sharing"",""กระบี่!J184"")"),0.0)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IFERROR(__xludf.DUMMYFUNCTION("IMPORTRANGE(""https://docs.google.com/spreadsheets/d/1IYY_tgx_IHuhSq3AJ5eI5OnqOPBNLWSHKh2a30DoXe8/edit?usp=sharing"",""กระบี่!I185"")"),0.0)</f>
        <v>0</v>
      </c>
      <c r="J270" s="349">
        <f>IFERROR(__xludf.DUMMYFUNCTION("IMPORTRANGE(""https://docs.google.com/spreadsheets/d/1IYY_tgx_IHuhSq3AJ5eI5OnqOPBNLWSHKh2a30DoXe8/edit?usp=sharing"",""กระบี่!J185"")"),0.0)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IFERROR(__xludf.DUMMYFUNCTION("IMPORTRANGE(""https://docs.google.com/spreadsheets/d/1Yj_ptqi66GCucihVvJfMjLAmec39IyEx_6qawtMGysU/edit?usp=sharing"",""สบก!CK81"")"),0.0)</f>
        <v>0</v>
      </c>
      <c r="N275" s="202">
        <f>IFERROR(__xludf.DUMMYFUNCTION("IMPORTRANGE(""https://docs.google.com/spreadsheets/d/1Yj_ptqi66GCucihVvJfMjLAmec39IyEx_6qawtMGysU/edit?usp=sharing"",""สบก!CL81"")"),0.0)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IFERROR(__xludf.DUMMYFUNCTION("IMPORTRANGE(""https://docs.google.com/spreadsheets/d/1Yj_ptqi66GCucihVvJfMjLAmec39IyEx_6qawtMGysU/edit?usp=sharing"",""สบก!CG81"")"),0.0)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IFERROR(__xludf.DUMMYFUNCTION("IMPORTRANGE(""https://docs.google.com/spreadsheets/d/1Yj_ptqi66GCucihVvJfMjLAmec39IyEx_6qawtMGysU/edit?usp=sharing"",""สบก!CH81"")"),0.0)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IFERROR(__xludf.DUMMYFUNCTION("IMPORTRANGE(""https://docs.google.com/spreadsheets/d/1Yj_ptqi66GCucihVvJfMjLAmec39IyEx_6qawtMGysU/edit?usp=sharing"",""สบก!CI81"")"),0.0)</f>
        <v>0</v>
      </c>
      <c r="M279" s="125"/>
      <c r="N279" s="115">
        <f>IFERROR(__xludf.DUMMYFUNCTION("IMPORTRANGE(""https://docs.google.com/spreadsheets/d/1Yj_ptqi66GCucihVvJfMjLAmec39IyEx_6qawtMGysU/edit?usp=sharing"",""สบก!CM81"")"),0.0)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IFERROR(__xludf.DUMMYFUNCTION("IMPORTRANGE(""https://docs.google.com/spreadsheets/d/1IYY_tgx_IHuhSq3AJ5eI5OnqOPBNLWSHKh2a30DoXe8/edit?usp=sharing"",""กระบี่!J191"")"),0.0)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IFERROR(__xludf.DUMMYFUNCTION("IMPORTRANGE(""https://docs.google.com/spreadsheets/d/1IYY_tgx_IHuhSq3AJ5eI5OnqOPBNLWSHKh2a30DoXe8/edit?usp=sharing"",""กระบี่!J192"")"),0.0)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IFERROR(__xludf.DUMMYFUNCTION("IMPORTRANGE(""https://docs.google.com/spreadsheets/d/1IYY_tgx_IHuhSq3AJ5eI5OnqOPBNLWSHKh2a30DoXe8/edit?usp=sharing"",""กระบี่!J193"")"),0.0)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IFERROR(__xludf.DUMMYFUNCTION("IMPORTRANGE(""https://docs.google.com/spreadsheets/d/1IYY_tgx_IHuhSq3AJ5eI5OnqOPBNLWSHKh2a30DoXe8/edit?usp=sharing"",""กระบี่!J194"")"),0.0)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IFERROR(__xludf.DUMMYFUNCTION("IMPORTRANGE(""https://docs.google.com/spreadsheets/d/1IYY_tgx_IHuhSq3AJ5eI5OnqOPBNLWSHKh2a30DoXe8/edit?usp=sharing"",""กระบี่!I195"")"),0.0)</f>
        <v>0</v>
      </c>
      <c r="J285" s="223">
        <f>IFERROR(__xludf.DUMMYFUNCTION("IMPORTRANGE(""https://docs.google.com/spreadsheets/d/1IYY_tgx_IHuhSq3AJ5eI5OnqOPBNLWSHKh2a30DoXe8/edit?usp=sharing"",""กระบี่!J195"")"),0.0)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IFERROR(__xludf.DUMMYFUNCTION("IMPORTRANGE(""https://docs.google.com/spreadsheets/d/1IYY_tgx_IHuhSq3AJ5eI5OnqOPBNLWSHKh2a30DoXe8/edit?usp=sharing"",""กระบี่!J196"")"),0.0)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IFERROR(__xludf.DUMMYFUNCTION("IMPORTRANGE(""https://docs.google.com/spreadsheets/d/1IYY_tgx_IHuhSq3AJ5eI5OnqOPBNLWSHKh2a30DoXe8/edit?usp=sharing"",""กระบี่!J197"")"),0.0)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IFERROR(__xludf.DUMMYFUNCTION("IMPORTRANGE(""https://docs.google.com/spreadsheets/d/1IYY_tgx_IHuhSq3AJ5eI5OnqOPBNLWSHKh2a30DoXe8/edit?usp=sharing"",""กระบี่!I199"")"),65.0)</f>
        <v>65</v>
      </c>
      <c r="J289" s="349">
        <f>IFERROR(__xludf.DUMMYFUNCTION("IMPORTRANGE(""https://docs.google.com/spreadsheets/d/1IYY_tgx_IHuhSq3AJ5eI5OnqOPBNLWSHKh2a30DoXe8/edit?usp=sharing"",""กระบี่!J199"")"),65.0)</f>
        <v>65</v>
      </c>
      <c r="K289" s="350">
        <f>IF(I289&gt;0,J289*100/I289,0)</f>
        <v>100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765740</v>
      </c>
      <c r="M290" s="183">
        <f t="shared" si="89"/>
        <v>87720</v>
      </c>
      <c r="N290" s="183">
        <f t="shared" si="89"/>
        <v>82712</v>
      </c>
      <c r="O290" s="182">
        <f t="shared" ref="O290:O292" si="91">IF(L290&gt;0,N290*100/L290,0)</f>
        <v>10.80157756</v>
      </c>
      <c r="P290" s="182">
        <f t="shared" ref="P290:P292" si="92">IF(M290&gt;0,N290*100/M290,0)</f>
        <v>94.29092567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765740</v>
      </c>
      <c r="M292" s="188">
        <f t="shared" si="93"/>
        <v>87720</v>
      </c>
      <c r="N292" s="188">
        <f t="shared" si="93"/>
        <v>82712</v>
      </c>
      <c r="O292" s="187">
        <f t="shared" si="91"/>
        <v>10.80157756</v>
      </c>
      <c r="P292" s="187">
        <f t="shared" si="92"/>
        <v>94.29092567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195740</v>
      </c>
      <c r="M294" s="201">
        <f>IFERROR(__xludf.DUMMYFUNCTION("IMPORTRANGE(""https://docs.google.com/spreadsheets/d/1Yj_ptqi66GCucihVvJfMjLAmec39IyEx_6qawtMGysU/edit?usp=sharing"",""สบก!CT81"")"),87720.0)</f>
        <v>87720</v>
      </c>
      <c r="N294" s="202">
        <f>IFERROR(__xludf.DUMMYFUNCTION("IMPORTRANGE(""https://docs.google.com/spreadsheets/d/1Yj_ptqi66GCucihVvJfMjLAmec39IyEx_6qawtMGysU/edit?usp=sharing"",""สบก!CU81"")"),82712.0)</f>
        <v>82712</v>
      </c>
      <c r="O294" s="203">
        <f>IF(L294&gt;0,N294*100/L294,0)</f>
        <v>42.25605395</v>
      </c>
      <c r="P294" s="203">
        <f>IF(M294&gt;0,N294*100/M294,0)</f>
        <v>94.29092567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IFERROR(__xludf.DUMMYFUNCTION("IMPORTRANGE(""https://docs.google.com/spreadsheets/d/1Yj_ptqi66GCucihVvJfMjLAmec39IyEx_6qawtMGysU/edit?usp=sharing"",""สบก!CP81"")"),0.0)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IFERROR(__xludf.DUMMYFUNCTION("IMPORTRANGE(""https://docs.google.com/spreadsheets/d/1Yj_ptqi66GCucihVvJfMjLAmec39IyEx_6qawtMGysU/edit?usp=sharing"",""สบก!CQ81"")"),195740.0)</f>
        <v>195740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IFERROR(__xludf.DUMMYFUNCTION("IMPORTRANGE(""https://docs.google.com/spreadsheets/d/1Yj_ptqi66GCucihVvJfMjLAmec39IyEx_6qawtMGysU/edit?usp=sharing"",""สบก!CR81"")"),570000.0)</f>
        <v>570000</v>
      </c>
      <c r="M298" s="125"/>
      <c r="N298" s="115">
        <f>IFERROR(__xludf.DUMMYFUNCTION("IMPORTRANGE(""https://docs.google.com/spreadsheets/d/1Yj_ptqi66GCucihVvJfMjLAmec39IyEx_6qawtMGysU/edit?usp=sharing"",""สบก!CV81"")"),0.0)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IFERROR(__xludf.DUMMYFUNCTION("IMPORTRANGE(""https://docs.google.com/spreadsheets/d/1IYY_tgx_IHuhSq3AJ5eI5OnqOPBNLWSHKh2a30DoXe8/edit?usp=sharing"",""กระบี่!J205"")"),0.0)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IFERROR(__xludf.DUMMYFUNCTION("IMPORTRANGE(""https://docs.google.com/spreadsheets/d/1IYY_tgx_IHuhSq3AJ5eI5OnqOPBNLWSHKh2a30DoXe8/edit?usp=sharing"",""กระบี่!J206"")"),1.0)</f>
        <v>1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IFERROR(__xludf.DUMMYFUNCTION("IMPORTRANGE(""https://docs.google.com/spreadsheets/d/1IYY_tgx_IHuhSq3AJ5eI5OnqOPBNLWSHKh2a30DoXe8/edit?usp=sharing"",""กระบี่!J207"")"),1.0)</f>
        <v>1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IFERROR(__xludf.DUMMYFUNCTION("IMPORTRANGE(""https://docs.google.com/spreadsheets/d/1IYY_tgx_IHuhSq3AJ5eI5OnqOPBNLWSHKh2a30DoXe8/edit?usp=sharing"",""กระบี่!J208"")"),1.0)</f>
        <v>1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IFERROR(__xludf.DUMMYFUNCTION("IMPORTRANGE(""https://docs.google.com/spreadsheets/d/1IYY_tgx_IHuhSq3AJ5eI5OnqOPBNLWSHKh2a30DoXe8/edit?usp=sharing"",""กระบี่!I209"")"),65.0)</f>
        <v>65</v>
      </c>
      <c r="J304" s="238">
        <f>IFERROR(__xludf.DUMMYFUNCTION("IMPORTRANGE(""https://docs.google.com/spreadsheets/d/1IYY_tgx_IHuhSq3AJ5eI5OnqOPBNLWSHKh2a30DoXe8/edit?usp=sharing"",""กระบี่!J209"")"),65.0)</f>
        <v>65</v>
      </c>
      <c r="K304" s="258">
        <f>IF(I304&gt;0,J304*100/I304,0)</f>
        <v>100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IFERROR(__xludf.DUMMYFUNCTION("IMPORTRANGE(""https://docs.google.com/spreadsheets/d/1IYY_tgx_IHuhSq3AJ5eI5OnqOPBNLWSHKh2a30DoXe8/edit?usp=sharing"",""กระบี่!I211"")"),65.0)</f>
        <v>65</v>
      </c>
      <c r="J306" s="238">
        <f>IFERROR(__xludf.DUMMYFUNCTION("IMPORTRANGE(""https://docs.google.com/spreadsheets/d/1IYY_tgx_IHuhSq3AJ5eI5OnqOPBNLWSHKh2a30DoXe8/edit?usp=sharing"",""กระบี่!J211"")"),0.0)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IFERROR(__xludf.DUMMYFUNCTION("IMPORTRANGE(""https://docs.google.com/spreadsheets/d/1IYY_tgx_IHuhSq3AJ5eI5OnqOPBNLWSHKh2a30DoXe8/edit?usp=sharing"",""กระบี่!J212"")"),0.0)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IFERROR(__xludf.DUMMYFUNCTION("IMPORTRANGE(""https://docs.google.com/spreadsheets/d/1IYY_tgx_IHuhSq3AJ5eI5OnqOPBNLWSHKh2a30DoXe8/edit?usp=sharing"",""กระบี่!J213"")"),0.0)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IFERROR(__xludf.DUMMYFUNCTION("IMPORTRANGE(""https://docs.google.com/spreadsheets/d/1IYY_tgx_IHuhSq3AJ5eI5OnqOPBNLWSHKh2a30DoXe8/edit?usp=sharing"",""กระบี่!I214"")"),2.0)</f>
        <v>2</v>
      </c>
      <c r="J309" s="366">
        <f>IFERROR(__xludf.DUMMYFUNCTION("IMPORTRANGE(""https://docs.google.com/spreadsheets/d/1IYY_tgx_IHuhSq3AJ5eI5OnqOPBNLWSHKh2a30DoXe8/edit?usp=sharing"",""กระบี่!J214"")"),2.0)</f>
        <v>2</v>
      </c>
      <c r="K309" s="367">
        <f>IF(I309&gt;0,J309*100/I309,0)</f>
        <v>100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5143600</v>
      </c>
      <c r="M310" s="183">
        <f t="shared" si="94"/>
        <v>267800</v>
      </c>
      <c r="N310" s="183">
        <f t="shared" si="94"/>
        <v>199565</v>
      </c>
      <c r="O310" s="182">
        <f t="shared" ref="O310:O312" si="96">IF(L310&gt;0,N310*100/L310,0)</f>
        <v>3.87987013</v>
      </c>
      <c r="P310" s="182">
        <f t="shared" ref="P310:P312" si="97">IF(M310&gt;0,N310*100/M310,0)</f>
        <v>74.5201643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5143600</v>
      </c>
      <c r="M312" s="188">
        <f t="shared" si="98"/>
        <v>267800</v>
      </c>
      <c r="N312" s="188">
        <f t="shared" si="98"/>
        <v>199565</v>
      </c>
      <c r="O312" s="187">
        <f t="shared" si="96"/>
        <v>3.87987013</v>
      </c>
      <c r="P312" s="187">
        <f t="shared" si="97"/>
        <v>74.5201643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243600</v>
      </c>
      <c r="M314" s="201">
        <f>IFERROR(__xludf.DUMMYFUNCTION("IMPORTRANGE(""https://docs.google.com/spreadsheets/d/1Yj_ptqi66GCucihVvJfMjLAmec39IyEx_6qawtMGysU/edit?usp=sharing"",""สบก!DC81"")"),267800.0)</f>
        <v>267800</v>
      </c>
      <c r="N314" s="202">
        <f>IFERROR(__xludf.DUMMYFUNCTION("IMPORTRANGE(""https://docs.google.com/spreadsheets/d/1Yj_ptqi66GCucihVvJfMjLAmec39IyEx_6qawtMGysU/edit?usp=sharing"",""สบก!DD81"")"),199565.0)</f>
        <v>199565</v>
      </c>
      <c r="O314" s="203">
        <f>IF(L314&gt;0,N314*100/L314,0)</f>
        <v>81.92323481</v>
      </c>
      <c r="P314" s="203">
        <f>IF(M314&gt;0,N314*100/M314,0)</f>
        <v>74.5201643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IFERROR(__xludf.DUMMYFUNCTION("IMPORTRANGE(""https://docs.google.com/spreadsheets/d/1Yj_ptqi66GCucihVvJfMjLAmec39IyEx_6qawtMGysU/edit?usp=sharing"",""สบก!CY81"")"),0.0)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IFERROR(__xludf.DUMMYFUNCTION("IMPORTRANGE(""https://docs.google.com/spreadsheets/d/1Yj_ptqi66GCucihVvJfMjLAmec39IyEx_6qawtMGysU/edit?usp=sharing"",""สบก!CZ81"")"),243600.0)</f>
        <v>243600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IFERROR(__xludf.DUMMYFUNCTION("IMPORTRANGE(""https://docs.google.com/spreadsheets/d/1Yj_ptqi66GCucihVvJfMjLAmec39IyEx_6qawtMGysU/edit?usp=sharing"",""สบก!DA81"")"),4900000.0)</f>
        <v>4900000</v>
      </c>
      <c r="M318" s="125"/>
      <c r="N318" s="115">
        <f>IFERROR(__xludf.DUMMYFUNCTION("IMPORTRANGE(""https://docs.google.com/spreadsheets/d/1Yj_ptqi66GCucihVvJfMjLAmec39IyEx_6qawtMGysU/edit?usp=sharing"",""สบก!DE81"")"),0.0)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IFERROR(__xludf.DUMMYFUNCTION("IMPORTRANGE(""https://docs.google.com/spreadsheets/d/1IYY_tgx_IHuhSq3AJ5eI5OnqOPBNLWSHKh2a30DoXe8/edit?usp=sharing"",""กระบี่!J220"")"),0.0)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IFERROR(__xludf.DUMMYFUNCTION("IMPORTRANGE(""https://docs.google.com/spreadsheets/d/1IYY_tgx_IHuhSq3AJ5eI5OnqOPBNLWSHKh2a30DoXe8/edit?usp=sharing"",""กระบี่!J221"")"),1.0)</f>
        <v>1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IFERROR(__xludf.DUMMYFUNCTION("IMPORTRANGE(""https://docs.google.com/spreadsheets/d/1IYY_tgx_IHuhSq3AJ5eI5OnqOPBNLWSHKh2a30DoXe8/edit?usp=sharing"",""กระบี่!J222"")"),1.0)</f>
        <v>1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IFERROR(__xludf.DUMMYFUNCTION("IMPORTRANGE(""https://docs.google.com/spreadsheets/d/1IYY_tgx_IHuhSq3AJ5eI5OnqOPBNLWSHKh2a30DoXe8/edit?usp=sharing"",""กระบี่!J223"")"),1.0)</f>
        <v>1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IFERROR(__xludf.DUMMYFUNCTION("IMPORTRANGE(""https://docs.google.com/spreadsheets/d/1IYY_tgx_IHuhSq3AJ5eI5OnqOPBNLWSHKh2a30DoXe8/edit?usp=sharing"",""กระบี่!I224"")"),2.0)</f>
        <v>2</v>
      </c>
      <c r="J324" s="238">
        <f>IFERROR(__xludf.DUMMYFUNCTION("IMPORTRANGE(""https://docs.google.com/spreadsheets/d/1IYY_tgx_IHuhSq3AJ5eI5OnqOPBNLWSHKh2a30DoXe8/edit?usp=sharing"",""กระบี่!J224"")"),2.0)</f>
        <v>2</v>
      </c>
      <c r="K324" s="258">
        <f>IF(I324&gt;0,J324*100/I324,0)</f>
        <v>100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IFERROR(__xludf.DUMMYFUNCTION("IMPORTRANGE(""https://docs.google.com/spreadsheets/d/1IYY_tgx_IHuhSq3AJ5eI5OnqOPBNLWSHKh2a30DoXe8/edit?usp=sharing"",""กระบี่!J225"")"),0.0)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IFERROR(__xludf.DUMMYFUNCTION("IMPORTRANGE(""https://docs.google.com/spreadsheets/d/1IYY_tgx_IHuhSq3AJ5eI5OnqOPBNLWSHKh2a30DoXe8/edit?usp=sharing"",""กระบี่!J226"")"),0.0)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IFERROR(__xludf.DUMMYFUNCTION("IMPORTRANGE(""https://docs.google.com/spreadsheets/d/1IYY_tgx_IHuhSq3AJ5eI5OnqOPBNLWSHKh2a30DoXe8/edit?usp=sharing"",""กระบี่!I228"")"),280.0)</f>
        <v>280</v>
      </c>
      <c r="J328" s="372">
        <f>IFERROR(__xludf.DUMMYFUNCTION("IMPORTRANGE(""https://docs.google.com/spreadsheets/d/1IYY_tgx_IHuhSq3AJ5eI5OnqOPBNLWSHKh2a30DoXe8/edit?usp=sharing"",""กระบี่!J228"")"),43.0)</f>
        <v>43</v>
      </c>
      <c r="K328" s="350">
        <f>IF(I328&gt;0,J328*100/I328,0)</f>
        <v>15.35714286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838550</v>
      </c>
      <c r="M329" s="183">
        <f t="shared" si="99"/>
        <v>450780</v>
      </c>
      <c r="N329" s="183">
        <f t="shared" si="99"/>
        <v>247219</v>
      </c>
      <c r="O329" s="182">
        <f t="shared" ref="O329:O331" si="101">IF(L329&gt;0,N329*100/L329,0)</f>
        <v>29.48172441</v>
      </c>
      <c r="P329" s="182">
        <f t="shared" ref="P329:P331" si="102">IF(M329&gt;0,N329*100/M329,0)</f>
        <v>54.84249523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838550</v>
      </c>
      <c r="M331" s="188">
        <f t="shared" si="103"/>
        <v>450780</v>
      </c>
      <c r="N331" s="188">
        <f t="shared" si="103"/>
        <v>247219</v>
      </c>
      <c r="O331" s="187">
        <f t="shared" si="101"/>
        <v>29.48172441</v>
      </c>
      <c r="P331" s="187">
        <f t="shared" si="102"/>
        <v>54.84249523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800750</v>
      </c>
      <c r="M333" s="201">
        <f>IFERROR(__xludf.DUMMYFUNCTION("IMPORTRANGE(""https://docs.google.com/spreadsheets/d/1Yj_ptqi66GCucihVvJfMjLAmec39IyEx_6qawtMGysU/edit?usp=sharing"",""สบก!DL81"")"),450780.0)</f>
        <v>450780</v>
      </c>
      <c r="N333" s="202">
        <f>IFERROR(__xludf.DUMMYFUNCTION("IMPORTRANGE(""https://docs.google.com/spreadsheets/d/1Yj_ptqi66GCucihVvJfMjLAmec39IyEx_6qawtMGysU/edit?usp=sharing"",""สบก!DM81"")"),215649.0)</f>
        <v>215649</v>
      </c>
      <c r="O333" s="203">
        <f>IF(L333&gt;0,N333*100/L333,0)</f>
        <v>26.9308773</v>
      </c>
      <c r="P333" s="203">
        <f>IF(M333&gt;0,N333*100/M333,0)</f>
        <v>47.83907893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IFERROR(__xludf.DUMMYFUNCTION("IMPORTRANGE(""https://docs.google.com/spreadsheets/d/1Yj_ptqi66GCucihVvJfMjLAmec39IyEx_6qawtMGysU/edit?usp=sharing"",""สบก!DH81"")"),306000.0)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IFERROR(__xludf.DUMMYFUNCTION("IMPORTRANGE(""https://docs.google.com/spreadsheets/d/1Yj_ptqi66GCucihVvJfMjLAmec39IyEx_6qawtMGysU/edit?usp=sharing"",""สบก!DI81"")"),494750.0)</f>
        <v>494750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IFERROR(__xludf.DUMMYFUNCTION("IMPORTRANGE(""https://docs.google.com/spreadsheets/d/1Yj_ptqi66GCucihVvJfMjLAmec39IyEx_6qawtMGysU/edit?usp=sharing"",""สบก!DJ81"")"),37800.0)</f>
        <v>37800</v>
      </c>
      <c r="M337" s="125"/>
      <c r="N337" s="115">
        <f>IFERROR(__xludf.DUMMYFUNCTION("IMPORTRANGE(""https://docs.google.com/spreadsheets/d/1Yj_ptqi66GCucihVvJfMjLAmec39IyEx_6qawtMGysU/edit?usp=sharing"",""สบก!DN81"")"),31570.0)</f>
        <v>31570</v>
      </c>
      <c r="O337" s="125">
        <f>IF(L337&gt;0,N337*100/L337,0)</f>
        <v>83.51851852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IFERROR(__xludf.DUMMYFUNCTION("IMPORTRANGE(""https://docs.google.com/spreadsheets/d/1IYY_tgx_IHuhSq3AJ5eI5OnqOPBNLWSHKh2a30DoXe8/edit?usp=sharing"",""กระบี่!I234"")"),0.0)</f>
        <v>0</v>
      </c>
      <c r="J339" s="222">
        <f>IFERROR(__xludf.DUMMYFUNCTION("IMPORTRANGE(""https://docs.google.com/spreadsheets/d/1IYY_tgx_IHuhSq3AJ5eI5OnqOPBNLWSHKh2a30DoXe8/edit?usp=sharing"",""กระบี่!J234"")"),158.0)</f>
        <v>158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IFERROR(__xludf.DUMMYFUNCTION("IMPORTRANGE(""https://docs.google.com/spreadsheets/d/1IYY_tgx_IHuhSq3AJ5eI5OnqOPBNLWSHKh2a30DoXe8/edit?usp=sharing"",""กระบี่!I235"")"),3200.0)</f>
        <v>3200</v>
      </c>
      <c r="J340" s="222">
        <f>IFERROR(__xludf.DUMMYFUNCTION("IMPORTRANGE(""https://docs.google.com/spreadsheets/d/1IYY_tgx_IHuhSq3AJ5eI5OnqOPBNLWSHKh2a30DoXe8/edit?usp=sharing"",""กระบี่!J235"")"),2726.8100000000004)</f>
        <v>2726.81</v>
      </c>
      <c r="K340" s="375">
        <f t="shared" si="104"/>
        <v>85.2128125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IFERROR(__xludf.DUMMYFUNCTION("IMPORTRANGE(""https://docs.google.com/spreadsheets/d/1IYY_tgx_IHuhSq3AJ5eI5OnqOPBNLWSHKh2a30DoXe8/edit?usp=sharing"",""กระบี่!I236"")"),280.0)</f>
        <v>280</v>
      </c>
      <c r="J341" s="222">
        <f>IFERROR(__xludf.DUMMYFUNCTION("IMPORTRANGE(""https://docs.google.com/spreadsheets/d/1IYY_tgx_IHuhSq3AJ5eI5OnqOPBNLWSHKh2a30DoXe8/edit?usp=sharing"",""กระบี่!J236"")"),64.0)</f>
        <v>64</v>
      </c>
      <c r="K341" s="375">
        <f t="shared" si="104"/>
        <v>22.85714286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IFERROR(__xludf.DUMMYFUNCTION("IMPORTRANGE(""https://docs.google.com/spreadsheets/d/1IYY_tgx_IHuhSq3AJ5eI5OnqOPBNLWSHKh2a30DoXe8/edit?usp=sharing"",""กระบี่!I237"")"),0.0)</f>
        <v>0</v>
      </c>
      <c r="J342" s="222">
        <f>IFERROR(__xludf.DUMMYFUNCTION("IMPORTRANGE(""https://docs.google.com/spreadsheets/d/1IYY_tgx_IHuhSq3AJ5eI5OnqOPBNLWSHKh2a30DoXe8/edit?usp=sharing"",""กระบี่!J237"")"),1107.12)</f>
        <v>1107.12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IFERROR(__xludf.DUMMYFUNCTION("IMPORTRANGE(""https://docs.google.com/spreadsheets/d/1IYY_tgx_IHuhSq3AJ5eI5OnqOPBNLWSHKh2a30DoXe8/edit?usp=sharing"",""กระบี่!I238"")"),280.0)</f>
        <v>280</v>
      </c>
      <c r="J343" s="222">
        <f>IFERROR(__xludf.DUMMYFUNCTION("IMPORTRANGE(""https://docs.google.com/spreadsheets/d/1IYY_tgx_IHuhSq3AJ5eI5OnqOPBNLWSHKh2a30DoXe8/edit?usp=sharing"",""กระบี่!J238"")"),0.0)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IFERROR(__xludf.DUMMYFUNCTION("IMPORTRANGE(""https://docs.google.com/spreadsheets/d/1IYY_tgx_IHuhSq3AJ5eI5OnqOPBNLWSHKh2a30DoXe8/edit?usp=sharing"",""กระบี่!I239"")"),0.0)</f>
        <v>0</v>
      </c>
      <c r="J344" s="222">
        <f>IFERROR(__xludf.DUMMYFUNCTION("IMPORTRANGE(""https://docs.google.com/spreadsheets/d/1IYY_tgx_IHuhSq3AJ5eI5OnqOPBNLWSHKh2a30DoXe8/edit?usp=sharing"",""กระบี่!J239"")"),0.0)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IFERROR(__xludf.DUMMYFUNCTION("IMPORTRANGE(""https://docs.google.com/spreadsheets/d/1IYY_tgx_IHuhSq3AJ5eI5OnqOPBNLWSHKh2a30DoXe8/edit?usp=sharing"",""กระบี่!I240"")"),280.0)</f>
        <v>280</v>
      </c>
      <c r="J345" s="222">
        <f>IFERROR(__xludf.DUMMYFUNCTION("IMPORTRANGE(""https://docs.google.com/spreadsheets/d/1IYY_tgx_IHuhSq3AJ5eI5OnqOPBNLWSHKh2a30DoXe8/edit?usp=sharing"",""กระบี่!J240"")"),43.0)</f>
        <v>43</v>
      </c>
      <c r="K345" s="375">
        <f t="shared" si="104"/>
        <v>15.35714286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IFERROR(__xludf.DUMMYFUNCTION("IMPORTRANGE(""https://docs.google.com/spreadsheets/d/1IYY_tgx_IHuhSq3AJ5eI5OnqOPBNLWSHKh2a30DoXe8/edit?usp=sharing"",""กระบี่!I241"")"),0.0)</f>
        <v>0</v>
      </c>
      <c r="J346" s="222">
        <f>IFERROR(__xludf.DUMMYFUNCTION("IMPORTRANGE(""https://docs.google.com/spreadsheets/d/1IYY_tgx_IHuhSq3AJ5eI5OnqOPBNLWSHKh2a30DoXe8/edit?usp=sharing"",""กระบี่!J241"")"),808.71)</f>
        <v>808.71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IFERROR(__xludf.DUMMYFUNCTION("IMPORTRANGE(""https://docs.google.com/spreadsheets/d/1IYY_tgx_IHuhSq3AJ5eI5OnqOPBNLWSHKh2a30DoXe8/edit?usp=sharing"",""กระบี่!L242"")"),1199173.0)</f>
        <v>1199173</v>
      </c>
      <c r="M347" s="391"/>
      <c r="N347" s="391">
        <f>IFERROR(__xludf.DUMMYFUNCTION("IMPORTRANGE(""https://docs.google.com/spreadsheets/d/1IYY_tgx_IHuhSq3AJ5eI5OnqOPBNLWSHKh2a30DoXe8/edit?usp=sharing"",""กระบี่!M242"")"),187195.76)</f>
        <v>187195.76</v>
      </c>
      <c r="O347" s="391">
        <f>+IF(L347&gt;0,N347*100/L347,0)</f>
        <v>15.61040484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IFERROR(__xludf.DUMMYFUNCTION("IMPORTRANGE(""https://docs.google.com/spreadsheets/d/1IYY_tgx_IHuhSq3AJ5eI5OnqOPBNLWSHKh2a30DoXe8/edit?usp=sharing"",""กระบี่!I244"")"),0.0)</f>
        <v>0</v>
      </c>
      <c r="J349" s="404">
        <f>IFERROR(__xludf.DUMMYFUNCTION("IMPORTRANGE(""https://docs.google.com/spreadsheets/d/1IYY_tgx_IHuhSq3AJ5eI5OnqOPBNLWSHKh2a30DoXe8/edit?usp=sharing"",""กระบี่!J244"")"),0.0)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IFERROR(__xludf.DUMMYFUNCTION("IMPORTRANGE(""https://docs.google.com/spreadsheets/d/1IYY_tgx_IHuhSq3AJ5eI5OnqOPBNLWSHKh2a30DoXe8/edit?usp=sharing"",""กระบี่!L244"")"),0.0)</f>
        <v>0</v>
      </c>
      <c r="M349" s="406"/>
      <c r="N349" s="406">
        <f>IFERROR(__xludf.DUMMYFUNCTION("IMPORTRANGE(""https://docs.google.com/spreadsheets/d/1IYY_tgx_IHuhSq3AJ5eI5OnqOPBNLWSHKh2a30DoXe8/edit?usp=sharing"",""กระบี่!M244"")"),0.0)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IFERROR(__xludf.DUMMYFUNCTION("IMPORTRANGE(""https://docs.google.com/spreadsheets/d/1IYY_tgx_IHuhSq3AJ5eI5OnqOPBNLWSHKh2a30DoXe8/edit?usp=sharing"",""กระบี่!I245"")"),0.0)</f>
        <v>0</v>
      </c>
      <c r="J350" s="404">
        <f>IFERROR(__xludf.DUMMYFUNCTION("IMPORTRANGE(""https://docs.google.com/spreadsheets/d/1IYY_tgx_IHuhSq3AJ5eI5OnqOPBNLWSHKh2a30DoXe8/edit?usp=sharing"",""กระบี่!J245"")"),0.0)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IFERROR(__xludf.DUMMYFUNCTION("IMPORTRANGE(""https://docs.google.com/spreadsheets/d/1IYY_tgx_IHuhSq3AJ5eI5OnqOPBNLWSHKh2a30DoXe8/edit?usp=sharing"",""กระบี่!L246"")"),0.0)</f>
        <v>0</v>
      </c>
      <c r="M351" s="197"/>
      <c r="N351" s="197">
        <f>IFERROR(__xludf.DUMMYFUNCTION("IMPORTRANGE(""https://docs.google.com/spreadsheets/d/1IYY_tgx_IHuhSq3AJ5eI5OnqOPBNLWSHKh2a30DoXe8/edit?usp=sharing"",""กระบี่!M246"")"),0.0)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IFERROR(__xludf.DUMMYFUNCTION("IMPORTRANGE(""https://docs.google.com/spreadsheets/d/1IYY_tgx_IHuhSq3AJ5eI5OnqOPBNLWSHKh2a30DoXe8/edit?usp=sharing"",""กระบี่!L247"")"),0.0)</f>
        <v>0</v>
      </c>
      <c r="M352" s="198"/>
      <c r="N352" s="197">
        <f>IFERROR(__xludf.DUMMYFUNCTION("IMPORTRANGE(""https://docs.google.com/spreadsheets/d/1IYY_tgx_IHuhSq3AJ5eI5OnqOPBNLWSHKh2a30DoXe8/edit?usp=sharing"",""กระบี่!M247"")"),0.0)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IFERROR(__xludf.DUMMYFUNCTION("IMPORTRANGE(""https://docs.google.com/spreadsheets/d/1IYY_tgx_IHuhSq3AJ5eI5OnqOPBNLWSHKh2a30DoXe8/edit?usp=sharing"",""กระบี่!L248"")"),0.0)</f>
        <v>0</v>
      </c>
      <c r="M353" s="203"/>
      <c r="N353" s="203">
        <f>IFERROR(__xludf.DUMMYFUNCTION("IMPORTRANGE(""https://docs.google.com/spreadsheets/d/1IYY_tgx_IHuhSq3AJ5eI5OnqOPBNLWSHKh2a30DoXe8/edit?usp=sharing"",""กระบี่!M248"")"),0.0)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IFERROR(__xludf.DUMMYFUNCTION("IMPORTRANGE(""https://docs.google.com/spreadsheets/d/1IYY_tgx_IHuhSq3AJ5eI5OnqOPBNLWSHKh2a30DoXe8/edit?usp=sharing"",""กระบี่!L249"")"),0.0)</f>
        <v>0</v>
      </c>
      <c r="M354" s="203"/>
      <c r="N354" s="200">
        <f>IFERROR(__xludf.DUMMYFUNCTION("IMPORTRANGE(""https://docs.google.com/spreadsheets/d/1IYY_tgx_IHuhSq3AJ5eI5OnqOPBNLWSHKh2a30DoXe8/edit?usp=sharing"",""กระบี่!M249"")"),0.0)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IFERROR(__xludf.DUMMYFUNCTION("IMPORTRANGE(""https://docs.google.com/spreadsheets/d/1IYY_tgx_IHuhSq3AJ5eI5OnqOPBNLWSHKh2a30DoXe8/edit?usp=sharing"",""กระบี่!M250"")"),0.0)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IFERROR(__xludf.DUMMYFUNCTION("IMPORTRANGE(""https://docs.google.com/spreadsheets/d/1IYY_tgx_IHuhSq3AJ5eI5OnqOPBNLWSHKh2a30DoXe8/edit?usp=sharing"",""กระบี่!M251"")"),0.0)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IFERROR(__xludf.DUMMYFUNCTION("IMPORTRANGE(""https://docs.google.com/spreadsheets/d/1IYY_tgx_IHuhSq3AJ5eI5OnqOPBNLWSHKh2a30DoXe8/edit?usp=sharing"",""กระบี่!M252"")"),0.0)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IFERROR(__xludf.DUMMYFUNCTION("IMPORTRANGE(""https://docs.google.com/spreadsheets/d/1IYY_tgx_IHuhSq3AJ5eI5OnqOPBNLWSHKh2a30DoXe8/edit?usp=sharing"",""กระบี่!M253"")"),0.0)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IFERROR(__xludf.DUMMYFUNCTION("IMPORTRANGE(""https://docs.google.com/spreadsheets/d/1IYY_tgx_IHuhSq3AJ5eI5OnqOPBNLWSHKh2a30DoXe8/edit?usp=sharing"",""กระบี่!J255"")"),0.0)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IFERROR(__xludf.DUMMYFUNCTION("IMPORTRANGE(""https://docs.google.com/spreadsheets/d/1IYY_tgx_IHuhSq3AJ5eI5OnqOPBNLWSHKh2a30DoXe8/edit?usp=sharing"",""กระบี่!J256"")"),0.0)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IFERROR(__xludf.DUMMYFUNCTION("IMPORTRANGE(""https://docs.google.com/spreadsheets/d/1IYY_tgx_IHuhSq3AJ5eI5OnqOPBNLWSHKh2a30DoXe8/edit?usp=sharing"",""กระบี่!J257"")"),0.0)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IFERROR(__xludf.DUMMYFUNCTION("IMPORTRANGE(""https://docs.google.com/spreadsheets/d/1IYY_tgx_IHuhSq3AJ5eI5OnqOPBNLWSHKh2a30DoXe8/edit?usp=sharing"",""กระบี่!J258"")"),0.0)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IFERROR(__xludf.DUMMYFUNCTION("IMPORTRANGE(""https://docs.google.com/spreadsheets/d/1IYY_tgx_IHuhSq3AJ5eI5OnqOPBNLWSHKh2a30DoXe8/edit?usp=sharing"",""กระบี่!J166"")"),0.0)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IFERROR(__xludf.DUMMYFUNCTION("IMPORTRANGE(""https://docs.google.com/spreadsheets/d/1IYY_tgx_IHuhSq3AJ5eI5OnqOPBNLWSHKh2a30DoXe8/edit?usp=sharing"",""กระบี่!J166"")"),0.0)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IFERROR(__xludf.DUMMYFUNCTION("IMPORTRANGE(""https://docs.google.com/spreadsheets/d/1IYY_tgx_IHuhSq3AJ5eI5OnqOPBNLWSHKh2a30DoXe8/edit?usp=sharing"",""กระบี่!J166"")"),0.0)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IFERROR(__xludf.DUMMYFUNCTION("IMPORTRANGE(""https://docs.google.com/spreadsheets/d/1IYY_tgx_IHuhSq3AJ5eI5OnqOPBNLWSHKh2a30DoXe8/edit?usp=sharing"",""กระบี่!J166"")"),0.0)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IFERROR(__xludf.DUMMYFUNCTION("IMPORTRANGE(""https://docs.google.com/spreadsheets/d/1IYY_tgx_IHuhSq3AJ5eI5OnqOPBNLWSHKh2a30DoXe8/edit?usp=sharing"",""กระบี่!I263"")"),0.0)</f>
        <v>0</v>
      </c>
      <c r="J368" s="222">
        <f>IFERROR(__xludf.DUMMYFUNCTION("IMPORTRANGE(""https://docs.google.com/spreadsheets/d/1IYY_tgx_IHuhSq3AJ5eI5OnqOPBNLWSHKh2a30DoXe8/edit?usp=sharing"",""กระบี่!J263"")"),0.0)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IFERROR(__xludf.DUMMYFUNCTION("IMPORTRANGE(""https://docs.google.com/spreadsheets/d/1IYY_tgx_IHuhSq3AJ5eI5OnqOPBNLWSHKh2a30DoXe8/edit?usp=sharing"",""กระบี่!I164"")"),0.0)</f>
        <v>0</v>
      </c>
      <c r="J369" s="238">
        <f>IFERROR(__xludf.DUMMYFUNCTION("IMPORTRANGE(""https://docs.google.com/spreadsheets/d/1IYY_tgx_IHuhSq3AJ5eI5OnqOPBNLWSHKh2a30DoXe8/edit?usp=sharing"",""กระบี่!J164"")"),0.0)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IFERROR(__xludf.DUMMYFUNCTION("IMPORTRANGE(""https://docs.google.com/spreadsheets/d/1IYY_tgx_IHuhSq3AJ5eI5OnqOPBNLWSHKh2a30DoXe8/edit?usp=sharing"",""กระบี่!I265"")"),0.0)</f>
        <v>0</v>
      </c>
      <c r="J370" s="238">
        <f>IFERROR(__xludf.DUMMYFUNCTION("IMPORTRANGE(""https://docs.google.com/spreadsheets/d/1IYY_tgx_IHuhSq3AJ5eI5OnqOPBNLWSHKh2a30DoXe8/edit?usp=sharing"",""กระบี่!J265"")"),0.0)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IFERROR(__xludf.DUMMYFUNCTION("IMPORTRANGE(""https://docs.google.com/spreadsheets/d/1IYY_tgx_IHuhSq3AJ5eI5OnqOPBNLWSHKh2a30DoXe8/edit?usp=sharing"",""กระบี่!I164"")"),0.0)</f>
        <v>0</v>
      </c>
      <c r="J371" s="223">
        <f>IFERROR(__xludf.DUMMYFUNCTION("IMPORTRANGE(""https://docs.google.com/spreadsheets/d/1IYY_tgx_IHuhSq3AJ5eI5OnqOPBNLWSHKh2a30DoXe8/edit?usp=sharing"",""กระบี่!J164"")"),0.0)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IFERROR(__xludf.DUMMYFUNCTION("IMPORTRANGE(""https://docs.google.com/spreadsheets/d/1IYY_tgx_IHuhSq3AJ5eI5OnqOPBNLWSHKh2a30DoXe8/edit?usp=sharing"",""กระบี่!I267"")"),0.0)</f>
        <v>0</v>
      </c>
      <c r="J372" s="223">
        <f>IFERROR(__xludf.DUMMYFUNCTION("IMPORTRANGE(""https://docs.google.com/spreadsheets/d/1IYY_tgx_IHuhSq3AJ5eI5OnqOPBNLWSHKh2a30DoXe8/edit?usp=sharing"",""กระบี่!J267"")"),0.0)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IFERROR(__xludf.DUMMYFUNCTION("IMPORTRANGE(""https://docs.google.com/spreadsheets/d/1IYY_tgx_IHuhSq3AJ5eI5OnqOPBNLWSHKh2a30DoXe8/edit?usp=sharing"",""กระบี่!I164"")"),0.0)</f>
        <v>0</v>
      </c>
      <c r="J373" s="238">
        <f>IFERROR(__xludf.DUMMYFUNCTION("IMPORTRANGE(""https://docs.google.com/spreadsheets/d/1IYY_tgx_IHuhSq3AJ5eI5OnqOPBNLWSHKh2a30DoXe8/edit?usp=sharing"",""กระบี่!J164"")"),0.0)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IFERROR(__xludf.DUMMYFUNCTION("IMPORTRANGE(""https://docs.google.com/spreadsheets/d/1IYY_tgx_IHuhSq3AJ5eI5OnqOPBNLWSHKh2a30DoXe8/edit?usp=sharing"",""กระบี่!I164"")"),0.0)</f>
        <v>0</v>
      </c>
      <c r="J374" s="222">
        <f>IFERROR(__xludf.DUMMYFUNCTION("IMPORTRANGE(""https://docs.google.com/spreadsheets/d/1IYY_tgx_IHuhSq3AJ5eI5OnqOPBNLWSHKh2a30DoXe8/edit?usp=sharing"",""กระบี่!J164"")"),0.0)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IFERROR(__xludf.DUMMYFUNCTION("IMPORTRANGE(""https://docs.google.com/spreadsheets/d/1IYY_tgx_IHuhSq3AJ5eI5OnqOPBNLWSHKh2a30DoXe8/edit?usp=sharing"",""กระบี่!I270"")"),0.0)</f>
        <v>0</v>
      </c>
      <c r="J375" s="222">
        <f>IFERROR(__xludf.DUMMYFUNCTION("IMPORTRANGE(""https://docs.google.com/spreadsheets/d/1IYY_tgx_IHuhSq3AJ5eI5OnqOPBNLWSHKh2a30DoXe8/edit?usp=sharing"",""กระบี่!J270"")"),0.0)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IFERROR(__xludf.DUMMYFUNCTION("IMPORTRANGE(""https://docs.google.com/spreadsheets/d/1IYY_tgx_IHuhSq3AJ5eI5OnqOPBNLWSHKh2a30DoXe8/edit?usp=sharing"",""กระบี่!I271"")"),0.0)</f>
        <v>0</v>
      </c>
      <c r="J376" s="223">
        <f>IFERROR(__xludf.DUMMYFUNCTION("IMPORTRANGE(""https://docs.google.com/spreadsheets/d/1IYY_tgx_IHuhSq3AJ5eI5OnqOPBNLWSHKh2a30DoXe8/edit?usp=sharing"",""กระบี่!J271"")"),0.0)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IFERROR(__xludf.DUMMYFUNCTION("IMPORTRANGE(""https://docs.google.com/spreadsheets/d/1IYY_tgx_IHuhSq3AJ5eI5OnqOPBNLWSHKh2a30DoXe8/edit?usp=sharing"",""กระบี่!I272"")"),0.0)</f>
        <v>0</v>
      </c>
      <c r="J377" s="238">
        <f>IFERROR(__xludf.DUMMYFUNCTION("IMPORTRANGE(""https://docs.google.com/spreadsheets/d/1IYY_tgx_IHuhSq3AJ5eI5OnqOPBNLWSHKh2a30DoXe8/edit?usp=sharing"",""กระบี่!J272"")"),0.0)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IFERROR(__xludf.DUMMYFUNCTION("IMPORTRANGE(""https://docs.google.com/spreadsheets/d/1IYY_tgx_IHuhSq3AJ5eI5OnqOPBNLWSHKh2a30DoXe8/edit?usp=sharing"",""กระบี่!J273"")"),0.0)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IFERROR(__xludf.DUMMYFUNCTION("IMPORTRANGE(""https://docs.google.com/spreadsheets/d/1IYY_tgx_IHuhSq3AJ5eI5OnqOPBNLWSHKh2a30DoXe8/edit?usp=sharing"",""กระบี่!J274"")"),0.0)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IFERROR(__xludf.DUMMYFUNCTION("IMPORTRANGE(""https://docs.google.com/spreadsheets/d/1IYY_tgx_IHuhSq3AJ5eI5OnqOPBNLWSHKh2a30DoXe8/edit?usp=sharing"",""กระบี่!I275"")"),300.0)</f>
        <v>300</v>
      </c>
      <c r="J380" s="404">
        <f>IFERROR(__xludf.DUMMYFUNCTION("IMPORTRANGE(""https://docs.google.com/spreadsheets/d/1IYY_tgx_IHuhSq3AJ5eI5OnqOPBNLWSHKh2a30DoXe8/edit?usp=sharing"",""กระบี่!J275"")"),0.0)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IFERROR(__xludf.DUMMYFUNCTION("IMPORTRANGE(""https://docs.google.com/spreadsheets/d/1IYY_tgx_IHuhSq3AJ5eI5OnqOPBNLWSHKh2a30DoXe8/edit?usp=sharing"",""กระบี่!L275"")"),293900.0)</f>
        <v>293900</v>
      </c>
      <c r="M380" s="406"/>
      <c r="N380" s="406">
        <f>IFERROR(__xludf.DUMMYFUNCTION("IMPORTRANGE(""https://docs.google.com/spreadsheets/d/1IYY_tgx_IHuhSq3AJ5eI5OnqOPBNLWSHKh2a30DoXe8/edit?usp=sharing"",""กระบี่!M275"")"),81300.0)</f>
        <v>81300</v>
      </c>
      <c r="O380" s="406">
        <f>+IF(L380&gt;0,N380*100/L380,0)</f>
        <v>27.66247023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IFERROR(__xludf.DUMMYFUNCTION("IMPORTRANGE(""https://docs.google.com/spreadsheets/d/1IYY_tgx_IHuhSq3AJ5eI5OnqOPBNLWSHKh2a30DoXe8/edit?usp=sharing"",""กระบี่!I276"")"),30.0)</f>
        <v>30</v>
      </c>
      <c r="J381" s="404">
        <f>IFERROR(__xludf.DUMMYFUNCTION("IMPORTRANGE(""https://docs.google.com/spreadsheets/d/1IYY_tgx_IHuhSq3AJ5eI5OnqOPBNLWSHKh2a30DoXe8/edit?usp=sharing"",""กระบี่!J276"")"),30.0)</f>
        <v>30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IFERROR(__xludf.DUMMYFUNCTION("IMPORTRANGE(""https://docs.google.com/spreadsheets/d/1IYY_tgx_IHuhSq3AJ5eI5OnqOPBNLWSHKh2a30DoXe8/edit?usp=sharing"",""กระบี่!L277"")"),0.0)</f>
        <v>0</v>
      </c>
      <c r="M382" s="197"/>
      <c r="N382" s="197">
        <f>IFERROR(__xludf.DUMMYFUNCTION("IMPORTRANGE(""https://docs.google.com/spreadsheets/d/1IYY_tgx_IHuhSq3AJ5eI5OnqOPBNLWSHKh2a30DoXe8/edit?usp=sharing"",""กระบี่!M277"")"),0.0)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IFERROR(__xludf.DUMMYFUNCTION("IMPORTRANGE(""https://docs.google.com/spreadsheets/d/1IYY_tgx_IHuhSq3AJ5eI5OnqOPBNLWSHKh2a30DoXe8/edit?usp=sharing"",""กระบี่!L278"")"),293900.0)</f>
        <v>293900</v>
      </c>
      <c r="M383" s="198"/>
      <c r="N383" s="198">
        <f>IFERROR(__xludf.DUMMYFUNCTION("IMPORTRANGE(""https://docs.google.com/spreadsheets/d/1IYY_tgx_IHuhSq3AJ5eI5OnqOPBNLWSHKh2a30DoXe8/edit?usp=sharing"",""กระบี่!M278"")"),81300.0)</f>
        <v>81300</v>
      </c>
      <c r="O383" s="198">
        <f t="shared" si="110"/>
        <v>27.66247023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IFERROR(__xludf.DUMMYFUNCTION("IMPORTRANGE(""https://docs.google.com/spreadsheets/d/1IYY_tgx_IHuhSq3AJ5eI5OnqOPBNLWSHKh2a30DoXe8/edit?usp=sharing"",""กระบี่!L279"")"),0.0)</f>
        <v>0</v>
      </c>
      <c r="M384" s="203"/>
      <c r="N384" s="203">
        <f>IFERROR(__xludf.DUMMYFUNCTION("IMPORTRANGE(""https://docs.google.com/spreadsheets/d/1IYY_tgx_IHuhSq3AJ5eI5OnqOPBNLWSHKh2a30DoXe8/edit?usp=sharing"",""กระบี่!M279"")"),0.0)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IFERROR(__xludf.DUMMYFUNCTION("IMPORTRANGE(""https://docs.google.com/spreadsheets/d/1IYY_tgx_IHuhSq3AJ5eI5OnqOPBNLWSHKh2a30DoXe8/edit?usp=sharing"",""กระบี่!L280"")"),293900.0)</f>
        <v>293900</v>
      </c>
      <c r="M385" s="203"/>
      <c r="N385" s="200">
        <f>IFERROR(__xludf.DUMMYFUNCTION("IMPORTRANGE(""https://docs.google.com/spreadsheets/d/1IYY_tgx_IHuhSq3AJ5eI5OnqOPBNLWSHKh2a30DoXe8/edit?usp=sharing"",""กระบี่!M280"")"),81300.0)</f>
        <v>81300</v>
      </c>
      <c r="O385" s="203">
        <f t="shared" si="110"/>
        <v>27.66247023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IFERROR(__xludf.DUMMYFUNCTION("IMPORTRANGE(""https://docs.google.com/spreadsheets/d/1IYY_tgx_IHuhSq3AJ5eI5OnqOPBNLWSHKh2a30DoXe8/edit?usp=sharing"",""กระบี่!M281"")"),76200.0)</f>
        <v>76200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IFERROR(__xludf.DUMMYFUNCTION("IMPORTRANGE(""https://docs.google.com/spreadsheets/d/1IYY_tgx_IHuhSq3AJ5eI5OnqOPBNLWSHKh2a30DoXe8/edit?usp=sharing"",""กระบี่!M282"")"),0.0)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IFERROR(__xludf.DUMMYFUNCTION("IMPORTRANGE(""https://docs.google.com/spreadsheets/d/1IYY_tgx_IHuhSq3AJ5eI5OnqOPBNLWSHKh2a30DoXe8/edit?usp=sharing"",""กระบี่!M283"")"),0.0)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IFERROR(__xludf.DUMMYFUNCTION("IMPORTRANGE(""https://docs.google.com/spreadsheets/d/1IYY_tgx_IHuhSq3AJ5eI5OnqOPBNLWSHKh2a30DoXe8/edit?usp=sharing"",""กระบี่!M284"")"),5100.0)</f>
        <v>5100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IFERROR(__xludf.DUMMYFUNCTION("IMPORTRANGE(""https://docs.google.com/spreadsheets/d/1IYY_tgx_IHuhSq3AJ5eI5OnqOPBNLWSHKh2a30DoXe8/edit?usp=sharing"",""กระบี่!J286"")"),0.0)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IFERROR(__xludf.DUMMYFUNCTION("IMPORTRANGE(""https://docs.google.com/spreadsheets/d/1IYY_tgx_IHuhSq3AJ5eI5OnqOPBNLWSHKh2a30DoXe8/edit?usp=sharing"",""กระบี่!J287"")"),1.0)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IFERROR(__xludf.DUMMYFUNCTION("IMPORTRANGE(""https://docs.google.com/spreadsheets/d/1IYY_tgx_IHuhSq3AJ5eI5OnqOPBNLWSHKh2a30DoXe8/edit?usp=sharing"",""กระบี่!J288"")"),1.0)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IFERROR(__xludf.DUMMYFUNCTION("IMPORTRANGE(""https://docs.google.com/spreadsheets/d/1IYY_tgx_IHuhSq3AJ5eI5OnqOPBNLWSHKh2a30DoXe8/edit?usp=sharing"",""กระบี่!J289"")"),1.0)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IFERROR(__xludf.DUMMYFUNCTION("IMPORTRANGE(""https://docs.google.com/spreadsheets/d/1IYY_tgx_IHuhSq3AJ5eI5OnqOPBNLWSHKh2a30DoXe8/edit?usp=sharing"",""กระบี่!I291"")"),30.0)</f>
        <v>30</v>
      </c>
      <c r="J396" s="232">
        <f>IFERROR(__xludf.DUMMYFUNCTION("IMPORTRANGE(""https://docs.google.com/spreadsheets/d/1IYY_tgx_IHuhSq3AJ5eI5OnqOPBNLWSHKh2a30DoXe8/edit?usp=sharing"",""กระบี่!J291"")"),30.0)</f>
        <v>30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IFERROR(__xludf.DUMMYFUNCTION("IMPORTRANGE(""https://docs.google.com/spreadsheets/d/1IYY_tgx_IHuhSq3AJ5eI5OnqOPBNLWSHKh2a30DoXe8/edit?usp=sharing"",""กระบี่!I292"")"),300.0)</f>
        <v>300</v>
      </c>
      <c r="J397" s="232">
        <f>IFERROR(__xludf.DUMMYFUNCTION("IMPORTRANGE(""https://docs.google.com/spreadsheets/d/1IYY_tgx_IHuhSq3AJ5eI5OnqOPBNLWSHKh2a30DoXe8/edit?usp=sharing"",""กระบี่!J292"")"),0.0)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IFERROR(__xludf.DUMMYFUNCTION("IMPORTRANGE(""https://docs.google.com/spreadsheets/d/1IYY_tgx_IHuhSq3AJ5eI5OnqOPBNLWSHKh2a30DoXe8/edit?usp=sharing"",""กระบี่!I293"")"),30.0)</f>
        <v>30</v>
      </c>
      <c r="J398" s="232">
        <f>IFERROR(__xludf.DUMMYFUNCTION("IMPORTRANGE(""https://docs.google.com/spreadsheets/d/1IYY_tgx_IHuhSq3AJ5eI5OnqOPBNLWSHKh2a30DoXe8/edit?usp=sharing"",""กระบี่!J293"")"),0.0)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IFERROR(__xludf.DUMMYFUNCTION("IMPORTRANGE(""https://docs.google.com/spreadsheets/d/1IYY_tgx_IHuhSq3AJ5eI5OnqOPBNLWSHKh2a30DoXe8/edit?usp=sharing"",""กระบี่!J294"")"),0.0)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IFERROR(__xludf.DUMMYFUNCTION("IMPORTRANGE(""https://docs.google.com/spreadsheets/d/1IYY_tgx_IHuhSq3AJ5eI5OnqOPBNLWSHKh2a30DoXe8/edit?usp=sharing"",""กระบี่!J295"")"),0.0)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IFERROR(__xludf.DUMMYFUNCTION("IMPORTRANGE(""https://docs.google.com/spreadsheets/d/1IYY_tgx_IHuhSq3AJ5eI5OnqOPBNLWSHKh2a30DoXe8/edit?usp=sharing"",""กระบี่!I296"")"),105.0)</f>
        <v>105</v>
      </c>
      <c r="J401" s="404">
        <f>IFERROR(__xludf.DUMMYFUNCTION("IMPORTRANGE(""https://docs.google.com/spreadsheets/d/1IYY_tgx_IHuhSq3AJ5eI5OnqOPBNLWSHKh2a30DoXe8/edit?usp=sharing"",""กระบี่!J296"")"),0.0)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IFERROR(__xludf.DUMMYFUNCTION("IMPORTRANGE(""https://docs.google.com/spreadsheets/d/1IYY_tgx_IHuhSq3AJ5eI5OnqOPBNLWSHKh2a30DoXe8/edit?usp=sharing"",""กระบี่!L296"")"),131710.0)</f>
        <v>131710</v>
      </c>
      <c r="M401" s="406"/>
      <c r="N401" s="406">
        <f>IFERROR(__xludf.DUMMYFUNCTION("IMPORTRANGE(""https://docs.google.com/spreadsheets/d/1IYY_tgx_IHuhSq3AJ5eI5OnqOPBNLWSHKh2a30DoXe8/edit?usp=sharing"",""กระบี่!M296"")"),20364.0)</f>
        <v>20364</v>
      </c>
      <c r="O401" s="406">
        <f>+IF(L401&gt;0,N401*100/L401,0)</f>
        <v>15.4612406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IFERROR(__xludf.DUMMYFUNCTION("IMPORTRANGE(""https://docs.google.com/spreadsheets/d/1IYY_tgx_IHuhSq3AJ5eI5OnqOPBNLWSHKh2a30DoXe8/edit?usp=sharing"",""กระบี่!I297"")"),35.0)</f>
        <v>35</v>
      </c>
      <c r="J402" s="404">
        <f>IFERROR(__xludf.DUMMYFUNCTION("IMPORTRANGE(""https://docs.google.com/spreadsheets/d/1IYY_tgx_IHuhSq3AJ5eI5OnqOPBNLWSHKh2a30DoXe8/edit?usp=sharing"",""กระบี่!J297"")"),10.0)</f>
        <v>10</v>
      </c>
      <c r="K402" s="405">
        <f t="shared" si="112"/>
        <v>28.57142857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IFERROR(__xludf.DUMMYFUNCTION("IMPORTRANGE(""https://docs.google.com/spreadsheets/d/1IYY_tgx_IHuhSq3AJ5eI5OnqOPBNLWSHKh2a30DoXe8/edit?usp=sharing"",""กระบี่!L298"")"),0.0)</f>
        <v>0</v>
      </c>
      <c r="M403" s="197"/>
      <c r="N403" s="203">
        <f>IFERROR(__xludf.DUMMYFUNCTION("IMPORTRANGE(""https://docs.google.com/spreadsheets/d/1IYY_tgx_IHuhSq3AJ5eI5OnqOPBNLWSHKh2a30DoXe8/edit?usp=sharing"",""กระบี่!M298"")"),0.0)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IFERROR(__xludf.DUMMYFUNCTION("IMPORTRANGE(""https://docs.google.com/spreadsheets/d/1IYY_tgx_IHuhSq3AJ5eI5OnqOPBNLWSHKh2a30DoXe8/edit?usp=sharing"",""กระบี่!L299"")"),131710.0)</f>
        <v>131710</v>
      </c>
      <c r="M404" s="198"/>
      <c r="N404" s="203">
        <f>IFERROR(__xludf.DUMMYFUNCTION("IMPORTRANGE(""https://docs.google.com/spreadsheets/d/1IYY_tgx_IHuhSq3AJ5eI5OnqOPBNLWSHKh2a30DoXe8/edit?usp=sharing"",""กระบี่!M299"")"),20364.0)</f>
        <v>20364</v>
      </c>
      <c r="O404" s="203">
        <f t="shared" si="113"/>
        <v>15.4612406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IFERROR(__xludf.DUMMYFUNCTION("IMPORTRANGE(""https://docs.google.com/spreadsheets/d/1IYY_tgx_IHuhSq3AJ5eI5OnqOPBNLWSHKh2a30DoXe8/edit?usp=sharing"",""กระบี่!L300"")"),0.0)</f>
        <v>0</v>
      </c>
      <c r="M405" s="203"/>
      <c r="N405" s="203">
        <f>IFERROR(__xludf.DUMMYFUNCTION("IMPORTRANGE(""https://docs.google.com/spreadsheets/d/1IYY_tgx_IHuhSq3AJ5eI5OnqOPBNLWSHKh2a30DoXe8/edit?usp=sharing"",""กระบี่!M300"")"),0.0)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IFERROR(__xludf.DUMMYFUNCTION("IMPORTRANGE(""https://docs.google.com/spreadsheets/d/1IYY_tgx_IHuhSq3AJ5eI5OnqOPBNLWSHKh2a30DoXe8/edit?usp=sharing"",""กระบี่!L301"")"),131710.0)</f>
        <v>131710</v>
      </c>
      <c r="M406" s="203"/>
      <c r="N406" s="203">
        <f>IFERROR(__xludf.DUMMYFUNCTION("IMPORTRANGE(""https://docs.google.com/spreadsheets/d/1IYY_tgx_IHuhSq3AJ5eI5OnqOPBNLWSHKh2a30DoXe8/edit?usp=sharing"",""กระบี่!M301"")"),20364.0)</f>
        <v>20364</v>
      </c>
      <c r="O406" s="203">
        <f t="shared" si="113"/>
        <v>15.4612406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IFERROR(__xludf.DUMMYFUNCTION("IMPORTRANGE(""https://docs.google.com/spreadsheets/d/1IYY_tgx_IHuhSq3AJ5eI5OnqOPBNLWSHKh2a30DoXe8/edit?usp=sharing"",""กระบี่!M302"")"),5200.0)</f>
        <v>5200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IFERROR(__xludf.DUMMYFUNCTION("IMPORTRANGE(""https://docs.google.com/spreadsheets/d/1IYY_tgx_IHuhSq3AJ5eI5OnqOPBNLWSHKh2a30DoXe8/edit?usp=sharing"",""กระบี่!M303"")"),750.0)</f>
        <v>750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IFERROR(__xludf.DUMMYFUNCTION("IMPORTRANGE(""https://docs.google.com/spreadsheets/d/1IYY_tgx_IHuhSq3AJ5eI5OnqOPBNLWSHKh2a30DoXe8/edit?usp=sharing"",""กระบี่!M304"")"),0.0)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IFERROR(__xludf.DUMMYFUNCTION("IMPORTRANGE(""https://docs.google.com/spreadsheets/d/1IYY_tgx_IHuhSq3AJ5eI5OnqOPBNLWSHKh2a30DoXe8/edit?usp=sharing"",""กระบี่!M305"")"),14414.0)</f>
        <v>14414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IFERROR(__xludf.DUMMYFUNCTION("IMPORTRANGE(""https://docs.google.com/spreadsheets/d/1IYY_tgx_IHuhSq3AJ5eI5OnqOPBNLWSHKh2a30DoXe8/edit?usp=sharing"",""กระบี่!J307"")"),0.0)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IFERROR(__xludf.DUMMYFUNCTION("IMPORTRANGE(""https://docs.google.com/spreadsheets/d/1IYY_tgx_IHuhSq3AJ5eI5OnqOPBNLWSHKh2a30DoXe8/edit?usp=sharing"",""กระบี่!J308"")"),1.0)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IFERROR(__xludf.DUMMYFUNCTION("IMPORTRANGE(""https://docs.google.com/spreadsheets/d/1IYY_tgx_IHuhSq3AJ5eI5OnqOPBNLWSHKh2a30DoXe8/edit?usp=sharing"",""กระบี่!J309"")"),1.0)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IFERROR(__xludf.DUMMYFUNCTION("IMPORTRANGE(""https://docs.google.com/spreadsheets/d/1IYY_tgx_IHuhSq3AJ5eI5OnqOPBNLWSHKh2a30DoXe8/edit?usp=sharing"",""กระบี่!J310"")"),1.0)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IFERROR(__xludf.DUMMYFUNCTION("IMPORTRANGE(""https://docs.google.com/spreadsheets/d/1IYY_tgx_IHuhSq3AJ5eI5OnqOPBNLWSHKh2a30DoXe8/edit?usp=sharing"",""กระบี่!I311"")"),35.0)</f>
        <v>35</v>
      </c>
      <c r="J416" s="235">
        <f>IFERROR(__xludf.DUMMYFUNCTION("IMPORTRANGE(""https://docs.google.com/spreadsheets/d/1IYY_tgx_IHuhSq3AJ5eI5OnqOPBNLWSHKh2a30DoXe8/edit?usp=sharing"",""กระบี่!J311"")"),10.0)</f>
        <v>10</v>
      </c>
      <c r="K416" s="236">
        <f t="shared" ref="K416:K432" si="114">IF(I416&gt;0,J416*100/I416,0)</f>
        <v>28.57142857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IFERROR(__xludf.DUMMYFUNCTION("IMPORTRANGE(""https://docs.google.com/spreadsheets/d/1IYY_tgx_IHuhSq3AJ5eI5OnqOPBNLWSHKh2a30DoXe8/edit?usp=sharing"",""กระบี่!I312"")"),10.0)</f>
        <v>10</v>
      </c>
      <c r="J417" s="425">
        <f>IFERROR(__xludf.DUMMYFUNCTION("IMPORTRANGE(""https://docs.google.com/spreadsheets/d/1IYY_tgx_IHuhSq3AJ5eI5OnqOPBNLWSHKh2a30DoXe8/edit?usp=sharing"",""กระบี่!J312"")"),10.0)</f>
        <v>10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IFERROR(__xludf.DUMMYFUNCTION("IMPORTRANGE(""https://docs.google.com/spreadsheets/d/1IYY_tgx_IHuhSq3AJ5eI5OnqOPBNLWSHKh2a30DoXe8/edit?usp=sharing"",""กระบี่!I313"")"),30.0)</f>
        <v>30</v>
      </c>
      <c r="J418" s="426">
        <f>IFERROR(__xludf.DUMMYFUNCTION("IMPORTRANGE(""https://docs.google.com/spreadsheets/d/1IYY_tgx_IHuhSq3AJ5eI5OnqOPBNLWSHKh2a30DoXe8/edit?usp=sharing"",""กระบี่!J313"")"),0.0)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IFERROR(__xludf.DUMMYFUNCTION("IMPORTRANGE(""https://docs.google.com/spreadsheets/d/1IYY_tgx_IHuhSq3AJ5eI5OnqOPBNLWSHKh2a30DoXe8/edit?usp=sharing"",""กระบี่!I314"")"),10.0)</f>
        <v>10</v>
      </c>
      <c r="J419" s="427">
        <f>IFERROR(__xludf.DUMMYFUNCTION("IMPORTRANGE(""https://docs.google.com/spreadsheets/d/1IYY_tgx_IHuhSq3AJ5eI5OnqOPBNLWSHKh2a30DoXe8/edit?usp=sharing"",""กระบี่!J314"")"),10.0)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IFERROR(__xludf.DUMMYFUNCTION("IMPORTRANGE(""https://docs.google.com/spreadsheets/d/1IYY_tgx_IHuhSq3AJ5eI5OnqOPBNLWSHKh2a30DoXe8/edit?usp=sharing"",""กระบี่!I315"")"),10.0)</f>
        <v>10</v>
      </c>
      <c r="J420" s="427">
        <f>IFERROR(__xludf.DUMMYFUNCTION("IMPORTRANGE(""https://docs.google.com/spreadsheets/d/1IYY_tgx_IHuhSq3AJ5eI5OnqOPBNLWSHKh2a30DoXe8/edit?usp=sharing"",""กระบี่!J315"")"),10.0)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IFERROR(__xludf.DUMMYFUNCTION("IMPORTRANGE(""https://docs.google.com/spreadsheets/d/1IYY_tgx_IHuhSq3AJ5eI5OnqOPBNLWSHKh2a30DoXe8/edit?usp=sharing"",""กระบี่!I316"")"),15.0)</f>
        <v>15</v>
      </c>
      <c r="J421" s="425">
        <f>IFERROR(__xludf.DUMMYFUNCTION("IMPORTRANGE(""https://docs.google.com/spreadsheets/d/1IYY_tgx_IHuhSq3AJ5eI5OnqOPBNLWSHKh2a30DoXe8/edit?usp=sharing"",""กระบี่!J316"")"),0.0)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IFERROR(__xludf.DUMMYFUNCTION("IMPORTRANGE(""https://docs.google.com/spreadsheets/d/1IYY_tgx_IHuhSq3AJ5eI5OnqOPBNLWSHKh2a30DoXe8/edit?usp=sharing"",""กระบี่!I317"")"),45.0)</f>
        <v>45</v>
      </c>
      <c r="J422" s="426">
        <f>IFERROR(__xludf.DUMMYFUNCTION("IMPORTRANGE(""https://docs.google.com/spreadsheets/d/1IYY_tgx_IHuhSq3AJ5eI5OnqOPBNLWSHKh2a30DoXe8/edit?usp=sharing"",""กระบี่!J317"")"),0.0)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IFERROR(__xludf.DUMMYFUNCTION("IMPORTRANGE(""https://docs.google.com/spreadsheets/d/1IYY_tgx_IHuhSq3AJ5eI5OnqOPBNLWSHKh2a30DoXe8/edit?usp=sharing"",""กระบี่!I318"")"),15.0)</f>
        <v>15</v>
      </c>
      <c r="J423" s="427">
        <f>IFERROR(__xludf.DUMMYFUNCTION("IMPORTRANGE(""https://docs.google.com/spreadsheets/d/1IYY_tgx_IHuhSq3AJ5eI5OnqOPBNLWSHKh2a30DoXe8/edit?usp=sharing"",""กระบี่!J318"")"),0.0)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IFERROR(__xludf.DUMMYFUNCTION("IMPORTRANGE(""https://docs.google.com/spreadsheets/d/1IYY_tgx_IHuhSq3AJ5eI5OnqOPBNLWSHKh2a30DoXe8/edit?usp=sharing"",""กระบี่!I319"")"),15.0)</f>
        <v>15</v>
      </c>
      <c r="J424" s="427">
        <f>IFERROR(__xludf.DUMMYFUNCTION("IMPORTRANGE(""https://docs.google.com/spreadsheets/d/1IYY_tgx_IHuhSq3AJ5eI5OnqOPBNLWSHKh2a30DoXe8/edit?usp=sharing"",""กระบี่!J319"")"),0.0)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IFERROR(__xludf.DUMMYFUNCTION("IMPORTRANGE(""https://docs.google.com/spreadsheets/d/1IYY_tgx_IHuhSq3AJ5eI5OnqOPBNLWSHKh2a30DoXe8/edit?usp=sharing"",""กระบี่!I320"")"),15.0)</f>
        <v>15</v>
      </c>
      <c r="J425" s="427">
        <f>IFERROR(__xludf.DUMMYFUNCTION("IMPORTRANGE(""https://docs.google.com/spreadsheets/d/1IYY_tgx_IHuhSq3AJ5eI5OnqOPBNLWSHKh2a30DoXe8/edit?usp=sharing"",""กระบี่!J320"")"),0.0)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IFERROR(__xludf.DUMMYFUNCTION("IMPORTRANGE(""https://docs.google.com/spreadsheets/d/1IYY_tgx_IHuhSq3AJ5eI5OnqOPBNLWSHKh2a30DoXe8/edit?usp=sharing"",""กระบี่!I321"")"),10.0)</f>
        <v>10</v>
      </c>
      <c r="J426" s="425">
        <f>IFERROR(__xludf.DUMMYFUNCTION("IMPORTRANGE(""https://docs.google.com/spreadsheets/d/1IYY_tgx_IHuhSq3AJ5eI5OnqOPBNLWSHKh2a30DoXe8/edit?usp=sharing"",""กระบี่!J321"")"),0.0)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IFERROR(__xludf.DUMMYFUNCTION("IMPORTRANGE(""https://docs.google.com/spreadsheets/d/1IYY_tgx_IHuhSq3AJ5eI5OnqOPBNLWSHKh2a30DoXe8/edit?usp=sharing"",""กระบี่!I322"")"),30.0)</f>
        <v>30</v>
      </c>
      <c r="J427" s="426">
        <f>IFERROR(__xludf.DUMMYFUNCTION("IMPORTRANGE(""https://docs.google.com/spreadsheets/d/1IYY_tgx_IHuhSq3AJ5eI5OnqOPBNLWSHKh2a30DoXe8/edit?usp=sharing"",""กระบี่!J322"")"),0.0)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IFERROR(__xludf.DUMMYFUNCTION("IMPORTRANGE(""https://docs.google.com/spreadsheets/d/1IYY_tgx_IHuhSq3AJ5eI5OnqOPBNLWSHKh2a30DoXe8/edit?usp=sharing"",""กระบี่!I323"")"),10.0)</f>
        <v>10</v>
      </c>
      <c r="J428" s="427">
        <f>IFERROR(__xludf.DUMMYFUNCTION("IMPORTRANGE(""https://docs.google.com/spreadsheets/d/1IYY_tgx_IHuhSq3AJ5eI5OnqOPBNLWSHKh2a30DoXe8/edit?usp=sharing"",""กระบี่!J323"")"),0.0)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IFERROR(__xludf.DUMMYFUNCTION("IMPORTRANGE(""https://docs.google.com/spreadsheets/d/1IYY_tgx_IHuhSq3AJ5eI5OnqOPBNLWSHKh2a30DoXe8/edit?usp=sharing"",""กระบี่!I324"")"),10.0)</f>
        <v>10</v>
      </c>
      <c r="J429" s="427">
        <f>IFERROR(__xludf.DUMMYFUNCTION("IMPORTRANGE(""https://docs.google.com/spreadsheets/d/1IYY_tgx_IHuhSq3AJ5eI5OnqOPBNLWSHKh2a30DoXe8/edit?usp=sharing"",""กระบี่!J324"")"),0.0)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IFERROR(__xludf.DUMMYFUNCTION("IMPORTRANGE(""https://docs.google.com/spreadsheets/d/1IYY_tgx_IHuhSq3AJ5eI5OnqOPBNLWSHKh2a30DoXe8/edit?usp=sharing"",""กระบี่!I325"")"),25.0)</f>
        <v>25</v>
      </c>
      <c r="J430" s="425">
        <f>IFERROR(__xludf.DUMMYFUNCTION("IMPORTRANGE(""https://docs.google.com/spreadsheets/d/1IYY_tgx_IHuhSq3AJ5eI5OnqOPBNLWSHKh2a30DoXe8/edit?usp=sharing"",""กระบี่!J325"")"),0.0)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IFERROR(__xludf.DUMMYFUNCTION("IMPORTRANGE(""https://docs.google.com/spreadsheets/d/1IYY_tgx_IHuhSq3AJ5eI5OnqOPBNLWSHKh2a30DoXe8/edit?usp=sharing"",""กระบี่!I326"")"),10.0)</f>
        <v>10</v>
      </c>
      <c r="J431" s="427">
        <f>IFERROR(__xludf.DUMMYFUNCTION("IMPORTRANGE(""https://docs.google.com/spreadsheets/d/1IYY_tgx_IHuhSq3AJ5eI5OnqOPBNLWSHKh2a30DoXe8/edit?usp=sharing"",""กระบี่!J326"")"),0.0)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IFERROR(__xludf.DUMMYFUNCTION("IMPORTRANGE(""https://docs.google.com/spreadsheets/d/1IYY_tgx_IHuhSq3AJ5eI5OnqOPBNLWSHKh2a30DoXe8/edit?usp=sharing"",""กระบี่!I327"")"),15.0)</f>
        <v>15</v>
      </c>
      <c r="J432" s="427">
        <f>IFERROR(__xludf.DUMMYFUNCTION("IMPORTRANGE(""https://docs.google.com/spreadsheets/d/1IYY_tgx_IHuhSq3AJ5eI5OnqOPBNLWSHKh2a30DoXe8/edit?usp=sharing"",""กระบี่!J327"")"),0.0)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IFERROR(__xludf.DUMMYFUNCTION("IMPORTRANGE(""https://docs.google.com/spreadsheets/d/1IYY_tgx_IHuhSq3AJ5eI5OnqOPBNLWSHKh2a30DoXe8/edit?usp=sharing"",""กระบี่!J328"")"),0.0)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IFERROR(__xludf.DUMMYFUNCTION("IMPORTRANGE(""https://docs.google.com/spreadsheets/d/1IYY_tgx_IHuhSq3AJ5eI5OnqOPBNLWSHKh2a30DoXe8/edit?usp=sharing"",""กระบี่!J329"")"),0.0)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IFERROR(__xludf.DUMMYFUNCTION("IMPORTRANGE(""https://docs.google.com/spreadsheets/d/1IYY_tgx_IHuhSq3AJ5eI5OnqOPBNLWSHKh2a30DoXe8/edit?usp=sharing"",""กระบี่!I330"")"),10.0)</f>
        <v>10</v>
      </c>
      <c r="J435" s="443">
        <f>IFERROR(__xludf.DUMMYFUNCTION("IMPORTRANGE(""https://docs.google.com/spreadsheets/d/1IYY_tgx_IHuhSq3AJ5eI5OnqOPBNLWSHKh2a30DoXe8/edit?usp=sharing"",""กระบี่!J330"")"),10.0)</f>
        <v>10</v>
      </c>
      <c r="K435" s="444">
        <f>IF(I435&gt;0,J435*100/I435,0)</f>
        <v>100</v>
      </c>
      <c r="L435" s="445">
        <f>IFERROR(__xludf.DUMMYFUNCTION("IMPORTRANGE(""https://docs.google.com/spreadsheets/d/1IYY_tgx_IHuhSq3AJ5eI5OnqOPBNLWSHKh2a30DoXe8/edit?usp=sharing"",""กระบี่!L330"")"),71000.0)</f>
        <v>71000</v>
      </c>
      <c r="M435" s="445"/>
      <c r="N435" s="445">
        <f>IFERROR(__xludf.DUMMYFUNCTION("IMPORTRANGE(""https://docs.google.com/spreadsheets/d/1IYY_tgx_IHuhSq3AJ5eI5OnqOPBNLWSHKh2a30DoXe8/edit?usp=sharing"",""กระบี่!M330"")"),26904.0)</f>
        <v>26904</v>
      </c>
      <c r="O435" s="445">
        <f t="shared" ref="O435:O439" si="115">+IF(L435&gt;0,N435*100/L435,0)</f>
        <v>37.89295775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IFERROR(__xludf.DUMMYFUNCTION("IMPORTRANGE(""https://docs.google.com/spreadsheets/d/1IYY_tgx_IHuhSq3AJ5eI5OnqOPBNLWSHKh2a30DoXe8/edit?usp=sharing"",""กระบี่!L331"")"),0.0)</f>
        <v>0</v>
      </c>
      <c r="M436" s="197"/>
      <c r="N436" s="203">
        <f>IFERROR(__xludf.DUMMYFUNCTION("IMPORTRANGE(""https://docs.google.com/spreadsheets/d/1IYY_tgx_IHuhSq3AJ5eI5OnqOPBNLWSHKh2a30DoXe8/edit?usp=sharing"",""กระบี่!M331"")"),0.0)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IFERROR(__xludf.DUMMYFUNCTION("IMPORTRANGE(""https://docs.google.com/spreadsheets/d/1IYY_tgx_IHuhSq3AJ5eI5OnqOPBNLWSHKh2a30DoXe8/edit?usp=sharing"",""กระบี่!L332"")"),71000.0)</f>
        <v>71000</v>
      </c>
      <c r="M437" s="198"/>
      <c r="N437" s="203">
        <f>IFERROR(__xludf.DUMMYFUNCTION("IMPORTRANGE(""https://docs.google.com/spreadsheets/d/1IYY_tgx_IHuhSq3AJ5eI5OnqOPBNLWSHKh2a30DoXe8/edit?usp=sharing"",""กระบี่!M332"")"),26904.0)</f>
        <v>26904</v>
      </c>
      <c r="O437" s="203">
        <f t="shared" si="115"/>
        <v>37.89295775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IFERROR(__xludf.DUMMYFUNCTION("IMPORTRANGE(""https://docs.google.com/spreadsheets/d/1IYY_tgx_IHuhSq3AJ5eI5OnqOPBNLWSHKh2a30DoXe8/edit?usp=sharing"",""กระบี่!L333"")"),0.0)</f>
        <v>0</v>
      </c>
      <c r="M438" s="203"/>
      <c r="N438" s="203">
        <f>IFERROR(__xludf.DUMMYFUNCTION("IMPORTRANGE(""https://docs.google.com/spreadsheets/d/1IYY_tgx_IHuhSq3AJ5eI5OnqOPBNLWSHKh2a30DoXe8/edit?usp=sharing"",""กระบี่!M333"")"),0.0)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IFERROR(__xludf.DUMMYFUNCTION("IMPORTRANGE(""https://docs.google.com/spreadsheets/d/1IYY_tgx_IHuhSq3AJ5eI5OnqOPBNLWSHKh2a30DoXe8/edit?usp=sharing"",""กระบี่!L334"")"),71000.0)</f>
        <v>71000</v>
      </c>
      <c r="M439" s="203"/>
      <c r="N439" s="203">
        <f>IFERROR(__xludf.DUMMYFUNCTION("IMPORTRANGE(""https://docs.google.com/spreadsheets/d/1IYY_tgx_IHuhSq3AJ5eI5OnqOPBNLWSHKh2a30DoXe8/edit?usp=sharing"",""กระบี่!M334"")"),26904.0)</f>
        <v>26904</v>
      </c>
      <c r="O439" s="203">
        <f t="shared" si="115"/>
        <v>37.89295775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IFERROR(__xludf.DUMMYFUNCTION("IMPORTRANGE(""https://docs.google.com/spreadsheets/d/1IYY_tgx_IHuhSq3AJ5eI5OnqOPBNLWSHKh2a30DoXe8/edit?usp=sharing"",""กระบี่!M335"")"),14800.0)</f>
        <v>14800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IFERROR(__xludf.DUMMYFUNCTION("IMPORTRANGE(""https://docs.google.com/spreadsheets/d/1IYY_tgx_IHuhSq3AJ5eI5OnqOPBNLWSHKh2a30DoXe8/edit?usp=sharing"",""กระบี่!M336"")"),0.0)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IFERROR(__xludf.DUMMYFUNCTION("IMPORTRANGE(""https://docs.google.com/spreadsheets/d/1IYY_tgx_IHuhSq3AJ5eI5OnqOPBNLWSHKh2a30DoXe8/edit?usp=sharing"",""กระบี่!M337"")"),0.0)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IFERROR(__xludf.DUMMYFUNCTION("IMPORTRANGE(""https://docs.google.com/spreadsheets/d/1IYY_tgx_IHuhSq3AJ5eI5OnqOPBNLWSHKh2a30DoXe8/edit?usp=sharing"",""กระบี่!M338"")"),12104.0)</f>
        <v>12104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IFERROR(__xludf.DUMMYFUNCTION("IMPORTRANGE(""https://docs.google.com/spreadsheets/d/1IYY_tgx_IHuhSq3AJ5eI5OnqOPBNLWSHKh2a30DoXe8/edit?usp=sharing"",""กระบี่!J340"")"),0.0)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IFERROR(__xludf.DUMMYFUNCTION("IMPORTRANGE(""https://docs.google.com/spreadsheets/d/1IYY_tgx_IHuhSq3AJ5eI5OnqOPBNLWSHKh2a30DoXe8/edit?usp=sharing"",""กระบี่!J341"")"),1.0)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IFERROR(__xludf.DUMMYFUNCTION("IMPORTRANGE(""https://docs.google.com/spreadsheets/d/1IYY_tgx_IHuhSq3AJ5eI5OnqOPBNLWSHKh2a30DoXe8/edit?usp=sharing"",""กระบี่!J342"")"),1.0)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IFERROR(__xludf.DUMMYFUNCTION("IMPORTRANGE(""https://docs.google.com/spreadsheets/d/1IYY_tgx_IHuhSq3AJ5eI5OnqOPBNLWSHKh2a30DoXe8/edit?usp=sharing"",""กระบี่!J343"")"),1.0)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IFERROR(__xludf.DUMMYFUNCTION("IMPORTRANGE(""https://docs.google.com/spreadsheets/d/1IYY_tgx_IHuhSq3AJ5eI5OnqOPBNLWSHKh2a30DoXe8/edit?usp=sharing"",""กระบี่!I344"")"),10.0)</f>
        <v>10</v>
      </c>
      <c r="J449" s="235">
        <f>IFERROR(__xludf.DUMMYFUNCTION("IMPORTRANGE(""https://docs.google.com/spreadsheets/d/1IYY_tgx_IHuhSq3AJ5eI5OnqOPBNLWSHKh2a30DoXe8/edit?usp=sharing"",""กระบี่!J344"")"),10.0)</f>
        <v>10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IFERROR(__xludf.DUMMYFUNCTION("IMPORTRANGE(""https://docs.google.com/spreadsheets/d/1IYY_tgx_IHuhSq3AJ5eI5OnqOPBNLWSHKh2a30DoXe8/edit?usp=sharing"",""กระบี่!I345"")"),10.0)</f>
        <v>10</v>
      </c>
      <c r="J450" s="223">
        <f>IFERROR(__xludf.DUMMYFUNCTION("IMPORTRANGE(""https://docs.google.com/spreadsheets/d/1IYY_tgx_IHuhSq3AJ5eI5OnqOPBNLWSHKh2a30DoXe8/edit?usp=sharing"",""กระบี่!J345"")"),10.0)</f>
        <v>10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IFERROR(__xludf.DUMMYFUNCTION("IMPORTRANGE(""https://docs.google.com/spreadsheets/d/1IYY_tgx_IHuhSq3AJ5eI5OnqOPBNLWSHKh2a30DoXe8/edit?usp=sharing"",""กระบี่!I346"")"),0.0)</f>
        <v>0</v>
      </c>
      <c r="J451" s="222">
        <f>IFERROR(__xludf.DUMMYFUNCTION("IMPORTRANGE(""https://docs.google.com/spreadsheets/d/1IYY_tgx_IHuhSq3AJ5eI5OnqOPBNLWSHKh2a30DoXe8/edit?usp=sharing"",""กระบี่!J346"")"),0.0)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IFERROR(__xludf.DUMMYFUNCTION("IMPORTRANGE(""https://docs.google.com/spreadsheets/d/1IYY_tgx_IHuhSq3AJ5eI5OnqOPBNLWSHKh2a30DoXe8/edit?usp=sharing"",""กระบี่!I347"")"),0.0)</f>
        <v>0</v>
      </c>
      <c r="J452" s="222">
        <f>IFERROR(__xludf.DUMMYFUNCTION("IMPORTRANGE(""https://docs.google.com/spreadsheets/d/1IYY_tgx_IHuhSq3AJ5eI5OnqOPBNLWSHKh2a30DoXe8/edit?usp=sharing"",""กระบี่!J347"")"),0.0)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IFERROR(__xludf.DUMMYFUNCTION("IMPORTRANGE(""https://docs.google.com/spreadsheets/d/1IYY_tgx_IHuhSq3AJ5eI5OnqOPBNLWSHKh2a30DoXe8/edit?usp=sharing"",""กระบี่!J348"")"),0.0)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IFERROR(__xludf.DUMMYFUNCTION("IMPORTRANGE(""https://docs.google.com/spreadsheets/d/1IYY_tgx_IHuhSq3AJ5eI5OnqOPBNLWSHKh2a30DoXe8/edit?usp=sharing"",""กระบี่!J349"")"),0.0)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IFERROR(__xludf.DUMMYFUNCTION("IMPORTRANGE(""https://docs.google.com/spreadsheets/d/1IYY_tgx_IHuhSq3AJ5eI5OnqOPBNLWSHKh2a30DoXe8/edit?usp=sharing"",""กระบี่!I350"")"),64411.0)</f>
        <v>64411</v>
      </c>
      <c r="J455" s="404">
        <f>IFERROR(__xludf.DUMMYFUNCTION("IMPORTRANGE(""https://docs.google.com/spreadsheets/d/1IYY_tgx_IHuhSq3AJ5eI5OnqOPBNLWSHKh2a30DoXe8/edit?usp=sharing"",""กระบี่!J350"")"),0.0)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IFERROR(__xludf.DUMMYFUNCTION("IMPORTRANGE(""https://docs.google.com/spreadsheets/d/1IYY_tgx_IHuhSq3AJ5eI5OnqOPBNLWSHKh2a30DoXe8/edit?usp=sharing"",""กระบี่!L350"")"),519283.0)</f>
        <v>519283</v>
      </c>
      <c r="M455" s="406"/>
      <c r="N455" s="406">
        <f>IFERROR(__xludf.DUMMYFUNCTION("IMPORTRANGE(""https://docs.google.com/spreadsheets/d/1IYY_tgx_IHuhSq3AJ5eI5OnqOPBNLWSHKh2a30DoXe8/edit?usp=sharing"",""กระบี่!M350"")"),32067.760000000002)</f>
        <v>32067.76</v>
      </c>
      <c r="O455" s="406">
        <f t="shared" ref="O455:O459" si="117">+IF(L455&gt;0,N455*100/L455,0)</f>
        <v>6.175391838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IFERROR(__xludf.DUMMYFUNCTION("IMPORTRANGE(""https://docs.google.com/spreadsheets/d/1IYY_tgx_IHuhSq3AJ5eI5OnqOPBNLWSHKh2a30DoXe8/edit?usp=sharing"",""กระบี่!L351"")"),0.0)</f>
        <v>0</v>
      </c>
      <c r="M456" s="197"/>
      <c r="N456" s="203">
        <f>IFERROR(__xludf.DUMMYFUNCTION("IMPORTRANGE(""https://docs.google.com/spreadsheets/d/1IYY_tgx_IHuhSq3AJ5eI5OnqOPBNLWSHKh2a30DoXe8/edit?usp=sharing"",""กระบี่!M351"")"),0.0)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IFERROR(__xludf.DUMMYFUNCTION("IMPORTRANGE(""https://docs.google.com/spreadsheets/d/1IYY_tgx_IHuhSq3AJ5eI5OnqOPBNLWSHKh2a30DoXe8/edit?usp=sharing"",""กระบี่!L352"")"),519283.0)</f>
        <v>519283</v>
      </c>
      <c r="M457" s="198"/>
      <c r="N457" s="203">
        <f>IFERROR(__xludf.DUMMYFUNCTION("IMPORTRANGE(""https://docs.google.com/spreadsheets/d/1IYY_tgx_IHuhSq3AJ5eI5OnqOPBNLWSHKh2a30DoXe8/edit?usp=sharing"",""กระบี่!M352"")"),32067.760000000002)</f>
        <v>32067.76</v>
      </c>
      <c r="O457" s="203">
        <f t="shared" si="117"/>
        <v>6.175391838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IFERROR(__xludf.DUMMYFUNCTION("IMPORTRANGE(""https://docs.google.com/spreadsheets/d/1IYY_tgx_IHuhSq3AJ5eI5OnqOPBNLWSHKh2a30DoXe8/edit?usp=sharing"",""กระบี่!L353"")"),0.0)</f>
        <v>0</v>
      </c>
      <c r="M458" s="203"/>
      <c r="N458" s="203">
        <f>IFERROR(__xludf.DUMMYFUNCTION("IMPORTRANGE(""https://docs.google.com/spreadsheets/d/1IYY_tgx_IHuhSq3AJ5eI5OnqOPBNLWSHKh2a30DoXe8/edit?usp=sharing"",""กระบี่!M353"")"),0.0)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IFERROR(__xludf.DUMMYFUNCTION("IMPORTRANGE(""https://docs.google.com/spreadsheets/d/1IYY_tgx_IHuhSq3AJ5eI5OnqOPBNLWSHKh2a30DoXe8/edit?usp=sharing"",""กระบี่!L354"")"),519283.0)</f>
        <v>519283</v>
      </c>
      <c r="M459" s="203"/>
      <c r="N459" s="203">
        <f>IFERROR(__xludf.DUMMYFUNCTION("IMPORTRANGE(""https://docs.google.com/spreadsheets/d/1IYY_tgx_IHuhSq3AJ5eI5OnqOPBNLWSHKh2a30DoXe8/edit?usp=sharing"",""กระบี่!M354"")"),32067.760000000002)</f>
        <v>32067.76</v>
      </c>
      <c r="O459" s="203">
        <f t="shared" si="117"/>
        <v>6.175391838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IFERROR(__xludf.DUMMYFUNCTION("IMPORTRANGE(""https://docs.google.com/spreadsheets/d/1IYY_tgx_IHuhSq3AJ5eI5OnqOPBNLWSHKh2a30DoXe8/edit?usp=sharing"",""กระบี่!M355"")"),0.0)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IFERROR(__xludf.DUMMYFUNCTION("IMPORTRANGE(""https://docs.google.com/spreadsheets/d/1IYY_tgx_IHuhSq3AJ5eI5OnqOPBNLWSHKh2a30DoXe8/edit?usp=sharing"",""กระบี่!M356"")"),0.0)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IFERROR(__xludf.DUMMYFUNCTION("IMPORTRANGE(""https://docs.google.com/spreadsheets/d/1IYY_tgx_IHuhSq3AJ5eI5OnqOPBNLWSHKh2a30DoXe8/edit?usp=sharing"",""กระบี่!M357"")"),26967.760000000002)</f>
        <v>26967.76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IFERROR(__xludf.DUMMYFUNCTION("IMPORTRANGE(""https://docs.google.com/spreadsheets/d/1IYY_tgx_IHuhSq3AJ5eI5OnqOPBNLWSHKh2a30DoXe8/edit?usp=sharing"",""กระบี่!M358"")"),5100.0)</f>
        <v>5100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IFERROR(__xludf.DUMMYFUNCTION("IMPORTRANGE(""https://docs.google.com/spreadsheets/d/1IYY_tgx_IHuhSq3AJ5eI5OnqOPBNLWSHKh2a30DoXe8/edit?usp=sharing"",""กระบี่!I359"")"),64411.0)</f>
        <v>64411</v>
      </c>
      <c r="J464" s="301">
        <f>IFERROR(__xludf.DUMMYFUNCTION("IMPORTRANGE(""https://docs.google.com/spreadsheets/d/1IYY_tgx_IHuhSq3AJ5eI5OnqOPBNLWSHKh2a30DoXe8/edit?usp=sharing"",""กระบี่!J359"")"),0.0)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IFERROR(__xludf.DUMMYFUNCTION("IMPORTRANGE(""https://docs.google.com/spreadsheets/d/1IYY_tgx_IHuhSq3AJ5eI5OnqOPBNLWSHKh2a30DoXe8/edit?usp=sharing"",""กระบี่!I360"")"),64411.0)</f>
        <v>64411</v>
      </c>
      <c r="J465" s="453">
        <f>IFERROR(__xludf.DUMMYFUNCTION("IMPORTRANGE(""https://docs.google.com/spreadsheets/d/1IYY_tgx_IHuhSq3AJ5eI5OnqOPBNLWSHKh2a30DoXe8/edit?usp=sharing"",""กระบี่!J360"")"),51594.0)</f>
        <v>51594</v>
      </c>
      <c r="K465" s="236">
        <f t="shared" si="118"/>
        <v>80.10122495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IFERROR(__xludf.DUMMYFUNCTION("IMPORTRANGE(""https://docs.google.com/spreadsheets/d/1IYY_tgx_IHuhSq3AJ5eI5OnqOPBNLWSHKh2a30DoXe8/edit?usp=sharing"",""กระบี่!I361"")"),4051.0)</f>
        <v>4051</v>
      </c>
      <c r="J466" s="453">
        <f>IFERROR(__xludf.DUMMYFUNCTION("IMPORTRANGE(""https://docs.google.com/spreadsheets/d/1IYY_tgx_IHuhSq3AJ5eI5OnqOPBNLWSHKh2a30DoXe8/edit?usp=sharing"",""กระบี่!J361"")"),3168.0)</f>
        <v>3168</v>
      </c>
      <c r="K466" s="236">
        <f t="shared" si="118"/>
        <v>78.20291286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IFERROR(__xludf.DUMMYFUNCTION("IMPORTRANGE(""https://docs.google.com/spreadsheets/d/1IYY_tgx_IHuhSq3AJ5eI5OnqOPBNLWSHKh2a30DoXe8/edit?usp=sharing"",""กระบี่!I362"")"),0.0)</f>
        <v>0</v>
      </c>
      <c r="J467" s="223">
        <f>IFERROR(__xludf.DUMMYFUNCTION("IMPORTRANGE(""https://docs.google.com/spreadsheets/d/1IYY_tgx_IHuhSq3AJ5eI5OnqOPBNLWSHKh2a30DoXe8/edit?usp=sharing"",""กระบี่!J362"")"),48190.0)</f>
        <v>48190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IFERROR(__xludf.DUMMYFUNCTION("IMPORTRANGE(""https://docs.google.com/spreadsheets/d/1IYY_tgx_IHuhSq3AJ5eI5OnqOPBNLWSHKh2a30DoXe8/edit?usp=sharing"",""กระบี่!I363"")"),0.0)</f>
        <v>0</v>
      </c>
      <c r="J468" s="223">
        <f>IFERROR(__xludf.DUMMYFUNCTION("IMPORTRANGE(""https://docs.google.com/spreadsheets/d/1IYY_tgx_IHuhSq3AJ5eI5OnqOPBNLWSHKh2a30DoXe8/edit?usp=sharing"",""กระบี่!J363"")"),2947.0)</f>
        <v>2947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IFERROR(__xludf.DUMMYFUNCTION("IMPORTRANGE(""https://docs.google.com/spreadsheets/d/1IYY_tgx_IHuhSq3AJ5eI5OnqOPBNLWSHKh2a30DoXe8/edit?usp=sharing"",""กระบี่!I364"")"),0.0)</f>
        <v>0</v>
      </c>
      <c r="J469" s="223">
        <f>IFERROR(__xludf.DUMMYFUNCTION("IMPORTRANGE(""https://docs.google.com/spreadsheets/d/1IYY_tgx_IHuhSq3AJ5eI5OnqOPBNLWSHKh2a30DoXe8/edit?usp=sharing"",""กระบี่!J364"")"),3151.0)</f>
        <v>3151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IFERROR(__xludf.DUMMYFUNCTION("IMPORTRANGE(""https://docs.google.com/spreadsheets/d/1IYY_tgx_IHuhSq3AJ5eI5OnqOPBNLWSHKh2a30DoXe8/edit?usp=sharing"",""กระบี่!I365"")"),0.0)</f>
        <v>0</v>
      </c>
      <c r="J470" s="223">
        <f>IFERROR(__xludf.DUMMYFUNCTION("IMPORTRANGE(""https://docs.google.com/spreadsheets/d/1IYY_tgx_IHuhSq3AJ5eI5OnqOPBNLWSHKh2a30DoXe8/edit?usp=sharing"",""กระบี่!J365"")"),198.0)</f>
        <v>198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IFERROR(__xludf.DUMMYFUNCTION("IMPORTRANGE(""https://docs.google.com/spreadsheets/d/1IYY_tgx_IHuhSq3AJ5eI5OnqOPBNLWSHKh2a30DoXe8/edit?usp=sharing"",""กระบี่!I366"")"),0.0)</f>
        <v>0</v>
      </c>
      <c r="J471" s="223">
        <f>IFERROR(__xludf.DUMMYFUNCTION("IMPORTRANGE(""https://docs.google.com/spreadsheets/d/1IYY_tgx_IHuhSq3AJ5eI5OnqOPBNLWSHKh2a30DoXe8/edit?usp=sharing"",""กระบี่!J366"")"),253.0)</f>
        <v>253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IFERROR(__xludf.DUMMYFUNCTION("IMPORTRANGE(""https://docs.google.com/spreadsheets/d/1IYY_tgx_IHuhSq3AJ5eI5OnqOPBNLWSHKh2a30DoXe8/edit?usp=sharing"",""กระบี่!I367"")"),0.0)</f>
        <v>0</v>
      </c>
      <c r="J472" s="223">
        <f>IFERROR(__xludf.DUMMYFUNCTION("IMPORTRANGE(""https://docs.google.com/spreadsheets/d/1IYY_tgx_IHuhSq3AJ5eI5OnqOPBNLWSHKh2a30DoXe8/edit?usp=sharing"",""กระบี่!J367"")"),23.0)</f>
        <v>23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IFERROR(__xludf.DUMMYFUNCTION("IMPORTRANGE(""https://docs.google.com/spreadsheets/d/1IYY_tgx_IHuhSq3AJ5eI5OnqOPBNLWSHKh2a30DoXe8/edit?usp=sharing"",""กระบี่!I368"")"),64411.0)</f>
        <v>64411</v>
      </c>
      <c r="J473" s="453">
        <f>IFERROR(__xludf.DUMMYFUNCTION("IMPORTRANGE(""https://docs.google.com/spreadsheets/d/1IYY_tgx_IHuhSq3AJ5eI5OnqOPBNLWSHKh2a30DoXe8/edit?usp=sharing"",""กระบี่!J368"")"),0.0)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IFERROR(__xludf.DUMMYFUNCTION("IMPORTRANGE(""https://docs.google.com/spreadsheets/d/1IYY_tgx_IHuhSq3AJ5eI5OnqOPBNLWSHKh2a30DoXe8/edit?usp=sharing"",""กระบี่!I369"")"),4051.0)</f>
        <v>4051</v>
      </c>
      <c r="J474" s="453">
        <f>IFERROR(__xludf.DUMMYFUNCTION("IMPORTRANGE(""https://docs.google.com/spreadsheets/d/1IYY_tgx_IHuhSq3AJ5eI5OnqOPBNLWSHKh2a30DoXe8/edit?usp=sharing"",""กระบี่!J369"")"),0.0)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IFERROR(__xludf.DUMMYFUNCTION("IMPORTRANGE(""https://docs.google.com/spreadsheets/d/1IYY_tgx_IHuhSq3AJ5eI5OnqOPBNLWSHKh2a30DoXe8/edit?usp=sharing"",""กระบี่!I370"")"),0.0)</f>
        <v>0</v>
      </c>
      <c r="J475" s="223">
        <f>IFERROR(__xludf.DUMMYFUNCTION("IMPORTRANGE(""https://docs.google.com/spreadsheets/d/1IYY_tgx_IHuhSq3AJ5eI5OnqOPBNLWSHKh2a30DoXe8/edit?usp=sharing"",""กระบี่!J370"")"),0.0)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IFERROR(__xludf.DUMMYFUNCTION("IMPORTRANGE(""https://docs.google.com/spreadsheets/d/1IYY_tgx_IHuhSq3AJ5eI5OnqOPBNLWSHKh2a30DoXe8/edit?usp=sharing"",""กระบี่!I371"")"),0.0)</f>
        <v>0</v>
      </c>
      <c r="J476" s="223">
        <f>IFERROR(__xludf.DUMMYFUNCTION("IMPORTRANGE(""https://docs.google.com/spreadsheets/d/1IYY_tgx_IHuhSq3AJ5eI5OnqOPBNLWSHKh2a30DoXe8/edit?usp=sharing"",""กระบี่!J371"")"),0.0)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IFERROR(__xludf.DUMMYFUNCTION("IMPORTRANGE(""https://docs.google.com/spreadsheets/d/1IYY_tgx_IHuhSq3AJ5eI5OnqOPBNLWSHKh2a30DoXe8/edit?usp=sharing"",""กระบี่!I372"")"),0.0)</f>
        <v>0</v>
      </c>
      <c r="J477" s="223">
        <f>IFERROR(__xludf.DUMMYFUNCTION("IMPORTRANGE(""https://docs.google.com/spreadsheets/d/1IYY_tgx_IHuhSq3AJ5eI5OnqOPBNLWSHKh2a30DoXe8/edit?usp=sharing"",""กระบี่!J372"")"),0.0)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IFERROR(__xludf.DUMMYFUNCTION("IMPORTRANGE(""https://docs.google.com/spreadsheets/d/1IYY_tgx_IHuhSq3AJ5eI5OnqOPBNLWSHKh2a30DoXe8/edit?usp=sharing"",""กระบี่!I373"")"),0.0)</f>
        <v>0</v>
      </c>
      <c r="J478" s="223">
        <f>IFERROR(__xludf.DUMMYFUNCTION("IMPORTRANGE(""https://docs.google.com/spreadsheets/d/1IYY_tgx_IHuhSq3AJ5eI5OnqOPBNLWSHKh2a30DoXe8/edit?usp=sharing"",""กระบี่!J373"")"),0.0)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IFERROR(__xludf.DUMMYFUNCTION("IMPORTRANGE(""https://docs.google.com/spreadsheets/d/1IYY_tgx_IHuhSq3AJ5eI5OnqOPBNLWSHKh2a30DoXe8/edit?usp=sharing"",""กระบี่!I374"")"),0.0)</f>
        <v>0</v>
      </c>
      <c r="J479" s="223">
        <f>IFERROR(__xludf.DUMMYFUNCTION("IMPORTRANGE(""https://docs.google.com/spreadsheets/d/1IYY_tgx_IHuhSq3AJ5eI5OnqOPBNLWSHKh2a30DoXe8/edit?usp=sharing"",""กระบี่!J374"")"),0.0)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IFERROR(__xludf.DUMMYFUNCTION("IMPORTRANGE(""https://docs.google.com/spreadsheets/d/1IYY_tgx_IHuhSq3AJ5eI5OnqOPBNLWSHKh2a30DoXe8/edit?usp=sharing"",""กระบี่!I375"")"),0.0)</f>
        <v>0</v>
      </c>
      <c r="J480" s="223">
        <f>IFERROR(__xludf.DUMMYFUNCTION("IMPORTRANGE(""https://docs.google.com/spreadsheets/d/1IYY_tgx_IHuhSq3AJ5eI5OnqOPBNLWSHKh2a30DoXe8/edit?usp=sharing"",""กระบี่!J375"")"),0.0)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IFERROR(__xludf.DUMMYFUNCTION("IMPORTRANGE(""https://docs.google.com/spreadsheets/d/1IYY_tgx_IHuhSq3AJ5eI5OnqOPBNLWSHKh2a30DoXe8/edit?usp=sharing"",""กระบี่!I376"")"),64411.0)</f>
        <v>64411</v>
      </c>
      <c r="J481" s="453">
        <f>IFERROR(__xludf.DUMMYFUNCTION("IMPORTRANGE(""https://docs.google.com/spreadsheets/d/1IYY_tgx_IHuhSq3AJ5eI5OnqOPBNLWSHKh2a30DoXe8/edit?usp=sharing"",""กระบี่!J376"")"),0.0)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IFERROR(__xludf.DUMMYFUNCTION("IMPORTRANGE(""https://docs.google.com/spreadsheets/d/1IYY_tgx_IHuhSq3AJ5eI5OnqOPBNLWSHKh2a30DoXe8/edit?usp=sharing"",""กระบี่!I377"")"),4051.0)</f>
        <v>4051</v>
      </c>
      <c r="J482" s="453">
        <f>IFERROR(__xludf.DUMMYFUNCTION("IMPORTRANGE(""https://docs.google.com/spreadsheets/d/1IYY_tgx_IHuhSq3AJ5eI5OnqOPBNLWSHKh2a30DoXe8/edit?usp=sharing"",""กระบี่!J377"")"),0.0)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IFERROR(__xludf.DUMMYFUNCTION("IMPORTRANGE(""https://docs.google.com/spreadsheets/d/1IYY_tgx_IHuhSq3AJ5eI5OnqOPBNLWSHKh2a30DoXe8/edit?usp=sharing"",""กระบี่!I378"")"),0.0)</f>
        <v>0</v>
      </c>
      <c r="J483" s="223">
        <f>IFERROR(__xludf.DUMMYFUNCTION("IMPORTRANGE(""https://docs.google.com/spreadsheets/d/1IYY_tgx_IHuhSq3AJ5eI5OnqOPBNLWSHKh2a30DoXe8/edit?usp=sharing"",""กระบี่!J378"")"),0.0)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IFERROR(__xludf.DUMMYFUNCTION("IMPORTRANGE(""https://docs.google.com/spreadsheets/d/1IYY_tgx_IHuhSq3AJ5eI5OnqOPBNLWSHKh2a30DoXe8/edit?usp=sharing"",""กระบี่!I379"")"),0.0)</f>
        <v>0</v>
      </c>
      <c r="J484" s="223">
        <f>IFERROR(__xludf.DUMMYFUNCTION("IMPORTRANGE(""https://docs.google.com/spreadsheets/d/1IYY_tgx_IHuhSq3AJ5eI5OnqOPBNLWSHKh2a30DoXe8/edit?usp=sharing"",""กระบี่!J379"")"),0.0)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IFERROR(__xludf.DUMMYFUNCTION("IMPORTRANGE(""https://docs.google.com/spreadsheets/d/1IYY_tgx_IHuhSq3AJ5eI5OnqOPBNLWSHKh2a30DoXe8/edit?usp=sharing"",""กระบี่!I380"")"),0.0)</f>
        <v>0</v>
      </c>
      <c r="J485" s="223">
        <f>IFERROR(__xludf.DUMMYFUNCTION("IMPORTRANGE(""https://docs.google.com/spreadsheets/d/1IYY_tgx_IHuhSq3AJ5eI5OnqOPBNLWSHKh2a30DoXe8/edit?usp=sharing"",""กระบี่!J380"")"),0.0)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IFERROR(__xludf.DUMMYFUNCTION("IMPORTRANGE(""https://docs.google.com/spreadsheets/d/1IYY_tgx_IHuhSq3AJ5eI5OnqOPBNLWSHKh2a30DoXe8/edit?usp=sharing"",""กระบี่!I381"")"),0.0)</f>
        <v>0</v>
      </c>
      <c r="J486" s="223">
        <f>IFERROR(__xludf.DUMMYFUNCTION("IMPORTRANGE(""https://docs.google.com/spreadsheets/d/1IYY_tgx_IHuhSq3AJ5eI5OnqOPBNLWSHKh2a30DoXe8/edit?usp=sharing"",""กระบี่!J381"")"),0.0)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IFERROR(__xludf.DUMMYFUNCTION("IMPORTRANGE(""https://docs.google.com/spreadsheets/d/1IYY_tgx_IHuhSq3AJ5eI5OnqOPBNLWSHKh2a30DoXe8/edit?usp=sharing"",""กระบี่!I382"")"),0.0)</f>
        <v>0</v>
      </c>
      <c r="J487" s="453">
        <f>IFERROR(__xludf.DUMMYFUNCTION("IMPORTRANGE(""https://docs.google.com/spreadsheets/d/1IYY_tgx_IHuhSq3AJ5eI5OnqOPBNLWSHKh2a30DoXe8/edit?usp=sharing"",""กระบี่!J382"")"),0.0)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IFERROR(__xludf.DUMMYFUNCTION("IMPORTRANGE(""https://docs.google.com/spreadsheets/d/1IYY_tgx_IHuhSq3AJ5eI5OnqOPBNLWSHKh2a30DoXe8/edit?usp=sharing"",""กระบี่!I383"")"),0.0)</f>
        <v>0</v>
      </c>
      <c r="J488" s="453">
        <f>IFERROR(__xludf.DUMMYFUNCTION("IMPORTRANGE(""https://docs.google.com/spreadsheets/d/1IYY_tgx_IHuhSq3AJ5eI5OnqOPBNLWSHKh2a30DoXe8/edit?usp=sharing"",""กระบี่!J383"")"),0.0)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IFERROR(__xludf.DUMMYFUNCTION("IMPORTRANGE(""https://docs.google.com/spreadsheets/d/1IYY_tgx_IHuhSq3AJ5eI5OnqOPBNLWSHKh2a30DoXe8/edit?usp=sharing"",""กระบี่!I384"")"),0.0)</f>
        <v>0</v>
      </c>
      <c r="J489" s="223">
        <f>IFERROR(__xludf.DUMMYFUNCTION("IMPORTRANGE(""https://docs.google.com/spreadsheets/d/1IYY_tgx_IHuhSq3AJ5eI5OnqOPBNLWSHKh2a30DoXe8/edit?usp=sharing"",""กระบี่!J384"")"),0.0)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IFERROR(__xludf.DUMMYFUNCTION("IMPORTRANGE(""https://docs.google.com/spreadsheets/d/1IYY_tgx_IHuhSq3AJ5eI5OnqOPBNLWSHKh2a30DoXe8/edit?usp=sharing"",""กระบี่!I385"")"),0.0)</f>
        <v>0</v>
      </c>
      <c r="J490" s="223">
        <f>IFERROR(__xludf.DUMMYFUNCTION("IMPORTRANGE(""https://docs.google.com/spreadsheets/d/1IYY_tgx_IHuhSq3AJ5eI5OnqOPBNLWSHKh2a30DoXe8/edit?usp=sharing"",""กระบี่!J385"")"),0.0)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IFERROR(__xludf.DUMMYFUNCTION("IMPORTRANGE(""https://docs.google.com/spreadsheets/d/1IYY_tgx_IHuhSq3AJ5eI5OnqOPBNLWSHKh2a30DoXe8/edit?usp=sharing"",""กระบี่!I386"")"),0.0)</f>
        <v>0</v>
      </c>
      <c r="J491" s="223">
        <f>IFERROR(__xludf.DUMMYFUNCTION("IMPORTRANGE(""https://docs.google.com/spreadsheets/d/1IYY_tgx_IHuhSq3AJ5eI5OnqOPBNLWSHKh2a30DoXe8/edit?usp=sharing"",""กระบี่!J386"")"),0.0)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IFERROR(__xludf.DUMMYFUNCTION("IMPORTRANGE(""https://docs.google.com/spreadsheets/d/1IYY_tgx_IHuhSq3AJ5eI5OnqOPBNLWSHKh2a30DoXe8/edit?usp=sharing"",""กระบี่!I387"")"),0.0)</f>
        <v>0</v>
      </c>
      <c r="J492" s="223">
        <f>IFERROR(__xludf.DUMMYFUNCTION("IMPORTRANGE(""https://docs.google.com/spreadsheets/d/1IYY_tgx_IHuhSq3AJ5eI5OnqOPBNLWSHKh2a30DoXe8/edit?usp=sharing"",""กระบี่!J387"")"),0.0)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IFERROR(__xludf.DUMMYFUNCTION("IMPORTRANGE(""https://docs.google.com/spreadsheets/d/1IYY_tgx_IHuhSq3AJ5eI5OnqOPBNLWSHKh2a30DoXe8/edit?usp=sharing"",""กระบี่!I388"")"),0.0)</f>
        <v>0</v>
      </c>
      <c r="J493" s="223">
        <f>IFERROR(__xludf.DUMMYFUNCTION("IMPORTRANGE(""https://docs.google.com/spreadsheets/d/1IYY_tgx_IHuhSq3AJ5eI5OnqOPBNLWSHKh2a30DoXe8/edit?usp=sharing"",""กระบี่!J388"")"),0.0)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IFERROR(__xludf.DUMMYFUNCTION("IMPORTRANGE(""https://docs.google.com/spreadsheets/d/1IYY_tgx_IHuhSq3AJ5eI5OnqOPBNLWSHKh2a30DoXe8/edit?usp=sharing"",""กระบี่!I389"")"),0.0)</f>
        <v>0</v>
      </c>
      <c r="J494" s="469">
        <f>IFERROR(__xludf.DUMMYFUNCTION("IMPORTRANGE(""https://docs.google.com/spreadsheets/d/1IYY_tgx_IHuhSq3AJ5eI5OnqOPBNLWSHKh2a30DoXe8/edit?usp=sharing"",""กระบี่!J389"")"),0.0)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IFERROR(__xludf.DUMMYFUNCTION("IMPORTRANGE(""https://docs.google.com/spreadsheets/d/1IYY_tgx_IHuhSq3AJ5eI5OnqOPBNLWSHKh2a30DoXe8/edit?usp=sharing"",""กระบี่!I390"")"),0.0)</f>
        <v>0</v>
      </c>
      <c r="J495" s="469">
        <f>IFERROR(__xludf.DUMMYFUNCTION("IMPORTRANGE(""https://docs.google.com/spreadsheets/d/1IYY_tgx_IHuhSq3AJ5eI5OnqOPBNLWSHKh2a30DoXe8/edit?usp=sharing"",""กระบี่!J390"")"),0.0)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IFERROR(__xludf.DUMMYFUNCTION("IMPORTRANGE(""https://docs.google.com/spreadsheets/d/1IYY_tgx_IHuhSq3AJ5eI5OnqOPBNLWSHKh2a30DoXe8/edit?usp=sharing"",""กระบี่!I391"")"),0.0)</f>
        <v>0</v>
      </c>
      <c r="J496" s="469">
        <f>IFERROR(__xludf.DUMMYFUNCTION("IMPORTRANGE(""https://docs.google.com/spreadsheets/d/1IYY_tgx_IHuhSq3AJ5eI5OnqOPBNLWSHKh2a30DoXe8/edit?usp=sharing"",""กระบี่!J391"")"),0.0)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IFERROR(__xludf.DUMMYFUNCTION("IMPORTRANGE(""https://docs.google.com/spreadsheets/d/1IYY_tgx_IHuhSq3AJ5eI5OnqOPBNLWSHKh2a30DoXe8/edit?usp=sharing"",""กระบี่!I392"")"),0.0)</f>
        <v>0</v>
      </c>
      <c r="J497" s="476">
        <f>IFERROR(__xludf.DUMMYFUNCTION("IMPORTRANGE(""https://docs.google.com/spreadsheets/d/1IYY_tgx_IHuhSq3AJ5eI5OnqOPBNLWSHKh2a30DoXe8/edit?usp=sharing"",""กระบี่!J392"")"),0.0)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IFERROR(__xludf.DUMMYFUNCTION("IMPORTRANGE(""https://docs.google.com/spreadsheets/d/1IYY_tgx_IHuhSq3AJ5eI5OnqOPBNLWSHKh2a30DoXe8/edit?usp=sharing"",""กระบี่!I393"")"),0.0)</f>
        <v>0</v>
      </c>
      <c r="J498" s="453">
        <f>IFERROR(__xludf.DUMMYFUNCTION("IMPORTRANGE(""https://docs.google.com/spreadsheets/d/1IYY_tgx_IHuhSq3AJ5eI5OnqOPBNLWSHKh2a30DoXe8/edit?usp=sharing"",""กระบี่!J393"")"),0.0)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IFERROR(__xludf.DUMMYFUNCTION("IMPORTRANGE(""https://docs.google.com/spreadsheets/d/1IYY_tgx_IHuhSq3AJ5eI5OnqOPBNLWSHKh2a30DoXe8/edit?usp=sharing"",""กระบี่!I394"")"),0.0)</f>
        <v>0</v>
      </c>
      <c r="J499" s="453">
        <f>IFERROR(__xludf.DUMMYFUNCTION("IMPORTRANGE(""https://docs.google.com/spreadsheets/d/1IYY_tgx_IHuhSq3AJ5eI5OnqOPBNLWSHKh2a30DoXe8/edit?usp=sharing"",""กระบี่!J394"")"),0.0)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IFERROR(__xludf.DUMMYFUNCTION("IMPORTRANGE(""https://docs.google.com/spreadsheets/d/1IYY_tgx_IHuhSq3AJ5eI5OnqOPBNLWSHKh2a30DoXe8/edit?usp=sharing"",""กระบี่!I395"")"),0.0)</f>
        <v>0</v>
      </c>
      <c r="J500" s="195">
        <f>IFERROR(__xludf.DUMMYFUNCTION("IMPORTRANGE(""https://docs.google.com/spreadsheets/d/1IYY_tgx_IHuhSq3AJ5eI5OnqOPBNLWSHKh2a30DoXe8/edit?usp=sharing"",""กระบี่!J395"")"),0.0)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IFERROR(__xludf.DUMMYFUNCTION("IMPORTRANGE(""https://docs.google.com/spreadsheets/d/1IYY_tgx_IHuhSq3AJ5eI5OnqOPBNLWSHKh2a30DoXe8/edit?usp=sharing"",""กระบี่!I396"")"),0.0)</f>
        <v>0</v>
      </c>
      <c r="J501" s="195">
        <f>IFERROR(__xludf.DUMMYFUNCTION("IMPORTRANGE(""https://docs.google.com/spreadsheets/d/1IYY_tgx_IHuhSq3AJ5eI5OnqOPBNLWSHKh2a30DoXe8/edit?usp=sharing"",""กระบี่!J396"")"),0.0)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IFERROR(__xludf.DUMMYFUNCTION("IMPORTRANGE(""https://docs.google.com/spreadsheets/d/1IYY_tgx_IHuhSq3AJ5eI5OnqOPBNLWSHKh2a30DoXe8/edit?usp=sharing"",""กระบี่!I397"")"),0.0)</f>
        <v>0</v>
      </c>
      <c r="J502" s="223">
        <f>IFERROR(__xludf.DUMMYFUNCTION("IMPORTRANGE(""https://docs.google.com/spreadsheets/d/1IYY_tgx_IHuhSq3AJ5eI5OnqOPBNLWSHKh2a30DoXe8/edit?usp=sharing"",""กระบี่!J397"")"),0.0)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IFERROR(__xludf.DUMMYFUNCTION("IMPORTRANGE(""https://docs.google.com/spreadsheets/d/1IYY_tgx_IHuhSq3AJ5eI5OnqOPBNLWSHKh2a30DoXe8/edit?usp=sharing"",""กระบี่!I398"")"),0.0)</f>
        <v>0</v>
      </c>
      <c r="J503" s="232">
        <f>IFERROR(__xludf.DUMMYFUNCTION("IMPORTRANGE(""https://docs.google.com/spreadsheets/d/1IYY_tgx_IHuhSq3AJ5eI5OnqOPBNLWSHKh2a30DoXe8/edit?usp=sharing"",""กระบี่!J398"")"),0.0)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IFERROR(__xludf.DUMMYFUNCTION("IMPORTRANGE(""https://docs.google.com/spreadsheets/d/1IYY_tgx_IHuhSq3AJ5eI5OnqOPBNLWSHKh2a30DoXe8/edit?usp=sharing"",""กระบี่!I399"")"),0.0)</f>
        <v>0</v>
      </c>
      <c r="J504" s="223">
        <f>IFERROR(__xludf.DUMMYFUNCTION("IMPORTRANGE(""https://docs.google.com/spreadsheets/d/1IYY_tgx_IHuhSq3AJ5eI5OnqOPBNLWSHKh2a30DoXe8/edit?usp=sharing"",""กระบี่!J399"")"),0.0)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IFERROR(__xludf.DUMMYFUNCTION("IMPORTRANGE(""https://docs.google.com/spreadsheets/d/1IYY_tgx_IHuhSq3AJ5eI5OnqOPBNLWSHKh2a30DoXe8/edit?usp=sharing"",""กระบี่!I400"")"),0.0)</f>
        <v>0</v>
      </c>
      <c r="J505" s="232">
        <f>IFERROR(__xludf.DUMMYFUNCTION("IMPORTRANGE(""https://docs.google.com/spreadsheets/d/1IYY_tgx_IHuhSq3AJ5eI5OnqOPBNLWSHKh2a30DoXe8/edit?usp=sharing"",""กระบี่!J400"")"),0.0)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IFERROR(__xludf.DUMMYFUNCTION("IMPORTRANGE(""https://docs.google.com/spreadsheets/d/1IYY_tgx_IHuhSq3AJ5eI5OnqOPBNLWSHKh2a30DoXe8/edit?usp=sharing"",""กระบี่!I401"")"),0.0)</f>
        <v>0</v>
      </c>
      <c r="J506" s="223">
        <f>IFERROR(__xludf.DUMMYFUNCTION("IMPORTRANGE(""https://docs.google.com/spreadsheets/d/1IYY_tgx_IHuhSq3AJ5eI5OnqOPBNLWSHKh2a30DoXe8/edit?usp=sharing"",""กระบี่!J401"")"),0.0)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IFERROR(__xludf.DUMMYFUNCTION("IMPORTRANGE(""https://docs.google.com/spreadsheets/d/1IYY_tgx_IHuhSq3AJ5eI5OnqOPBNLWSHKh2a30DoXe8/edit?usp=sharing"",""กระบี่!I402"")"),0.0)</f>
        <v>0</v>
      </c>
      <c r="J507" s="232">
        <f>IFERROR(__xludf.DUMMYFUNCTION("IMPORTRANGE(""https://docs.google.com/spreadsheets/d/1IYY_tgx_IHuhSq3AJ5eI5OnqOPBNLWSHKh2a30DoXe8/edit?usp=sharing"",""กระบี่!J402"")"),0.0)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IFERROR(__xludf.DUMMYFUNCTION("IMPORTRANGE(""https://docs.google.com/spreadsheets/d/1IYY_tgx_IHuhSq3AJ5eI5OnqOPBNLWSHKh2a30DoXe8/edit?usp=sharing"",""กระบี่!I403"")"),0.0)</f>
        <v>0</v>
      </c>
      <c r="J508" s="195">
        <f>IFERROR(__xludf.DUMMYFUNCTION("IMPORTRANGE(""https://docs.google.com/spreadsheets/d/1IYY_tgx_IHuhSq3AJ5eI5OnqOPBNLWSHKh2a30DoXe8/edit?usp=sharing"",""กระบี่!J403"")"),0.0)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IFERROR(__xludf.DUMMYFUNCTION("IMPORTRANGE(""https://docs.google.com/spreadsheets/d/1IYY_tgx_IHuhSq3AJ5eI5OnqOPBNLWSHKh2a30DoXe8/edit?usp=sharing"",""กระบี่!I404"")"),0.0)</f>
        <v>0</v>
      </c>
      <c r="J509" s="195">
        <f>IFERROR(__xludf.DUMMYFUNCTION("IMPORTRANGE(""https://docs.google.com/spreadsheets/d/1IYY_tgx_IHuhSq3AJ5eI5OnqOPBNLWSHKh2a30DoXe8/edit?usp=sharing"",""กระบี่!J404"")"),0.0)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IFERROR(__xludf.DUMMYFUNCTION("IMPORTRANGE(""https://docs.google.com/spreadsheets/d/1IYY_tgx_IHuhSq3AJ5eI5OnqOPBNLWSHKh2a30DoXe8/edit?usp=sharing"",""กระบี่!I405"")"),0.0)</f>
        <v>0</v>
      </c>
      <c r="J510" s="232">
        <f>IFERROR(__xludf.DUMMYFUNCTION("IMPORTRANGE(""https://docs.google.com/spreadsheets/d/1IYY_tgx_IHuhSq3AJ5eI5OnqOPBNLWSHKh2a30DoXe8/edit?usp=sharing"",""กระบี่!J405"")"),0.0)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IFERROR(__xludf.DUMMYFUNCTION("IMPORTRANGE(""https://docs.google.com/spreadsheets/d/1IYY_tgx_IHuhSq3AJ5eI5OnqOPBNLWSHKh2a30DoXe8/edit?usp=sharing"",""กระบี่!I406"")"),0.0)</f>
        <v>0</v>
      </c>
      <c r="J511" s="232">
        <f>IFERROR(__xludf.DUMMYFUNCTION("IMPORTRANGE(""https://docs.google.com/spreadsheets/d/1IYY_tgx_IHuhSq3AJ5eI5OnqOPBNLWSHKh2a30DoXe8/edit?usp=sharing"",""กระบี่!J406"")"),0.0)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IFERROR(__xludf.DUMMYFUNCTION("IMPORTRANGE(""https://docs.google.com/spreadsheets/d/1IYY_tgx_IHuhSq3AJ5eI5OnqOPBNLWSHKh2a30DoXe8/edit?usp=sharing"",""กระบี่!I407"")"),0.0)</f>
        <v>0</v>
      </c>
      <c r="J512" s="232">
        <f>IFERROR(__xludf.DUMMYFUNCTION("IMPORTRANGE(""https://docs.google.com/spreadsheets/d/1IYY_tgx_IHuhSq3AJ5eI5OnqOPBNLWSHKh2a30DoXe8/edit?usp=sharing"",""กระบี่!J407"")"),0.0)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IFERROR(__xludf.DUMMYFUNCTION("IMPORTRANGE(""https://docs.google.com/spreadsheets/d/1IYY_tgx_IHuhSq3AJ5eI5OnqOPBNLWSHKh2a30DoXe8/edit?usp=sharing"",""กระบี่!I408"")"),0.0)</f>
        <v>0</v>
      </c>
      <c r="J513" s="232">
        <f>IFERROR(__xludf.DUMMYFUNCTION("IMPORTRANGE(""https://docs.google.com/spreadsheets/d/1IYY_tgx_IHuhSq3AJ5eI5OnqOPBNLWSHKh2a30DoXe8/edit?usp=sharing"",""กระบี่!J408"")"),0.0)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IFERROR(__xludf.DUMMYFUNCTION("IMPORTRANGE(""https://docs.google.com/spreadsheets/d/1IYY_tgx_IHuhSq3AJ5eI5OnqOPBNLWSHKh2a30DoXe8/edit?usp=sharing"",""กระบี่!I409"")"),0.0)</f>
        <v>0</v>
      </c>
      <c r="J514" s="232">
        <f>IFERROR(__xludf.DUMMYFUNCTION("IMPORTRANGE(""https://docs.google.com/spreadsheets/d/1IYY_tgx_IHuhSq3AJ5eI5OnqOPBNLWSHKh2a30DoXe8/edit?usp=sharing"",""กระบี่!J409"")"),0.0)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IFERROR(__xludf.DUMMYFUNCTION("IMPORTRANGE(""https://docs.google.com/spreadsheets/d/1IYY_tgx_IHuhSq3AJ5eI5OnqOPBNLWSHKh2a30DoXe8/edit?usp=sharing"",""กระบี่!I410"")"),0.0)</f>
        <v>0</v>
      </c>
      <c r="J515" s="232">
        <f>IFERROR(__xludf.DUMMYFUNCTION("IMPORTRANGE(""https://docs.google.com/spreadsheets/d/1IYY_tgx_IHuhSq3AJ5eI5OnqOPBNLWSHKh2a30DoXe8/edit?usp=sharing"",""กระบี่!J410"")"),0.0)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IFERROR(__xludf.DUMMYFUNCTION("IMPORTRANGE(""https://docs.google.com/spreadsheets/d/1IYY_tgx_IHuhSq3AJ5eI5OnqOPBNLWSHKh2a30DoXe8/edit?usp=sharing"",""กระบี่!I411"")"),0.0)</f>
        <v>0</v>
      </c>
      <c r="J516" s="301">
        <f>IFERROR(__xludf.DUMMYFUNCTION("IMPORTRANGE(""https://docs.google.com/spreadsheets/d/1IYY_tgx_IHuhSq3AJ5eI5OnqOPBNLWSHKh2a30DoXe8/edit?usp=sharing"",""กระบี่!J411"")"),0.0)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IFERROR(__xludf.DUMMYFUNCTION("IMPORTRANGE(""https://docs.google.com/spreadsheets/d/1IYY_tgx_IHuhSq3AJ5eI5OnqOPBNLWSHKh2a30DoXe8/edit?usp=sharing"",""กระบี่!I412"")"),0.0)</f>
        <v>0</v>
      </c>
      <c r="J517" s="317">
        <f>IFERROR(__xludf.DUMMYFUNCTION("IMPORTRANGE(""https://docs.google.com/spreadsheets/d/1IYY_tgx_IHuhSq3AJ5eI5OnqOPBNLWSHKh2a30DoXe8/edit?usp=sharing"",""กระบี่!J412"")"),0.0)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IFERROR(__xludf.DUMMYFUNCTION("IMPORTRANGE(""https://docs.google.com/spreadsheets/d/1IYY_tgx_IHuhSq3AJ5eI5OnqOPBNLWSHKh2a30DoXe8/edit?usp=sharing"",""กระบี่!I413"")"),0.0)</f>
        <v>0</v>
      </c>
      <c r="J518" s="317">
        <f>IFERROR(__xludf.DUMMYFUNCTION("IMPORTRANGE(""https://docs.google.com/spreadsheets/d/1IYY_tgx_IHuhSq3AJ5eI5OnqOPBNLWSHKh2a30DoXe8/edit?usp=sharing"",""กระบี่!J413"")"),0.0)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IFERROR(__xludf.DUMMYFUNCTION("IMPORTRANGE(""https://docs.google.com/spreadsheets/d/1IYY_tgx_IHuhSq3AJ5eI5OnqOPBNLWSHKh2a30DoXe8/edit?usp=sharing"",""กระบี่!I414"")"),0.0)</f>
        <v>0</v>
      </c>
      <c r="J519" s="222">
        <f>IFERROR(__xludf.DUMMYFUNCTION("IMPORTRANGE(""https://docs.google.com/spreadsheets/d/1IYY_tgx_IHuhSq3AJ5eI5OnqOPBNLWSHKh2a30DoXe8/edit?usp=sharing"",""กระบี่!J414"")"),0.0)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IFERROR(__xludf.DUMMYFUNCTION("IMPORTRANGE(""https://docs.google.com/spreadsheets/d/1IYY_tgx_IHuhSq3AJ5eI5OnqOPBNLWSHKh2a30DoXe8/edit?usp=sharing"",""กระบี่!I415"")"),0.0)</f>
        <v>0</v>
      </c>
      <c r="J520" s="222">
        <f>IFERROR(__xludf.DUMMYFUNCTION("IMPORTRANGE(""https://docs.google.com/spreadsheets/d/1IYY_tgx_IHuhSq3AJ5eI5OnqOPBNLWSHKh2a30DoXe8/edit?usp=sharing"",""กระบี่!J415"")"),0.0)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IFERROR(__xludf.DUMMYFUNCTION("IMPORTRANGE(""https://docs.google.com/spreadsheets/d/1IYY_tgx_IHuhSq3AJ5eI5OnqOPBNLWSHKh2a30DoXe8/edit?usp=sharing"",""กระบี่!I416"")"),0.0)</f>
        <v>0</v>
      </c>
      <c r="J521" s="222">
        <f>IFERROR(__xludf.DUMMYFUNCTION("IMPORTRANGE(""https://docs.google.com/spreadsheets/d/1IYY_tgx_IHuhSq3AJ5eI5OnqOPBNLWSHKh2a30DoXe8/edit?usp=sharing"",""กระบี่!J416"")"),0.0)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IFERROR(__xludf.DUMMYFUNCTION("IMPORTRANGE(""https://docs.google.com/spreadsheets/d/1IYY_tgx_IHuhSq3AJ5eI5OnqOPBNLWSHKh2a30DoXe8/edit?usp=sharing"",""กระบี่!I417"")"),0.0)</f>
        <v>0</v>
      </c>
      <c r="J522" s="222">
        <f>IFERROR(__xludf.DUMMYFUNCTION("IMPORTRANGE(""https://docs.google.com/spreadsheets/d/1IYY_tgx_IHuhSq3AJ5eI5OnqOPBNLWSHKh2a30DoXe8/edit?usp=sharing"",""กระบี่!J417"")"),0.0)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IFERROR(__xludf.DUMMYFUNCTION("IMPORTRANGE(""https://docs.google.com/spreadsheets/d/1IYY_tgx_IHuhSq3AJ5eI5OnqOPBNLWSHKh2a30DoXe8/edit?usp=sharing"",""กระบี่!I418"")"),0.0)</f>
        <v>0</v>
      </c>
      <c r="J523" s="222">
        <f>IFERROR(__xludf.DUMMYFUNCTION("IMPORTRANGE(""https://docs.google.com/spreadsheets/d/1IYY_tgx_IHuhSq3AJ5eI5OnqOPBNLWSHKh2a30DoXe8/edit?usp=sharing"",""กระบี่!J418"")"),0.0)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IFERROR(__xludf.DUMMYFUNCTION("IMPORTRANGE(""https://docs.google.com/spreadsheets/d/1IYY_tgx_IHuhSq3AJ5eI5OnqOPBNLWSHKh2a30DoXe8/edit?usp=sharing"",""กระบี่!I419"")"),0.0)</f>
        <v>0</v>
      </c>
      <c r="J524" s="222">
        <f>IFERROR(__xludf.DUMMYFUNCTION("IMPORTRANGE(""https://docs.google.com/spreadsheets/d/1IYY_tgx_IHuhSq3AJ5eI5OnqOPBNLWSHKh2a30DoXe8/edit?usp=sharing"",""กระบี่!J419"")"),0.0)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IFERROR(__xludf.DUMMYFUNCTION("IMPORTRANGE(""https://docs.google.com/spreadsheets/d/1IYY_tgx_IHuhSq3AJ5eI5OnqOPBNLWSHKh2a30DoXe8/edit?usp=sharing"",""กระบี่!I420"")"),0.0)</f>
        <v>0</v>
      </c>
      <c r="J525" s="317">
        <f>IFERROR(__xludf.DUMMYFUNCTION("IMPORTRANGE(""https://docs.google.com/spreadsheets/d/1IYY_tgx_IHuhSq3AJ5eI5OnqOPBNLWSHKh2a30DoXe8/edit?usp=sharing"",""กระบี่!J420"")"),0.0)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IFERROR(__xludf.DUMMYFUNCTION("IMPORTRANGE(""https://docs.google.com/spreadsheets/d/1IYY_tgx_IHuhSq3AJ5eI5OnqOPBNLWSHKh2a30DoXe8/edit?usp=sharing"",""กระบี่!I421"")"),0.0)</f>
        <v>0</v>
      </c>
      <c r="J526" s="317">
        <f>IFERROR(__xludf.DUMMYFUNCTION("IMPORTRANGE(""https://docs.google.com/spreadsheets/d/1IYY_tgx_IHuhSq3AJ5eI5OnqOPBNLWSHKh2a30DoXe8/edit?usp=sharing"",""กระบี่!J421"")"),0.0)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IFERROR(__xludf.DUMMYFUNCTION("IMPORTRANGE(""https://docs.google.com/spreadsheets/d/1IYY_tgx_IHuhSq3AJ5eI5OnqOPBNLWSHKh2a30DoXe8/edit?usp=sharing"",""กระบี่!I422"")"),0.0)</f>
        <v>0</v>
      </c>
      <c r="J527" s="232">
        <f>IFERROR(__xludf.DUMMYFUNCTION("IMPORTRANGE(""https://docs.google.com/spreadsheets/d/1IYY_tgx_IHuhSq3AJ5eI5OnqOPBNLWSHKh2a30DoXe8/edit?usp=sharing"",""กระบี่!J422"")"),0.0)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IFERROR(__xludf.DUMMYFUNCTION("IMPORTRANGE(""https://docs.google.com/spreadsheets/d/1IYY_tgx_IHuhSq3AJ5eI5OnqOPBNLWSHKh2a30DoXe8/edit?usp=sharing"",""กระบี่!I423"")"),0.0)</f>
        <v>0</v>
      </c>
      <c r="J528" s="232">
        <f>IFERROR(__xludf.DUMMYFUNCTION("IMPORTRANGE(""https://docs.google.com/spreadsheets/d/1IYY_tgx_IHuhSq3AJ5eI5OnqOPBNLWSHKh2a30DoXe8/edit?usp=sharing"",""กระบี่!J423"")"),0.0)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IFERROR(__xludf.DUMMYFUNCTION("IMPORTRANGE(""https://docs.google.com/spreadsheets/d/1IYY_tgx_IHuhSq3AJ5eI5OnqOPBNLWSHKh2a30DoXe8/edit?usp=sharing"",""กระบี่!I424"")"),0.0)</f>
        <v>0</v>
      </c>
      <c r="J529" s="232">
        <f>IFERROR(__xludf.DUMMYFUNCTION("IMPORTRANGE(""https://docs.google.com/spreadsheets/d/1IYY_tgx_IHuhSq3AJ5eI5OnqOPBNLWSHKh2a30DoXe8/edit?usp=sharing"",""กระบี่!J424"")"),0.0)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IFERROR(__xludf.DUMMYFUNCTION("IMPORTRANGE(""https://docs.google.com/spreadsheets/d/1IYY_tgx_IHuhSq3AJ5eI5OnqOPBNLWSHKh2a30DoXe8/edit?usp=sharing"",""กระบี่!I425"")"),0.0)</f>
        <v>0</v>
      </c>
      <c r="J530" s="232">
        <f>IFERROR(__xludf.DUMMYFUNCTION("IMPORTRANGE(""https://docs.google.com/spreadsheets/d/1IYY_tgx_IHuhSq3AJ5eI5OnqOPBNLWSHKh2a30DoXe8/edit?usp=sharing"",""กระบี่!J425"")"),0.0)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IFERROR(__xludf.DUMMYFUNCTION("IMPORTRANGE(""https://docs.google.com/spreadsheets/d/1IYY_tgx_IHuhSq3AJ5eI5OnqOPBNLWSHKh2a30DoXe8/edit?usp=sharing"",""กระบี่!I426"")"),0.0)</f>
        <v>0</v>
      </c>
      <c r="J531" s="232">
        <f>IFERROR(__xludf.DUMMYFUNCTION("IMPORTRANGE(""https://docs.google.com/spreadsheets/d/1IYY_tgx_IHuhSq3AJ5eI5OnqOPBNLWSHKh2a30DoXe8/edit?usp=sharing"",""กระบี่!J426"")"),0.0)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IFERROR(__xludf.DUMMYFUNCTION("IMPORTRANGE(""https://docs.google.com/spreadsheets/d/1IYY_tgx_IHuhSq3AJ5eI5OnqOPBNLWSHKh2a30DoXe8/edit?usp=sharing"",""กระบี่!I427"")"),0.0)</f>
        <v>0</v>
      </c>
      <c r="J532" s="499">
        <f>IFERROR(__xludf.DUMMYFUNCTION("IMPORTRANGE(""https://docs.google.com/spreadsheets/d/1IYY_tgx_IHuhSq3AJ5eI5OnqOPBNLWSHKh2a30DoXe8/edit?usp=sharing"",""กระบี่!J427"")"),0.0)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IFERROR(__xludf.DUMMYFUNCTION("IMPORTRANGE(""https://docs.google.com/spreadsheets/d/1IYY_tgx_IHuhSq3AJ5eI5OnqOPBNLWSHKh2a30DoXe8/edit?usp=sharing"",""กระบี่!I428"")"),22.0)</f>
        <v>22</v>
      </c>
      <c r="J533" s="443">
        <f>IFERROR(__xludf.DUMMYFUNCTION("IMPORTRANGE(""https://docs.google.com/spreadsheets/d/1IYY_tgx_IHuhSq3AJ5eI5OnqOPBNLWSHKh2a30DoXe8/edit?usp=sharing"",""กระบี่!J428"")"),0.0)</f>
        <v>0</v>
      </c>
      <c r="K533" s="444">
        <f>IF(I533&gt;0,J533*100/I533,0)</f>
        <v>0</v>
      </c>
      <c r="L533" s="445">
        <f>IFERROR(__xludf.DUMMYFUNCTION("IMPORTRANGE(""https://docs.google.com/spreadsheets/d/1IYY_tgx_IHuhSq3AJ5eI5OnqOPBNLWSHKh2a30DoXe8/edit?usp=sharing"",""กระบี่!L428"")"),34340.0)</f>
        <v>34340</v>
      </c>
      <c r="M533" s="445"/>
      <c r="N533" s="445">
        <f>IFERROR(__xludf.DUMMYFUNCTION("IMPORTRANGE(""https://docs.google.com/spreadsheets/d/1IYY_tgx_IHuhSq3AJ5eI5OnqOPBNLWSHKh2a30DoXe8/edit?usp=sharing"",""กระบี่!M428"")"),1960.0)</f>
        <v>1960</v>
      </c>
      <c r="O533" s="445">
        <f t="shared" ref="O533:O537" si="119">+IF(L533&gt;0,N533*100/L533,0)</f>
        <v>5.707629586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IFERROR(__xludf.DUMMYFUNCTION("IMPORTRANGE(""https://docs.google.com/spreadsheets/d/1IYY_tgx_IHuhSq3AJ5eI5OnqOPBNLWSHKh2a30DoXe8/edit?usp=sharing"",""กระบี่!L429"")"),0.0)</f>
        <v>0</v>
      </c>
      <c r="M534" s="197"/>
      <c r="N534" s="203">
        <f>IFERROR(__xludf.DUMMYFUNCTION("IMPORTRANGE(""https://docs.google.com/spreadsheets/d/1IYY_tgx_IHuhSq3AJ5eI5OnqOPBNLWSHKh2a30DoXe8/edit?usp=sharing"",""กระบี่!M429"")"),0.0)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IFERROR(__xludf.DUMMYFUNCTION("IMPORTRANGE(""https://docs.google.com/spreadsheets/d/1IYY_tgx_IHuhSq3AJ5eI5OnqOPBNLWSHKh2a30DoXe8/edit?usp=sharing"",""กระบี่!L430"")"),34340.0)</f>
        <v>34340</v>
      </c>
      <c r="M535" s="198"/>
      <c r="N535" s="203">
        <f>IFERROR(__xludf.DUMMYFUNCTION("IMPORTRANGE(""https://docs.google.com/spreadsheets/d/1IYY_tgx_IHuhSq3AJ5eI5OnqOPBNLWSHKh2a30DoXe8/edit?usp=sharing"",""กระบี่!M430"")"),1960.0)</f>
        <v>1960</v>
      </c>
      <c r="O535" s="203">
        <f t="shared" si="119"/>
        <v>5.707629586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IFERROR(__xludf.DUMMYFUNCTION("IMPORTRANGE(""https://docs.google.com/spreadsheets/d/1IYY_tgx_IHuhSq3AJ5eI5OnqOPBNLWSHKh2a30DoXe8/edit?usp=sharing"",""กระบี่!L431"")"),0.0)</f>
        <v>0</v>
      </c>
      <c r="M536" s="203"/>
      <c r="N536" s="203">
        <f>IFERROR(__xludf.DUMMYFUNCTION("IMPORTRANGE(""https://docs.google.com/spreadsheets/d/1IYY_tgx_IHuhSq3AJ5eI5OnqOPBNLWSHKh2a30DoXe8/edit?usp=sharing"",""กระบี่!M431"")"),0.0)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IFERROR(__xludf.DUMMYFUNCTION("IMPORTRANGE(""https://docs.google.com/spreadsheets/d/1IYY_tgx_IHuhSq3AJ5eI5OnqOPBNLWSHKh2a30DoXe8/edit?usp=sharing"",""กระบี่!L432"")"),34340.0)</f>
        <v>34340</v>
      </c>
      <c r="M537" s="203"/>
      <c r="N537" s="203">
        <f>IFERROR(__xludf.DUMMYFUNCTION("IMPORTRANGE(""https://docs.google.com/spreadsheets/d/1IYY_tgx_IHuhSq3AJ5eI5OnqOPBNLWSHKh2a30DoXe8/edit?usp=sharing"",""กระบี่!M432"")"),1960.0)</f>
        <v>1960</v>
      </c>
      <c r="O537" s="203">
        <f t="shared" si="119"/>
        <v>5.707629586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IFERROR(__xludf.DUMMYFUNCTION("IMPORTRANGE(""https://docs.google.com/spreadsheets/d/1IYY_tgx_IHuhSq3AJ5eI5OnqOPBNLWSHKh2a30DoXe8/edit?usp=sharing"",""กระบี่!M433"")"),0.0)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IFERROR(__xludf.DUMMYFUNCTION("IMPORTRANGE(""https://docs.google.com/spreadsheets/d/1IYY_tgx_IHuhSq3AJ5eI5OnqOPBNLWSHKh2a30DoXe8/edit?usp=sharing"",""กระบี่!M434"")"),0.0)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IFERROR(__xludf.DUMMYFUNCTION("IMPORTRANGE(""https://docs.google.com/spreadsheets/d/1IYY_tgx_IHuhSq3AJ5eI5OnqOPBNLWSHKh2a30DoXe8/edit?usp=sharing"",""กระบี่!M435"")"),0.0)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IFERROR(__xludf.DUMMYFUNCTION("IMPORTRANGE(""https://docs.google.com/spreadsheets/d/1IYY_tgx_IHuhSq3AJ5eI5OnqOPBNLWSHKh2a30DoXe8/edit?usp=sharing"",""กระบี่!M436"")"),1960.0)</f>
        <v>1960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IFERROR(__xludf.DUMMYFUNCTION("IMPORTRANGE(""https://docs.google.com/spreadsheets/d/1IYY_tgx_IHuhSq3AJ5eI5OnqOPBNLWSHKh2a30DoXe8/edit?usp=sharing"",""กระบี่!J438"")"),0.0)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IFERROR(__xludf.DUMMYFUNCTION("IMPORTRANGE(""https://docs.google.com/spreadsheets/d/1IYY_tgx_IHuhSq3AJ5eI5OnqOPBNLWSHKh2a30DoXe8/edit?usp=sharing"",""กระบี่!J439"")"),1.0)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IFERROR(__xludf.DUMMYFUNCTION("IMPORTRANGE(""https://docs.google.com/spreadsheets/d/1IYY_tgx_IHuhSq3AJ5eI5OnqOPBNLWSHKh2a30DoXe8/edit?usp=sharing"",""กระบี่!J440"")"),1.0)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IFERROR(__xludf.DUMMYFUNCTION("IMPORTRANGE(""https://docs.google.com/spreadsheets/d/1IYY_tgx_IHuhSq3AJ5eI5OnqOPBNLWSHKh2a30DoXe8/edit?usp=sharing"",""กระบี่!J441"")"),1.0)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IFERROR(__xludf.DUMMYFUNCTION("IMPORTRANGE(""https://docs.google.com/spreadsheets/d/1IYY_tgx_IHuhSq3AJ5eI5OnqOPBNLWSHKh2a30DoXe8/edit?usp=sharing"",""กระบี่!I442"")"),22.0)</f>
        <v>22</v>
      </c>
      <c r="J547" s="223">
        <f>IFERROR(__xludf.DUMMYFUNCTION("IMPORTRANGE(""https://docs.google.com/spreadsheets/d/1IYY_tgx_IHuhSq3AJ5eI5OnqOPBNLWSHKh2a30DoXe8/edit?usp=sharing"",""กระบี่!J442"")"),0.0)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IFERROR(__xludf.DUMMYFUNCTION("IMPORTRANGE(""https://docs.google.com/spreadsheets/d/1IYY_tgx_IHuhSq3AJ5eI5OnqOPBNLWSHKh2a30DoXe8/edit?usp=sharing"",""กระบี่!J166"")"),0.0)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IFERROR(__xludf.DUMMYFUNCTION("IMPORTRANGE(""https://docs.google.com/spreadsheets/d/1IYY_tgx_IHuhSq3AJ5eI5OnqOPBNLWSHKh2a30DoXe8/edit?usp=sharing"",""กระบี่!J444"")"),0.0)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IFERROR(__xludf.DUMMYFUNCTION("IMPORTRANGE(""https://docs.google.com/spreadsheets/d/1IYY_tgx_IHuhSq3AJ5eI5OnqOPBNLWSHKh2a30DoXe8/edit?usp=sharing"",""กระบี่!J445"")"),0.0)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IFERROR(__xludf.DUMMYFUNCTION("IMPORTRANGE(""https://docs.google.com/spreadsheets/d/1IYY_tgx_IHuhSq3AJ5eI5OnqOPBNLWSHKh2a30DoXe8/edit?usp=sharing"",""กระบี่!I446"")"),0.0)</f>
        <v>0</v>
      </c>
      <c r="J551" s="443">
        <f>IFERROR(__xludf.DUMMYFUNCTION("IMPORTRANGE(""https://docs.google.com/spreadsheets/d/1IYY_tgx_IHuhSq3AJ5eI5OnqOPBNLWSHKh2a30DoXe8/edit?usp=sharing"",""กระบี่!J446"")"),0.0)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IFERROR(__xludf.DUMMYFUNCTION("IMPORTRANGE(""https://docs.google.com/spreadsheets/d/1IYY_tgx_IHuhSq3AJ5eI5OnqOPBNLWSHKh2a30DoXe8/edit?usp=sharing"",""กระบี่!L446"")"),0.0)</f>
        <v>0</v>
      </c>
      <c r="M551" s="445"/>
      <c r="N551" s="445">
        <f>IFERROR(__xludf.DUMMYFUNCTION("IMPORTRANGE(""https://docs.google.com/spreadsheets/d/1IYY_tgx_IHuhSq3AJ5eI5OnqOPBNLWSHKh2a30DoXe8/edit?usp=sharing"",""กระบี่!M446"")"),0.0)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IFERROR(__xludf.DUMMYFUNCTION("IMPORTRANGE(""https://docs.google.com/spreadsheets/d/1IYY_tgx_IHuhSq3AJ5eI5OnqOPBNLWSHKh2a30DoXe8/edit?usp=sharing"",""กระบี่!L447"")"),0.0)</f>
        <v>0</v>
      </c>
      <c r="M552" s="197"/>
      <c r="N552" s="203">
        <f>IFERROR(__xludf.DUMMYFUNCTION("IMPORTRANGE(""https://docs.google.com/spreadsheets/d/1IYY_tgx_IHuhSq3AJ5eI5OnqOPBNLWSHKh2a30DoXe8/edit?usp=sharing"",""กระบี่!M447"")"),0.0)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IFERROR(__xludf.DUMMYFUNCTION("IMPORTRANGE(""https://docs.google.com/spreadsheets/d/1IYY_tgx_IHuhSq3AJ5eI5OnqOPBNLWSHKh2a30DoXe8/edit?usp=sharing"",""กระบี่!L448"")"),0.0)</f>
        <v>0</v>
      </c>
      <c r="M553" s="198"/>
      <c r="N553" s="203">
        <f>IFERROR(__xludf.DUMMYFUNCTION("IMPORTRANGE(""https://docs.google.com/spreadsheets/d/1IYY_tgx_IHuhSq3AJ5eI5OnqOPBNLWSHKh2a30DoXe8/edit?usp=sharing"",""กระบี่!M448"")"),0.0)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IFERROR(__xludf.DUMMYFUNCTION("IMPORTRANGE(""https://docs.google.com/spreadsheets/d/1IYY_tgx_IHuhSq3AJ5eI5OnqOPBNLWSHKh2a30DoXe8/edit?usp=sharing"",""กระบี่!L449"")"),0.0)</f>
        <v>0</v>
      </c>
      <c r="M554" s="203"/>
      <c r="N554" s="203">
        <f>IFERROR(__xludf.DUMMYFUNCTION("IMPORTRANGE(""https://docs.google.com/spreadsheets/d/1IYY_tgx_IHuhSq3AJ5eI5OnqOPBNLWSHKh2a30DoXe8/edit?usp=sharing"",""กระบี่!M449"")"),0.0)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IFERROR(__xludf.DUMMYFUNCTION("IMPORTRANGE(""https://docs.google.com/spreadsheets/d/1IYY_tgx_IHuhSq3AJ5eI5OnqOPBNLWSHKh2a30DoXe8/edit?usp=sharing"",""กระบี่!L450"")"),0.0)</f>
        <v>0</v>
      </c>
      <c r="M555" s="203"/>
      <c r="N555" s="203">
        <f>IFERROR(__xludf.DUMMYFUNCTION("IMPORTRANGE(""https://docs.google.com/spreadsheets/d/1IYY_tgx_IHuhSq3AJ5eI5OnqOPBNLWSHKh2a30DoXe8/edit?usp=sharing"",""กระบี่!M450"")"),0.0)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IFERROR(__xludf.DUMMYFUNCTION("IMPORTRANGE(""https://docs.google.com/spreadsheets/d/1IYY_tgx_IHuhSq3AJ5eI5OnqOPBNLWSHKh2a30DoXe8/edit?usp=sharing"",""กระบี่!M451"")"),0.0)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IFERROR(__xludf.DUMMYFUNCTION("IMPORTRANGE(""https://docs.google.com/spreadsheets/d/1IYY_tgx_IHuhSq3AJ5eI5OnqOPBNLWSHKh2a30DoXe8/edit?usp=sharing"",""กระบี่!M452"")"),0.0)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IFERROR(__xludf.DUMMYFUNCTION("IMPORTRANGE(""https://docs.google.com/spreadsheets/d/1IYY_tgx_IHuhSq3AJ5eI5OnqOPBNLWSHKh2a30DoXe8/edit?usp=sharing"",""กระบี่!M453"")"),0.0)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IFERROR(__xludf.DUMMYFUNCTION("IMPORTRANGE(""https://docs.google.com/spreadsheets/d/1IYY_tgx_IHuhSq3AJ5eI5OnqOPBNLWSHKh2a30DoXe8/edit?usp=sharing"",""กระบี่!M454"")"),0.0)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IFERROR(__xludf.DUMMYFUNCTION("IMPORTRANGE(""https://docs.google.com/spreadsheets/d/1IYY_tgx_IHuhSq3AJ5eI5OnqOPBNLWSHKh2a30DoXe8/edit?usp=sharing"",""กระบี่!I455"")"),0.0)</f>
        <v>0</v>
      </c>
      <c r="J560" s="195">
        <f>IFERROR(__xludf.DUMMYFUNCTION("IMPORTRANGE(""https://docs.google.com/spreadsheets/d/1IYY_tgx_IHuhSq3AJ5eI5OnqOPBNLWSHKh2a30DoXe8/edit?usp=sharing"",""กระบี่!J455"")"),0.0)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IFERROR(__xludf.DUMMYFUNCTION("IMPORTRANGE(""https://docs.google.com/spreadsheets/d/1IYY_tgx_IHuhSq3AJ5eI5OnqOPBNLWSHKh2a30DoXe8/edit?usp=sharing"",""กระบี่!I456"")"),0.0)</f>
        <v>0</v>
      </c>
      <c r="J561" s="238">
        <f>IFERROR(__xludf.DUMMYFUNCTION("IMPORTRANGE(""https://docs.google.com/spreadsheets/d/1IYY_tgx_IHuhSq3AJ5eI5OnqOPBNLWSHKh2a30DoXe8/edit?usp=sharing"",""กระบี่!J456"")"),0.0)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IFERROR(__xludf.DUMMYFUNCTION("IMPORTRANGE(""https://docs.google.com/spreadsheets/d/1IYY_tgx_IHuhSq3AJ5eI5OnqOPBNLWSHKh2a30DoXe8/edit?usp=sharing"",""กระบี่!I457"")"),"")</f>
        <v/>
      </c>
      <c r="J562" s="238" t="str">
        <f>IFERROR(__xludf.DUMMYFUNCTION("IMPORTRANGE(""https://docs.google.com/spreadsheets/d/1IYY_tgx_IHuhSq3AJ5eI5OnqOPBNLWSHKh2a30DoXe8/edit?usp=sharing"",""กระบี่!J457"")"),"")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IFERROR(__xludf.DUMMYFUNCTION("IMPORTRANGE(""https://docs.google.com/spreadsheets/d/1IYY_tgx_IHuhSq3AJ5eI5OnqOPBNLWSHKh2a30DoXe8/edit?usp=sharing"",""กระบี่!I458"")"),"")</f>
        <v/>
      </c>
      <c r="J563" s="222" t="str">
        <f>IFERROR(__xludf.DUMMYFUNCTION("IMPORTRANGE(""https://docs.google.com/spreadsheets/d/1IYY_tgx_IHuhSq3AJ5eI5OnqOPBNLWSHKh2a30DoXe8/edit?usp=sharing"",""กระบี่!J458"")"),"")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IFERROR(__xludf.DUMMYFUNCTION("IMPORTRANGE(""https://docs.google.com/spreadsheets/d/1IYY_tgx_IHuhSq3AJ5eI5OnqOPBNLWSHKh2a30DoXe8/edit?usp=sharing"",""กระบี่!I459"")"),1100.0)</f>
        <v>1100</v>
      </c>
      <c r="J564" s="404">
        <f>IFERROR(__xludf.DUMMYFUNCTION("IMPORTRANGE(""https://docs.google.com/spreadsheets/d/1IYY_tgx_IHuhSq3AJ5eI5OnqOPBNLWSHKh2a30DoXe8/edit?usp=sharing"",""กระบี่!J459"")"),948.0)</f>
        <v>948</v>
      </c>
      <c r="K564" s="405">
        <f t="shared" si="122"/>
        <v>86.18181818</v>
      </c>
      <c r="L564" s="406">
        <f>IFERROR(__xludf.DUMMYFUNCTION("IMPORTRANGE(""https://docs.google.com/spreadsheets/d/1IYY_tgx_IHuhSq3AJ5eI5OnqOPBNLWSHKh2a30DoXe8/edit?usp=sharing"",""กระบี่!L459"")"),122800.0)</f>
        <v>122800</v>
      </c>
      <c r="M564" s="406"/>
      <c r="N564" s="406">
        <f>IFERROR(__xludf.DUMMYFUNCTION("IMPORTRANGE(""https://docs.google.com/spreadsheets/d/1IYY_tgx_IHuhSq3AJ5eI5OnqOPBNLWSHKh2a30DoXe8/edit?usp=sharing"",""กระบี่!M459"")"),22000.0)</f>
        <v>22000</v>
      </c>
      <c r="O564" s="406">
        <f t="shared" ref="O564:O568" si="123">+IF(L564&gt;0,N564*100/L564,0)</f>
        <v>17.91530945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IFERROR(__xludf.DUMMYFUNCTION("IMPORTRANGE(""https://docs.google.com/spreadsheets/d/1IYY_tgx_IHuhSq3AJ5eI5OnqOPBNLWSHKh2a30DoXe8/edit?usp=sharing"",""กระบี่!L460"")"),0.0)</f>
        <v>0</v>
      </c>
      <c r="M565" s="197"/>
      <c r="N565" s="203">
        <f>IFERROR(__xludf.DUMMYFUNCTION("IMPORTRANGE(""https://docs.google.com/spreadsheets/d/1IYY_tgx_IHuhSq3AJ5eI5OnqOPBNLWSHKh2a30DoXe8/edit?usp=sharing"",""กระบี่!M460"")"),0.0)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IFERROR(__xludf.DUMMYFUNCTION("IMPORTRANGE(""https://docs.google.com/spreadsheets/d/1IYY_tgx_IHuhSq3AJ5eI5OnqOPBNLWSHKh2a30DoXe8/edit?usp=sharing"",""กระบี่!L461"")"),122800.0)</f>
        <v>122800</v>
      </c>
      <c r="M566" s="198"/>
      <c r="N566" s="203">
        <f>IFERROR(__xludf.DUMMYFUNCTION("IMPORTRANGE(""https://docs.google.com/spreadsheets/d/1IYY_tgx_IHuhSq3AJ5eI5OnqOPBNLWSHKh2a30DoXe8/edit?usp=sharing"",""กระบี่!M461"")"),22000.0)</f>
        <v>22000</v>
      </c>
      <c r="O566" s="203">
        <f t="shared" si="123"/>
        <v>17.91530945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IFERROR(__xludf.DUMMYFUNCTION("IMPORTRANGE(""https://docs.google.com/spreadsheets/d/1IYY_tgx_IHuhSq3AJ5eI5OnqOPBNLWSHKh2a30DoXe8/edit?usp=sharing"",""กระบี่!L462"")"),0.0)</f>
        <v>0</v>
      </c>
      <c r="M567" s="203"/>
      <c r="N567" s="203">
        <f>IFERROR(__xludf.DUMMYFUNCTION("IMPORTRANGE(""https://docs.google.com/spreadsheets/d/1IYY_tgx_IHuhSq3AJ5eI5OnqOPBNLWSHKh2a30DoXe8/edit?usp=sharing"",""กระบี่!M462"")"),0.0)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IFERROR(__xludf.DUMMYFUNCTION("IMPORTRANGE(""https://docs.google.com/spreadsheets/d/1IYY_tgx_IHuhSq3AJ5eI5OnqOPBNLWSHKh2a30DoXe8/edit?usp=sharing"",""กระบี่!L463"")"),122800.0)</f>
        <v>122800</v>
      </c>
      <c r="M568" s="203"/>
      <c r="N568" s="203">
        <f>IFERROR(__xludf.DUMMYFUNCTION("IMPORTRANGE(""https://docs.google.com/spreadsheets/d/1IYY_tgx_IHuhSq3AJ5eI5OnqOPBNLWSHKh2a30DoXe8/edit?usp=sharing"",""กระบี่!M463"")"),22000.0)</f>
        <v>22000</v>
      </c>
      <c r="O568" s="203">
        <f t="shared" si="123"/>
        <v>17.91530945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IFERROR(__xludf.DUMMYFUNCTION("IMPORTRANGE(""https://docs.google.com/spreadsheets/d/1IYY_tgx_IHuhSq3AJ5eI5OnqOPBNLWSHKh2a30DoXe8/edit?usp=sharing"",""กระบี่!M464"")"),0.0)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IFERROR(__xludf.DUMMYFUNCTION("IMPORTRANGE(""https://docs.google.com/spreadsheets/d/1IYY_tgx_IHuhSq3AJ5eI5OnqOPBNLWSHKh2a30DoXe8/edit?usp=sharing"",""กระบี่!M465"")"),0.0)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IFERROR(__xludf.DUMMYFUNCTION("IMPORTRANGE(""https://docs.google.com/spreadsheets/d/1IYY_tgx_IHuhSq3AJ5eI5OnqOPBNLWSHKh2a30DoXe8/edit?usp=sharing"",""กระบี่!M466"")"),22000.0)</f>
        <v>22000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IFERROR(__xludf.DUMMYFUNCTION("IMPORTRANGE(""https://docs.google.com/spreadsheets/d/1IYY_tgx_IHuhSq3AJ5eI5OnqOPBNLWSHKh2a30DoXe8/edit?usp=sharing"",""กระบี่!M467"")"),0.0)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IFERROR(__xludf.DUMMYFUNCTION("IMPORTRANGE(""https://docs.google.com/spreadsheets/d/1IYY_tgx_IHuhSq3AJ5eI5OnqOPBNLWSHKh2a30DoXe8/edit?usp=sharing"",""กระบี่!I468"")"),1100.0)</f>
        <v>1100</v>
      </c>
      <c r="J573" s="453">
        <f>IFERROR(__xludf.DUMMYFUNCTION("IMPORTRANGE(""https://docs.google.com/spreadsheets/d/1IYY_tgx_IHuhSq3AJ5eI5OnqOPBNLWSHKh2a30DoXe8/edit?usp=sharing"",""กระบี่!J468"")"),948.0)</f>
        <v>948</v>
      </c>
      <c r="K573" s="236">
        <f>IF(I573&gt;0,J573*100/I573,0)</f>
        <v>86.18181818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IFERROR(__xludf.DUMMYFUNCTION("IMPORTRANGE(""https://docs.google.com/spreadsheets/d/1IYY_tgx_IHuhSq3AJ5eI5OnqOPBNLWSHKh2a30DoXe8/edit?usp=sharing"",""กระบี่!I470"")"),0.0)</f>
        <v>0</v>
      </c>
      <c r="J575" s="232">
        <f>IFERROR(__xludf.DUMMYFUNCTION("IMPORTRANGE(""https://docs.google.com/spreadsheets/d/1IYY_tgx_IHuhSq3AJ5eI5OnqOPBNLWSHKh2a30DoXe8/edit?usp=sharing"",""กระบี่!J470"")"),0.0)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IFERROR(__xludf.DUMMYFUNCTION("IMPORTRANGE(""https://docs.google.com/spreadsheets/d/1IYY_tgx_IHuhSq3AJ5eI5OnqOPBNLWSHKh2a30DoXe8/edit?usp=sharing"",""กระบี่!I471"")"),0.0)</f>
        <v>0</v>
      </c>
      <c r="J576" s="232">
        <f>IFERROR(__xludf.DUMMYFUNCTION("IMPORTRANGE(""https://docs.google.com/spreadsheets/d/1IYY_tgx_IHuhSq3AJ5eI5OnqOPBNLWSHKh2a30DoXe8/edit?usp=sharing"",""กระบี่!J471"")"),0.0)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IFERROR(__xludf.DUMMYFUNCTION("IMPORTRANGE(""https://docs.google.com/spreadsheets/d/1IYY_tgx_IHuhSq3AJ5eI5OnqOPBNLWSHKh2a30DoXe8/edit?usp=sharing"",""กระบี่!I472"")"),0.0)</f>
        <v>0</v>
      </c>
      <c r="J577" s="223">
        <f>IFERROR(__xludf.DUMMYFUNCTION("IMPORTRANGE(""https://docs.google.com/spreadsheets/d/1IYY_tgx_IHuhSq3AJ5eI5OnqOPBNLWSHKh2a30DoXe8/edit?usp=sharing"",""กระบี่!J472"")"),948.0)</f>
        <v>948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IFERROR(__xludf.DUMMYFUNCTION("IMPORTRANGE(""https://docs.google.com/spreadsheets/d/1IYY_tgx_IHuhSq3AJ5eI5OnqOPBNLWSHKh2a30DoXe8/edit?usp=sharing"",""กระบี่!I473"")"),0.0)</f>
        <v>0</v>
      </c>
      <c r="J578" s="232">
        <f>IFERROR(__xludf.DUMMYFUNCTION("IMPORTRANGE(""https://docs.google.com/spreadsheets/d/1IYY_tgx_IHuhSq3AJ5eI5OnqOPBNLWSHKh2a30DoXe8/edit?usp=sharing"",""กระบี่!J473"")"),0.0)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IFERROR(__xludf.DUMMYFUNCTION("IMPORTRANGE(""https://docs.google.com/spreadsheets/d/1IYY_tgx_IHuhSq3AJ5eI5OnqOPBNLWSHKh2a30DoXe8/edit?usp=sharing"",""กระบี่!I474"")"),0.0)</f>
        <v>0</v>
      </c>
      <c r="J579" s="232">
        <f>IFERROR(__xludf.DUMMYFUNCTION("IMPORTRANGE(""https://docs.google.com/spreadsheets/d/1IYY_tgx_IHuhSq3AJ5eI5OnqOPBNLWSHKh2a30DoXe8/edit?usp=sharing"",""กระบี่!J474"")"),0.0)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IFERROR(__xludf.DUMMYFUNCTION("IMPORTRANGE(""https://docs.google.com/spreadsheets/d/1IYY_tgx_IHuhSq3AJ5eI5OnqOPBNLWSHKh2a30DoXe8/edit?usp=sharing"",""กระบี่!I475"")"),0.0)</f>
        <v>0</v>
      </c>
      <c r="J580" s="404">
        <f>IFERROR(__xludf.DUMMYFUNCTION("IMPORTRANGE(""https://docs.google.com/spreadsheets/d/1IYY_tgx_IHuhSq3AJ5eI5OnqOPBNLWSHKh2a30DoXe8/edit?usp=sharing"",""กระบี่!J475"")"),0.0)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IFERROR(__xludf.DUMMYFUNCTION("IMPORTRANGE(""https://docs.google.com/spreadsheets/d/1IYY_tgx_IHuhSq3AJ5eI5OnqOPBNLWSHKh2a30DoXe8/edit?usp=sharing"",""กระบี่!L475"")"),0.0)</f>
        <v>0</v>
      </c>
      <c r="M580" s="406"/>
      <c r="N580" s="406">
        <f>IFERROR(__xludf.DUMMYFUNCTION("IMPORTRANGE(""https://docs.google.com/spreadsheets/d/1IYY_tgx_IHuhSq3AJ5eI5OnqOPBNLWSHKh2a30DoXe8/edit?usp=sharing"",""กระบี่!M475"")"),0.0)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IFERROR(__xludf.DUMMYFUNCTION("IMPORTRANGE(""https://docs.google.com/spreadsheets/d/1IYY_tgx_IHuhSq3AJ5eI5OnqOPBNLWSHKh2a30DoXe8/edit?usp=sharing"",""กระบี่!L476"")"),0.0)</f>
        <v>0</v>
      </c>
      <c r="M581" s="197"/>
      <c r="N581" s="203">
        <f>IFERROR(__xludf.DUMMYFUNCTION("IMPORTRANGE(""https://docs.google.com/spreadsheets/d/1IYY_tgx_IHuhSq3AJ5eI5OnqOPBNLWSHKh2a30DoXe8/edit?usp=sharing"",""กระบี่!M476"")"),0.0)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IFERROR(__xludf.DUMMYFUNCTION("IMPORTRANGE(""https://docs.google.com/spreadsheets/d/1IYY_tgx_IHuhSq3AJ5eI5OnqOPBNLWSHKh2a30DoXe8/edit?usp=sharing"",""กระบี่!L477"")"),0.0)</f>
        <v>0</v>
      </c>
      <c r="M582" s="198"/>
      <c r="N582" s="203">
        <f>IFERROR(__xludf.DUMMYFUNCTION("IMPORTRANGE(""https://docs.google.com/spreadsheets/d/1IYY_tgx_IHuhSq3AJ5eI5OnqOPBNLWSHKh2a30DoXe8/edit?usp=sharing"",""กระบี่!M477"")"),0.0)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IFERROR(__xludf.DUMMYFUNCTION("IMPORTRANGE(""https://docs.google.com/spreadsheets/d/1IYY_tgx_IHuhSq3AJ5eI5OnqOPBNLWSHKh2a30DoXe8/edit?usp=sharing"",""กระบี่!L478"")"),0.0)</f>
        <v>0</v>
      </c>
      <c r="M583" s="203"/>
      <c r="N583" s="203">
        <f>IFERROR(__xludf.DUMMYFUNCTION("IMPORTRANGE(""https://docs.google.com/spreadsheets/d/1IYY_tgx_IHuhSq3AJ5eI5OnqOPBNLWSHKh2a30DoXe8/edit?usp=sharing"",""กระบี่!M478"")"),0.0)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IFERROR(__xludf.DUMMYFUNCTION("IMPORTRANGE(""https://docs.google.com/spreadsheets/d/1IYY_tgx_IHuhSq3AJ5eI5OnqOPBNLWSHKh2a30DoXe8/edit?usp=sharing"",""กระบี่!L479"")"),0.0)</f>
        <v>0</v>
      </c>
      <c r="M584" s="203"/>
      <c r="N584" s="203">
        <f>IFERROR(__xludf.DUMMYFUNCTION("IMPORTRANGE(""https://docs.google.com/spreadsheets/d/1IYY_tgx_IHuhSq3AJ5eI5OnqOPBNLWSHKh2a30DoXe8/edit?usp=sharing"",""กระบี่!M479"")"),0.0)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IFERROR(__xludf.DUMMYFUNCTION("IMPORTRANGE(""https://docs.google.com/spreadsheets/d/1IYY_tgx_IHuhSq3AJ5eI5OnqOPBNLWSHKh2a30DoXe8/edit?usp=sharing"",""กระบี่!M480"")"),0.0)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IFERROR(__xludf.DUMMYFUNCTION("IMPORTRANGE(""https://docs.google.com/spreadsheets/d/1IYY_tgx_IHuhSq3AJ5eI5OnqOPBNLWSHKh2a30DoXe8/edit?usp=sharing"",""กระบี่!M481"")"),0.0)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IFERROR(__xludf.DUMMYFUNCTION("IMPORTRANGE(""https://docs.google.com/spreadsheets/d/1IYY_tgx_IHuhSq3AJ5eI5OnqOPBNLWSHKh2a30DoXe8/edit?usp=sharing"",""กระบี่!M482"")"),0.0)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IFERROR(__xludf.DUMMYFUNCTION("IMPORTRANGE(""https://docs.google.com/spreadsheets/d/1IYY_tgx_IHuhSq3AJ5eI5OnqOPBNLWSHKh2a30DoXe8/edit?usp=sharing"",""กระบี่!M483"")"),0.0)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IFERROR(__xludf.DUMMYFUNCTION("IMPORTRANGE(""https://docs.google.com/spreadsheets/d/1IYY_tgx_IHuhSq3AJ5eI5OnqOPBNLWSHKh2a30DoXe8/edit?usp=sharing"",""กระบี่!I484"")"),0.0)</f>
        <v>0</v>
      </c>
      <c r="J589" s="222">
        <f>IFERROR(__xludf.DUMMYFUNCTION("IMPORTRANGE(""https://docs.google.com/spreadsheets/d/1IYY_tgx_IHuhSq3AJ5eI5OnqOPBNLWSHKh2a30DoXe8/edit?usp=sharing"",""กระบี่!J484"")"),0.0)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IFERROR(__xludf.DUMMYFUNCTION("IMPORTRANGE(""https://docs.google.com/spreadsheets/d/1IYY_tgx_IHuhSq3AJ5eI5OnqOPBNLWSHKh2a30DoXe8/edit?usp=sharing"",""กระบี่!I485"")"),0.0)</f>
        <v>0</v>
      </c>
      <c r="J590" s="222">
        <f>IFERROR(__xludf.DUMMYFUNCTION("IMPORTRANGE(""https://docs.google.com/spreadsheets/d/1IYY_tgx_IHuhSq3AJ5eI5OnqOPBNLWSHKh2a30DoXe8/edit?usp=sharing"",""กระบี่!J485"")"),0.0)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IFERROR(__xludf.DUMMYFUNCTION("IMPORTRANGE(""https://docs.google.com/spreadsheets/d/1IYY_tgx_IHuhSq3AJ5eI5OnqOPBNLWSHKh2a30DoXe8/edit?usp=sharing"",""กระบี่!I486"")"),0.0)</f>
        <v>0</v>
      </c>
      <c r="J591" s="222">
        <f>IFERROR(__xludf.DUMMYFUNCTION("IMPORTRANGE(""https://docs.google.com/spreadsheets/d/1IYY_tgx_IHuhSq3AJ5eI5OnqOPBNLWSHKh2a30DoXe8/edit?usp=sharing"",""กระบี่!J486"")"),0.0)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IFERROR(__xludf.DUMMYFUNCTION("IMPORTRANGE(""https://docs.google.com/spreadsheets/d/1IYY_tgx_IHuhSq3AJ5eI5OnqOPBNLWSHKh2a30DoXe8/edit?usp=sharing"",""กระบี่!I487"")"),0.0)</f>
        <v>0</v>
      </c>
      <c r="J592" s="222">
        <f>IFERROR(__xludf.DUMMYFUNCTION("IMPORTRANGE(""https://docs.google.com/spreadsheets/d/1IYY_tgx_IHuhSq3AJ5eI5OnqOPBNLWSHKh2a30DoXe8/edit?usp=sharing"",""กระบี่!J487"")"),0.0)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IFERROR(__xludf.DUMMYFUNCTION("IMPORTRANGE(""https://docs.google.com/spreadsheets/d/1IYY_tgx_IHuhSq3AJ5eI5OnqOPBNLWSHKh2a30DoXe8/edit?usp=sharing"",""กระบี่!I488"")"),0.0)</f>
        <v>0</v>
      </c>
      <c r="J593" s="222">
        <f>IFERROR(__xludf.DUMMYFUNCTION("IMPORTRANGE(""https://docs.google.com/spreadsheets/d/1IYY_tgx_IHuhSq3AJ5eI5OnqOPBNLWSHKh2a30DoXe8/edit?usp=sharing"",""กระบี่!J488"")"),0.0)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IFERROR(__xludf.DUMMYFUNCTION("IMPORTRANGE(""https://docs.google.com/spreadsheets/d/1IYY_tgx_IHuhSq3AJ5eI5OnqOPBNLWSHKh2a30DoXe8/edit?usp=sharing"",""กระบี่!I489"")"),0.0)</f>
        <v>0</v>
      </c>
      <c r="J594" s="222">
        <f>IFERROR(__xludf.DUMMYFUNCTION("IMPORTRANGE(""https://docs.google.com/spreadsheets/d/1IYY_tgx_IHuhSq3AJ5eI5OnqOPBNLWSHKh2a30DoXe8/edit?usp=sharing"",""กระบี่!J489"")"),0.0)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IFERROR(__xludf.DUMMYFUNCTION("IMPORTRANGE(""https://docs.google.com/spreadsheets/d/1IYY_tgx_IHuhSq3AJ5eI5OnqOPBNLWSHKh2a30DoXe8/edit?usp=sharing"",""กระบี่!I490"")"),0.0)</f>
        <v>0</v>
      </c>
      <c r="J595" s="222">
        <f>IFERROR(__xludf.DUMMYFUNCTION("IMPORTRANGE(""https://docs.google.com/spreadsheets/d/1IYY_tgx_IHuhSq3AJ5eI5OnqOPBNLWSHKh2a30DoXe8/edit?usp=sharing"",""กระบี่!J490"")"),0.0)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IFERROR(__xludf.DUMMYFUNCTION("IMPORTRANGE(""https://docs.google.com/spreadsheets/d/1IYY_tgx_IHuhSq3AJ5eI5OnqOPBNLWSHKh2a30DoXe8/edit?usp=sharing"",""กระบี่!I491"")"),0.0)</f>
        <v>0</v>
      </c>
      <c r="J596" s="275">
        <f>IFERROR(__xludf.DUMMYFUNCTION("IMPORTRANGE(""https://docs.google.com/spreadsheets/d/1IYY_tgx_IHuhSq3AJ5eI5OnqOPBNLWSHKh2a30DoXe8/edit?usp=sharing"",""กระบี่!J491"")"),0.0)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IFERROR(__xludf.DUMMYFUNCTION("IMPORTRANGE(""https://docs.google.com/spreadsheets/d/1IYY_tgx_IHuhSq3AJ5eI5OnqOPBNLWSHKh2a30DoXe8/edit?usp=sharing"",""กระบี่!I492"")"),428.0)</f>
        <v>428</v>
      </c>
      <c r="J597" s="520">
        <f>IFERROR(__xludf.DUMMYFUNCTION("IMPORTRANGE(""https://docs.google.com/spreadsheets/d/1IYY_tgx_IHuhSq3AJ5eI5OnqOPBNLWSHKh2a30DoXe8/edit?usp=sharing"",""กระบี่!J492"")"),0.0)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IFERROR(__xludf.DUMMYFUNCTION("IMPORTRANGE(""https://docs.google.com/spreadsheets/d/1IYY_tgx_IHuhSq3AJ5eI5OnqOPBNLWSHKh2a30DoXe8/edit?usp=sharing"",""กระบี่!L492"")"),26140.0)</f>
        <v>26140</v>
      </c>
      <c r="M597" s="445"/>
      <c r="N597" s="445">
        <f>IFERROR(__xludf.DUMMYFUNCTION("IMPORTRANGE(""https://docs.google.com/spreadsheets/d/1IYY_tgx_IHuhSq3AJ5eI5OnqOPBNLWSHKh2a30DoXe8/edit?usp=sharing"",""กระบี่!M492"")"),2600.0)</f>
        <v>2600</v>
      </c>
      <c r="O597" s="445">
        <f t="shared" ref="O597:O601" si="127">+IF(L597&gt;0,N597*100/L597,0)</f>
        <v>9.946442234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IFERROR(__xludf.DUMMYFUNCTION("IMPORTRANGE(""https://docs.google.com/spreadsheets/d/1IYY_tgx_IHuhSq3AJ5eI5OnqOPBNLWSHKh2a30DoXe8/edit?usp=sharing"",""กระบี่!L493"")"),0.0)</f>
        <v>0</v>
      </c>
      <c r="M598" s="197"/>
      <c r="N598" s="203">
        <f>IFERROR(__xludf.DUMMYFUNCTION("IMPORTRANGE(""https://docs.google.com/spreadsheets/d/1IYY_tgx_IHuhSq3AJ5eI5OnqOPBNLWSHKh2a30DoXe8/edit?usp=sharing"",""กระบี่!M493"")"),0.0)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IFERROR(__xludf.DUMMYFUNCTION("IMPORTRANGE(""https://docs.google.com/spreadsheets/d/1IYY_tgx_IHuhSq3AJ5eI5OnqOPBNLWSHKh2a30DoXe8/edit?usp=sharing"",""กระบี่!L494"")"),26140.0)</f>
        <v>26140</v>
      </c>
      <c r="M599" s="198"/>
      <c r="N599" s="203">
        <f>IFERROR(__xludf.DUMMYFUNCTION("IMPORTRANGE(""https://docs.google.com/spreadsheets/d/1IYY_tgx_IHuhSq3AJ5eI5OnqOPBNLWSHKh2a30DoXe8/edit?usp=sharing"",""กระบี่!M494"")"),2600.0)</f>
        <v>2600</v>
      </c>
      <c r="O599" s="203">
        <f t="shared" si="127"/>
        <v>9.946442234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IFERROR(__xludf.DUMMYFUNCTION("IMPORTRANGE(""https://docs.google.com/spreadsheets/d/1IYY_tgx_IHuhSq3AJ5eI5OnqOPBNLWSHKh2a30DoXe8/edit?usp=sharing"",""กระบี่!L495"")"),0.0)</f>
        <v>0</v>
      </c>
      <c r="M600" s="203"/>
      <c r="N600" s="203">
        <f>IFERROR(__xludf.DUMMYFUNCTION("IMPORTRANGE(""https://docs.google.com/spreadsheets/d/1IYY_tgx_IHuhSq3AJ5eI5OnqOPBNLWSHKh2a30DoXe8/edit?usp=sharing"",""กระบี่!M495"")"),0.0)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IFERROR(__xludf.DUMMYFUNCTION("IMPORTRANGE(""https://docs.google.com/spreadsheets/d/1IYY_tgx_IHuhSq3AJ5eI5OnqOPBNLWSHKh2a30DoXe8/edit?usp=sharing"",""กระบี่!L496"")"),26140.0)</f>
        <v>26140</v>
      </c>
      <c r="M601" s="203"/>
      <c r="N601" s="203">
        <f>IFERROR(__xludf.DUMMYFUNCTION("IMPORTRANGE(""https://docs.google.com/spreadsheets/d/1IYY_tgx_IHuhSq3AJ5eI5OnqOPBNLWSHKh2a30DoXe8/edit?usp=sharing"",""กระบี่!M496"")"),2600.0)</f>
        <v>2600</v>
      </c>
      <c r="O601" s="203">
        <f t="shared" si="127"/>
        <v>9.946442234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IFERROR(__xludf.DUMMYFUNCTION("IMPORTRANGE(""https://docs.google.com/spreadsheets/d/1IYY_tgx_IHuhSq3AJ5eI5OnqOPBNLWSHKh2a30DoXe8/edit?usp=sharing"",""กระบี่!M497"")"),0.0)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IFERROR(__xludf.DUMMYFUNCTION("IMPORTRANGE(""https://docs.google.com/spreadsheets/d/1IYY_tgx_IHuhSq3AJ5eI5OnqOPBNLWSHKh2a30DoXe8/edit?usp=sharing"",""กระบี่!M498"")"),0.0)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IFERROR(__xludf.DUMMYFUNCTION("IMPORTRANGE(""https://docs.google.com/spreadsheets/d/1IYY_tgx_IHuhSq3AJ5eI5OnqOPBNLWSHKh2a30DoXe8/edit?usp=sharing"",""กระบี่!M499"")"),0.0)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IFERROR(__xludf.DUMMYFUNCTION("IMPORTRANGE(""https://docs.google.com/spreadsheets/d/1IYY_tgx_IHuhSq3AJ5eI5OnqOPBNLWSHKh2a30DoXe8/edit?usp=sharing"",""กระบี่!M500"")"),2600.0)</f>
        <v>2600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IFERROR(__xludf.DUMMYFUNCTION("IMPORTRANGE(""https://docs.google.com/spreadsheets/d/1IYY_tgx_IHuhSq3AJ5eI5OnqOPBNLWSHKh2a30DoXe8/edit?usp=sharing"",""กระบี่!J502"")"),0.0)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IFERROR(__xludf.DUMMYFUNCTION("IMPORTRANGE(""https://docs.google.com/spreadsheets/d/1IYY_tgx_IHuhSq3AJ5eI5OnqOPBNLWSHKh2a30DoXe8/edit?usp=sharing"",""กระบี่!J503"")"),1.0)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IFERROR(__xludf.DUMMYFUNCTION("IMPORTRANGE(""https://docs.google.com/spreadsheets/d/1IYY_tgx_IHuhSq3AJ5eI5OnqOPBNLWSHKh2a30DoXe8/edit?usp=sharing"",""กระบี่!J166"")"),0.0)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IFERROR(__xludf.DUMMYFUNCTION("IMPORTRANGE(""https://docs.google.com/spreadsheets/d/1IYY_tgx_IHuhSq3AJ5eI5OnqOPBNLWSHKh2a30DoXe8/edit?usp=sharing"",""กระบี่!J166"")"),0.0)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IFERROR(__xludf.DUMMYFUNCTION("IMPORTRANGE(""https://docs.google.com/spreadsheets/d/1IYY_tgx_IHuhSq3AJ5eI5OnqOPBNLWSHKh2a30DoXe8/edit?usp=sharing"",""กระบี่!I506"")"),428.0)</f>
        <v>428</v>
      </c>
      <c r="J611" s="195">
        <f>IFERROR(__xludf.DUMMYFUNCTION("IMPORTRANGE(""https://docs.google.com/spreadsheets/d/1IYY_tgx_IHuhSq3AJ5eI5OnqOPBNLWSHKh2a30DoXe8/edit?usp=sharing"",""กระบี่!J506"")"),0.0)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IFERROR(__xludf.DUMMYFUNCTION("IMPORTRANGE(""https://docs.google.com/spreadsheets/d/1IYY_tgx_IHuhSq3AJ5eI5OnqOPBNLWSHKh2a30DoXe8/edit?usp=sharing"",""กระบี่!I507"")"),0.0)</f>
        <v>0</v>
      </c>
      <c r="J612" s="232">
        <f>IFERROR(__xludf.DUMMYFUNCTION("IMPORTRANGE(""https://docs.google.com/spreadsheets/d/1IYY_tgx_IHuhSq3AJ5eI5OnqOPBNLWSHKh2a30DoXe8/edit?usp=sharing"",""กระบี่!J507"")"),0.0)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IFERROR(__xludf.DUMMYFUNCTION("IMPORTRANGE(""https://docs.google.com/spreadsheets/d/1IYY_tgx_IHuhSq3AJ5eI5OnqOPBNLWSHKh2a30DoXe8/edit?usp=sharing"",""กระบี่!I508"")"),0.0)</f>
        <v>0</v>
      </c>
      <c r="J613" s="232">
        <f>IFERROR(__xludf.DUMMYFUNCTION("IMPORTRANGE(""https://docs.google.com/spreadsheets/d/1IYY_tgx_IHuhSq3AJ5eI5OnqOPBNLWSHKh2a30DoXe8/edit?usp=sharing"",""กระบี่!J508"")"),0.0)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IFERROR(__xludf.DUMMYFUNCTION("IMPORTRANGE(""https://docs.google.com/spreadsheets/d/1IYY_tgx_IHuhSq3AJ5eI5OnqOPBNLWSHKh2a30DoXe8/edit?usp=sharing"",""กระบี่!I509"")"),0.0)</f>
        <v>0</v>
      </c>
      <c r="J614" s="232">
        <f>IFERROR(__xludf.DUMMYFUNCTION("IMPORTRANGE(""https://docs.google.com/spreadsheets/d/1IYY_tgx_IHuhSq3AJ5eI5OnqOPBNLWSHKh2a30DoXe8/edit?usp=sharing"",""กระบี่!J509"")"),0.0)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IFERROR(__xludf.DUMMYFUNCTION("IMPORTRANGE(""https://docs.google.com/spreadsheets/d/1IYY_tgx_IHuhSq3AJ5eI5OnqOPBNLWSHKh2a30DoXe8/edit?usp=sharing"",""กระบี่!I510"")"),0.0)</f>
        <v>0</v>
      </c>
      <c r="J615" s="232">
        <f>IFERROR(__xludf.DUMMYFUNCTION("IMPORTRANGE(""https://docs.google.com/spreadsheets/d/1IYY_tgx_IHuhSq3AJ5eI5OnqOPBNLWSHKh2a30DoXe8/edit?usp=sharing"",""กระบี่!J510"")"),0.0)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IFERROR(__xludf.DUMMYFUNCTION("IMPORTRANGE(""https://docs.google.com/spreadsheets/d/1IYY_tgx_IHuhSq3AJ5eI5OnqOPBNLWSHKh2a30DoXe8/edit?usp=sharing"",""กระบี่!I511"")"),0.0)</f>
        <v>0</v>
      </c>
      <c r="J616" s="232">
        <f>IFERROR(__xludf.DUMMYFUNCTION("IMPORTRANGE(""https://docs.google.com/spreadsheets/d/1IYY_tgx_IHuhSq3AJ5eI5OnqOPBNLWSHKh2a30DoXe8/edit?usp=sharing"",""กระบี่!J511"")"),0.0)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IFERROR(__xludf.DUMMYFUNCTION("IMPORTRANGE(""https://docs.google.com/spreadsheets/d/1IYY_tgx_IHuhSq3AJ5eI5OnqOPBNLWSHKh2a30DoXe8/edit?usp=sharing"",""กระบี่!I512"")"),0.0)</f>
        <v>0</v>
      </c>
      <c r="J617" s="222">
        <f>IFERROR(__xludf.DUMMYFUNCTION("IMPORTRANGE(""https://docs.google.com/spreadsheets/d/1IYY_tgx_IHuhSq3AJ5eI5OnqOPBNLWSHKh2a30DoXe8/edit?usp=sharing"",""กระบี่!J512"")"),0.0)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IFERROR(__xludf.DUMMYFUNCTION("IMPORTRANGE(""https://docs.google.com/spreadsheets/d/1IYY_tgx_IHuhSq3AJ5eI5OnqOPBNLWSHKh2a30DoXe8/edit?usp=sharing"",""กระบี่!I513"")"),0.0)</f>
        <v>0</v>
      </c>
      <c r="J618" s="223">
        <f>IFERROR(__xludf.DUMMYFUNCTION("IMPORTRANGE(""https://docs.google.com/spreadsheets/d/1IYY_tgx_IHuhSq3AJ5eI5OnqOPBNLWSHKh2a30DoXe8/edit?usp=sharing"",""กระบี่!J513"")"),0.0)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IFERROR(__xludf.DUMMYFUNCTION("IMPORTRANGE(""https://docs.google.com/spreadsheets/d/1IYY_tgx_IHuhSq3AJ5eI5OnqOPBNLWSHKh2a30DoXe8/edit?usp=sharing"",""กระบี่!I514"")"),0.0)</f>
        <v>0</v>
      </c>
      <c r="J619" s="223">
        <f>IFERROR(__xludf.DUMMYFUNCTION("IMPORTRANGE(""https://docs.google.com/spreadsheets/d/1IYY_tgx_IHuhSq3AJ5eI5OnqOPBNLWSHKh2a30DoXe8/edit?usp=sharing"",""กระบี่!J514"")"),0.0)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IFERROR(__xludf.DUMMYFUNCTION("IMPORTRANGE(""https://docs.google.com/spreadsheets/d/1IYY_tgx_IHuhSq3AJ5eI5OnqOPBNLWSHKh2a30DoXe8/edit?usp=sharing"",""กระบี่!I515"")"),0.0)</f>
        <v>0</v>
      </c>
      <c r="J620" s="237">
        <f>IFERROR(__xludf.DUMMYFUNCTION("IMPORTRANGE(""https://docs.google.com/spreadsheets/d/1IYY_tgx_IHuhSq3AJ5eI5OnqOPBNLWSHKh2a30DoXe8/edit?usp=sharing"",""กระบี่!J515"")"),0.0)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IFERROR(__xludf.DUMMYFUNCTION("IMPORTRANGE(""https://docs.google.com/spreadsheets/d/1IYY_tgx_IHuhSq3AJ5eI5OnqOPBNLWSHKh2a30DoXe8/edit?usp=sharing"",""กระบี่!I516"")"),0.0)</f>
        <v>0</v>
      </c>
      <c r="J621" s="237">
        <f>IFERROR(__xludf.DUMMYFUNCTION("IMPORTRANGE(""https://docs.google.com/spreadsheets/d/1IYY_tgx_IHuhSq3AJ5eI5OnqOPBNLWSHKh2a30DoXe8/edit?usp=sharing"",""กระบี่!J516"")"),0.0)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IFERROR(__xludf.DUMMYFUNCTION("IMPORTRANGE(""https://docs.google.com/spreadsheets/d/1IYY_tgx_IHuhSq3AJ5eI5OnqOPBNLWSHKh2a30DoXe8/edit?usp=sharing"",""กระบี่!I517"")"),0.0)</f>
        <v>0</v>
      </c>
      <c r="J622" s="223">
        <f>IFERROR(__xludf.DUMMYFUNCTION("IMPORTRANGE(""https://docs.google.com/spreadsheets/d/1IYY_tgx_IHuhSq3AJ5eI5OnqOPBNLWSHKh2a30DoXe8/edit?usp=sharing"",""กระบี่!J517"")"),0.0)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IFERROR(__xludf.DUMMYFUNCTION("IMPORTRANGE(""https://docs.google.com/spreadsheets/d/1IYY_tgx_IHuhSq3AJ5eI5OnqOPBNLWSHKh2a30DoXe8/edit?usp=sharing"",""กระบี่!I518"")"),0.0)</f>
        <v>0</v>
      </c>
      <c r="J623" s="223">
        <f>IFERROR(__xludf.DUMMYFUNCTION("IMPORTRANGE(""https://docs.google.com/spreadsheets/d/1IYY_tgx_IHuhSq3AJ5eI5OnqOPBNLWSHKh2a30DoXe8/edit?usp=sharing"",""กระบี่!J518"")"),0.0)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IFERROR(__xludf.DUMMYFUNCTION("IMPORTRANGE(""https://docs.google.com/spreadsheets/d/1IYY_tgx_IHuhSq3AJ5eI5OnqOPBNLWSHKh2a30DoXe8/edit?usp=sharing"",""กระบี่!I519"")"),0.0)</f>
        <v>0</v>
      </c>
      <c r="J624" s="222">
        <f>IFERROR(__xludf.DUMMYFUNCTION("IMPORTRANGE(""https://docs.google.com/spreadsheets/d/1IYY_tgx_IHuhSq3AJ5eI5OnqOPBNLWSHKh2a30DoXe8/edit?usp=sharing"",""กระบี่!J519"")"),0.0)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IFERROR(__xludf.DUMMYFUNCTION("IMPORTRANGE(""https://docs.google.com/spreadsheets/d/1IYY_tgx_IHuhSq3AJ5eI5OnqOPBNLWSHKh2a30DoXe8/edit?usp=sharing"",""กระบี่!I520"")"),0.0)</f>
        <v>0</v>
      </c>
      <c r="J625" s="223">
        <f>IFERROR(__xludf.DUMMYFUNCTION("IMPORTRANGE(""https://docs.google.com/spreadsheets/d/1IYY_tgx_IHuhSq3AJ5eI5OnqOPBNLWSHKh2a30DoXe8/edit?usp=sharing"",""กระบี่!J520"")"),0.0)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IFERROR(__xludf.DUMMYFUNCTION("IMPORTRANGE(""https://docs.google.com/spreadsheets/d/1IYY_tgx_IHuhSq3AJ5eI5OnqOPBNLWSHKh2a30DoXe8/edit?usp=sharing"",""กระบี่!I521"")"),0.0)</f>
        <v>0</v>
      </c>
      <c r="J626" s="223">
        <f>IFERROR(__xludf.DUMMYFUNCTION("IMPORTRANGE(""https://docs.google.com/spreadsheets/d/1IYY_tgx_IHuhSq3AJ5eI5OnqOPBNLWSHKh2a30DoXe8/edit?usp=sharing"",""กระบี่!J521"")"),0.0)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IFERROR(__xludf.DUMMYFUNCTION("IMPORTRANGE(""https://docs.google.com/spreadsheets/d/1IYY_tgx_IHuhSq3AJ5eI5OnqOPBNLWSHKh2a30DoXe8/edit?usp=sharing"",""กระบี่!I523"")"),220041.0)</f>
        <v>220041</v>
      </c>
      <c r="J628" s="374">
        <f>IFERROR(__xludf.DUMMYFUNCTION("IMPORTRANGE(""https://docs.google.com/spreadsheets/d/1IYY_tgx_IHuhSq3AJ5eI5OnqOPBNLWSHKh2a30DoXe8/edit?usp=sharing"",""กระบี่!J523"")"),51413.64)</f>
        <v>51413.64</v>
      </c>
      <c r="K628" s="375">
        <f t="shared" ref="K628:K635" si="130">IF(I628&gt;0,J628*100/I628,0)</f>
        <v>23.36548189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IFERROR(__xludf.DUMMYFUNCTION("IMPORTRANGE(""https://docs.google.com/spreadsheets/d/1IYY_tgx_IHuhSq3AJ5eI5OnqOPBNLWSHKh2a30DoXe8/edit?usp=sharing"",""กระบี่!I524"")"),22.0)</f>
        <v>22</v>
      </c>
      <c r="J629" s="374">
        <f>IFERROR(__xludf.DUMMYFUNCTION("IMPORTRANGE(""https://docs.google.com/spreadsheets/d/1IYY_tgx_IHuhSq3AJ5eI5OnqOPBNLWSHKh2a30DoXe8/edit?usp=sharing"",""กระบี่!J524"")"),9.0)</f>
        <v>9</v>
      </c>
      <c r="K629" s="375">
        <f t="shared" si="130"/>
        <v>40.90909091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IFERROR(__xludf.DUMMYFUNCTION("IMPORTRANGE(""https://docs.google.com/spreadsheets/d/1IYY_tgx_IHuhSq3AJ5eI5OnqOPBNLWSHKh2a30DoXe8/edit?usp=sharing"",""กระบี่!I525"")"),6396540.34)</f>
        <v>6396540.34</v>
      </c>
      <c r="J630" s="374">
        <f>IFERROR(__xludf.DUMMYFUNCTION("IMPORTRANGE(""https://docs.google.com/spreadsheets/d/1IYY_tgx_IHuhSq3AJ5eI5OnqOPBNLWSHKh2a30DoXe8/edit?usp=sharing"",""กระบี่!J525"")"),756854.69)</f>
        <v>756854.69</v>
      </c>
      <c r="K630" s="375">
        <f t="shared" si="130"/>
        <v>11.83225071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IFERROR(__xludf.DUMMYFUNCTION("IMPORTRANGE(""https://docs.google.com/spreadsheets/d/1IYY_tgx_IHuhSq3AJ5eI5OnqOPBNLWSHKh2a30DoXe8/edit?usp=sharing"",""กระบี่!I526"")"),176.0)</f>
        <v>176</v>
      </c>
      <c r="J631" s="374">
        <f>IFERROR(__xludf.DUMMYFUNCTION("IMPORTRANGE(""https://docs.google.com/spreadsheets/d/1IYY_tgx_IHuhSq3AJ5eI5OnqOPBNLWSHKh2a30DoXe8/edit?usp=sharing"",""กระบี่!J526"")"),68.0)</f>
        <v>68</v>
      </c>
      <c r="K631" s="375">
        <f t="shared" si="130"/>
        <v>38.63636364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IFERROR(__xludf.DUMMYFUNCTION("IMPORTRANGE(""https://docs.google.com/spreadsheets/d/1IYY_tgx_IHuhSq3AJ5eI5OnqOPBNLWSHKh2a30DoXe8/edit?usp=sharing"",""กระบี่!I527"")"),0.0)</f>
        <v>0</v>
      </c>
      <c r="J632" s="374">
        <f>IFERROR(__xludf.DUMMYFUNCTION("IMPORTRANGE(""https://docs.google.com/spreadsheets/d/1IYY_tgx_IHuhSq3AJ5eI5OnqOPBNLWSHKh2a30DoXe8/edit?usp=sharing"",""กระบี่!J527"")"),19632.93)</f>
        <v>19632.93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IFERROR(__xludf.DUMMYFUNCTION("IMPORTRANGE(""https://docs.google.com/spreadsheets/d/1IYY_tgx_IHuhSq3AJ5eI5OnqOPBNLWSHKh2a30DoXe8/edit?usp=sharing"",""กระบี่!I528"")"),0.0)</f>
        <v>0</v>
      </c>
      <c r="J633" s="374">
        <f>IFERROR(__xludf.DUMMYFUNCTION("IMPORTRANGE(""https://docs.google.com/spreadsheets/d/1IYY_tgx_IHuhSq3AJ5eI5OnqOPBNLWSHKh2a30DoXe8/edit?usp=sharing"",""กระบี่!J528"")"),5.0)</f>
        <v>5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IFERROR(__xludf.DUMMYFUNCTION("IMPORTRANGE(""https://docs.google.com/spreadsheets/d/1IYY_tgx_IHuhSq3AJ5eI5OnqOPBNLWSHKh2a30DoXe8/edit?usp=sharing"",""กระบี่!I529"")"),200000.0)</f>
        <v>200000</v>
      </c>
      <c r="J634" s="374">
        <f>IFERROR(__xludf.DUMMYFUNCTION("IMPORTRANGE(""https://docs.google.com/spreadsheets/d/1IYY_tgx_IHuhSq3AJ5eI5OnqOPBNLWSHKh2a30DoXe8/edit?usp=sharing"",""กระบี่!J529"")"),0.0)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IFERROR(__xludf.DUMMYFUNCTION("IMPORTRANGE(""https://docs.google.com/spreadsheets/d/1IYY_tgx_IHuhSq3AJ5eI5OnqOPBNLWSHKh2a30DoXe8/edit?usp=sharing"",""กระบี่!I530"")"),4.0)</f>
        <v>4</v>
      </c>
      <c r="J635" s="544">
        <f>IFERROR(__xludf.DUMMYFUNCTION("IMPORTRANGE(""https://docs.google.com/spreadsheets/d/1IYY_tgx_IHuhSq3AJ5eI5OnqOPBNLWSHKh2a30DoXe8/edit?usp=sharing"",""กระบี่!J530"")"),0.0)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241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5718007</v>
      </c>
      <c r="M8" s="41">
        <f t="shared" si="1"/>
        <v>1970770</v>
      </c>
      <c r="N8" s="41">
        <f t="shared" si="1"/>
        <v>1276045</v>
      </c>
      <c r="O8" s="40">
        <f t="shared" ref="O8:O16" si="3">IF(L8&gt;0,N8*100/L8,0)</f>
        <v>22.3162546</v>
      </c>
      <c r="P8" s="40">
        <f t="shared" ref="P8:P16" si="4">IF(M8&gt;0,N8*100/M8,0)</f>
        <v>64.74855006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5718007</v>
      </c>
      <c r="M10" s="48">
        <f t="shared" si="5"/>
        <v>1970770</v>
      </c>
      <c r="N10" s="48">
        <f t="shared" si="5"/>
        <v>1276045</v>
      </c>
      <c r="O10" s="47">
        <f t="shared" si="3"/>
        <v>22.3162546</v>
      </c>
      <c r="P10" s="47">
        <f t="shared" si="4"/>
        <v>64.74855006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5625607</v>
      </c>
      <c r="M12" s="58">
        <f t="shared" si="7"/>
        <v>1970770</v>
      </c>
      <c r="N12" s="58">
        <f t="shared" si="7"/>
        <v>1183645</v>
      </c>
      <c r="O12" s="58">
        <f t="shared" si="3"/>
        <v>21.04030729</v>
      </c>
      <c r="P12" s="58">
        <f t="shared" si="4"/>
        <v>60.0600273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1691300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3934307</v>
      </c>
      <c r="M14" s="58">
        <f t="shared" si="9"/>
        <v>0</v>
      </c>
      <c r="N14" s="58">
        <f t="shared" si="9"/>
        <v>232765</v>
      </c>
      <c r="O14" s="61">
        <f t="shared" si="3"/>
        <v>5.916289705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92400</v>
      </c>
      <c r="M16" s="58">
        <f t="shared" si="11"/>
        <v>0</v>
      </c>
      <c r="N16" s="58">
        <f t="shared" si="11"/>
        <v>92400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3657110</v>
      </c>
      <c r="M18" s="41">
        <f t="shared" si="12"/>
        <v>1970770</v>
      </c>
      <c r="N18" s="41">
        <f t="shared" si="12"/>
        <v>1043280</v>
      </c>
      <c r="O18" s="40">
        <f t="shared" ref="O18:O20" si="14">IF(L18&gt;0,N18*100/L18,0)</f>
        <v>28.5274438</v>
      </c>
      <c r="P18" s="40">
        <f t="shared" ref="P18:P26" si="15">IF(M18&gt;0,N18*100/M18,0)</f>
        <v>52.93768426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3657110</v>
      </c>
      <c r="M20" s="48">
        <f t="shared" si="16"/>
        <v>1970770</v>
      </c>
      <c r="N20" s="48">
        <f t="shared" si="16"/>
        <v>1043280</v>
      </c>
      <c r="O20" s="47">
        <f t="shared" si="14"/>
        <v>28.5274438</v>
      </c>
      <c r="P20" s="47">
        <f t="shared" si="15"/>
        <v>52.93768426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3564710</v>
      </c>
      <c r="M22" s="62">
        <f t="shared" si="18"/>
        <v>1970770</v>
      </c>
      <c r="N22" s="61">
        <f t="shared" si="18"/>
        <v>950880</v>
      </c>
      <c r="O22" s="61">
        <f t="shared" si="19"/>
        <v>26.67482067</v>
      </c>
      <c r="P22" s="61">
        <f t="shared" si="15"/>
        <v>48.2491615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1691300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1873410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92400</v>
      </c>
      <c r="M26" s="70">
        <f t="shared" si="23"/>
        <v>0</v>
      </c>
      <c r="N26" s="70">
        <f t="shared" si="23"/>
        <v>92400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2060897</v>
      </c>
      <c r="M28" s="41">
        <f t="shared" si="24"/>
        <v>0</v>
      </c>
      <c r="N28" s="41">
        <f t="shared" si="24"/>
        <v>232765</v>
      </c>
      <c r="O28" s="40">
        <f t="shared" ref="O28:O30" si="26">IF(L28&gt;0,N28*100/L28,0)</f>
        <v>11.29435387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2060897</v>
      </c>
      <c r="M30" s="48">
        <f t="shared" si="28"/>
        <v>0</v>
      </c>
      <c r="N30" s="48">
        <f t="shared" si="28"/>
        <v>232765</v>
      </c>
      <c r="O30" s="47">
        <f t="shared" si="26"/>
        <v>11.29435387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2060897</v>
      </c>
      <c r="M32" s="61">
        <f t="shared" si="30"/>
        <v>0</v>
      </c>
      <c r="N32" s="61">
        <f t="shared" si="30"/>
        <v>232765</v>
      </c>
      <c r="O32" s="61">
        <f t="shared" si="31"/>
        <v>11.29435387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2060897</v>
      </c>
      <c r="M34" s="61">
        <f t="shared" si="33"/>
        <v>0</v>
      </c>
      <c r="N34" s="61">
        <f t="shared" si="33"/>
        <v>232765</v>
      </c>
      <c r="O34" s="61">
        <f t="shared" si="31"/>
        <v>11.29435387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3657110</v>
      </c>
      <c r="M37" s="75">
        <f t="shared" si="34"/>
        <v>1970770</v>
      </c>
      <c r="N37" s="75">
        <f t="shared" si="34"/>
        <v>1043280</v>
      </c>
      <c r="O37" s="76">
        <f t="shared" si="31"/>
        <v>28.5274438</v>
      </c>
      <c r="P37" s="76">
        <f t="shared" si="27"/>
        <v>52.93768426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684100</v>
      </c>
      <c r="M41" s="102">
        <f t="shared" si="35"/>
        <v>352000</v>
      </c>
      <c r="N41" s="102">
        <f t="shared" si="35"/>
        <v>224784</v>
      </c>
      <c r="O41" s="101">
        <f t="shared" ref="O41:O43" si="37">IF(L41&gt;0,N41*100/L41,0)</f>
        <v>32.85835404</v>
      </c>
      <c r="P41" s="101">
        <f t="shared" ref="P41:P43" si="38">IF(M41&gt;0,N41*100/M41,0)</f>
        <v>63.85909091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684100</v>
      </c>
      <c r="M43" s="102">
        <f t="shared" si="39"/>
        <v>352000</v>
      </c>
      <c r="N43" s="102">
        <f t="shared" si="39"/>
        <v>224784</v>
      </c>
      <c r="O43" s="101">
        <f t="shared" si="37"/>
        <v>32.85835404</v>
      </c>
      <c r="P43" s="101">
        <f t="shared" si="38"/>
        <v>63.85909091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684100</v>
      </c>
      <c r="M45" s="115">
        <f>IFERROR(__xludf.DUMMYFUNCTION("IMPORTRANGE(""https://docs.google.com/spreadsheets/d/1Yj_ptqi66GCucihVvJfMjLAmec39IyEx_6qawtMGysU/edit?usp=sharing"",""สบก!Q82"")"),352000.0)</f>
        <v>352000</v>
      </c>
      <c r="N45" s="115">
        <f>IFERROR(__xludf.DUMMYFUNCTION("IMPORTRANGE(""https://docs.google.com/spreadsheets/d/1Yj_ptqi66GCucihVvJfMjLAmec39IyEx_6qawtMGysU/edit?usp=sharing"",""สบก!R82"")"),224784.0)</f>
        <v>224784</v>
      </c>
      <c r="O45" s="116">
        <f>IF(L45&gt;0,N45*100/L45,0)</f>
        <v>32.85835404</v>
      </c>
      <c r="P45" s="116">
        <f>IF(M45&gt;0,N45*100/M45,0)</f>
        <v>63.85909091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IFERROR(__xludf.DUMMYFUNCTION("IMPORTRANGE(""https://docs.google.com/spreadsheets/d/1Yj_ptqi66GCucihVvJfMjLAmec39IyEx_6qawtMGysU/edit?usp=sharing"",""สบก!M82"")"),684100.0)</f>
        <v>684100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IFERROR(__xludf.DUMMYFUNCTION("IMPORTRANGE(""https://docs.google.com/spreadsheets/d/1Yj_ptqi66GCucihVvJfMjLAmec39IyEx_6qawtMGysU/edit?usp=sharing"",""สบก!N82"")"),0.0)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IFERROR(__xludf.DUMMYFUNCTION("IMPORTRANGE(""https://docs.google.com/spreadsheets/d/1Yj_ptqi66GCucihVvJfMjLAmec39IyEx_6qawtMGysU/edit?usp=sharing"",""สบก!O82"")"),0.0)</f>
        <v>0</v>
      </c>
      <c r="M49" s="125"/>
      <c r="N49" s="115">
        <f>IFERROR(__xludf.DUMMYFUNCTION("IMPORTRANGE(""https://docs.google.com/spreadsheets/d/1Yj_ptqi66GCucihVvJfMjLAmec39IyEx_6qawtMGysU/edit?usp=sharing"",""สบก!S82"")"),0.0)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500000</v>
      </c>
      <c r="M53" s="151">
        <f t="shared" si="40"/>
        <v>268000</v>
      </c>
      <c r="N53" s="151">
        <f t="shared" si="40"/>
        <v>250998</v>
      </c>
      <c r="O53" s="150">
        <f t="shared" ref="O53:O55" si="42">IF(L53&gt;0,N53*100/L53,0)</f>
        <v>50.1996</v>
      </c>
      <c r="P53" s="150">
        <f t="shared" ref="P53:P55" si="43">IF(M53&gt;0,N53*100/M53,0)</f>
        <v>93.65597015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500000</v>
      </c>
      <c r="M55" s="151">
        <f t="shared" si="44"/>
        <v>268000</v>
      </c>
      <c r="N55" s="151">
        <f t="shared" si="44"/>
        <v>250998</v>
      </c>
      <c r="O55" s="150">
        <f t="shared" si="42"/>
        <v>50.1996</v>
      </c>
      <c r="P55" s="150">
        <f t="shared" si="43"/>
        <v>93.65597015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500000</v>
      </c>
      <c r="M57" s="115">
        <f>IFERROR(__xludf.DUMMYFUNCTION("IMPORTRANGE(""https://docs.google.com/spreadsheets/d/1Yj_ptqi66GCucihVvJfMjLAmec39IyEx_6qawtMGysU/edit?usp=sharing"",""สบก!Z82"")"),268000.0)</f>
        <v>268000</v>
      </c>
      <c r="N57" s="115">
        <f>IFERROR(__xludf.DUMMYFUNCTION("IMPORTRANGE(""https://docs.google.com/spreadsheets/d/1Yj_ptqi66GCucihVvJfMjLAmec39IyEx_6qawtMGysU/edit?usp=sharing"",""สบก!AA82"")"),250998.0)</f>
        <v>250998</v>
      </c>
      <c r="O57" s="116">
        <f>IF(L57&gt;0,N57*100/L57,0)</f>
        <v>50.1996</v>
      </c>
      <c r="P57" s="116">
        <f>IF(M57&gt;0,N57*100/M57,0)</f>
        <v>93.65597015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IFERROR(__xludf.DUMMYFUNCTION("IMPORTRANGE(""https://docs.google.com/spreadsheets/d/1Yj_ptqi66GCucihVvJfMjLAmec39IyEx_6qawtMGysU/edit?usp=sharing"",""สบก!V82"")"),500000.0)</f>
        <v>500000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IFERROR(__xludf.DUMMYFUNCTION("IMPORTRANGE(""https://docs.google.com/spreadsheets/d/1Yj_ptqi66GCucihVvJfMjLAmec39IyEx_6qawtMGysU/edit?usp=sharing"",""สบก!W82"")"),0.0)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IFERROR(__xludf.DUMMYFUNCTION("IMPORTRANGE(""https://docs.google.com/spreadsheets/d/1Yj_ptqi66GCucihVvJfMjLAmec39IyEx_6qawtMGysU/edit?usp=sharing"",""สบก!X82"")"),0.0)</f>
        <v>0</v>
      </c>
      <c r="M61" s="125"/>
      <c r="N61" s="115">
        <f>IFERROR(__xludf.DUMMYFUNCTION("IMPORTRANGE(""https://docs.google.com/spreadsheets/d/1Yj_ptqi66GCucihVvJfMjLAmec39IyEx_6qawtMGysU/edit?usp=sharing"",""สบก!AB82"")"),0.0)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IFERROR(__xludf.DUMMYFUNCTION("IMPORTRANGE(""https://docs.google.com/spreadsheets/d/1IYY_tgx_IHuhSq3AJ5eI5OnqOPBNLWSHKh2a30DoXe8/edit?usp=sharing"",""ชุมพร!I9"")"),2.0)</f>
        <v>2</v>
      </c>
      <c r="J64" s="172">
        <f>IFERROR(__xludf.DUMMYFUNCTION("IMPORTRANGE(""https://docs.google.com/spreadsheets/d/1IYY_tgx_IHuhSq3AJ5eI5OnqOPBNLWSHKh2a30DoXe8/edit?usp=sharing"",""ชุมพร!J9"")"),2.0)</f>
        <v>2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IFERROR(__xludf.DUMMYFUNCTION("IMPORTRANGE(""https://docs.google.com/spreadsheets/d/1IYY_tgx_IHuhSq3AJ5eI5OnqOPBNLWSHKh2a30DoXe8/edit?usp=sharing"",""ชุมพร!I10"")"),70.0)</f>
        <v>70</v>
      </c>
      <c r="J65" s="172">
        <f>IFERROR(__xludf.DUMMYFUNCTION("IMPORTRANGE(""https://docs.google.com/spreadsheets/d/1IYY_tgx_IHuhSq3AJ5eI5OnqOPBNLWSHKh2a30DoXe8/edit?usp=sharing"",""ชุมพร!J10"")"),70.0)</f>
        <v>70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780800</v>
      </c>
      <c r="M66" s="183">
        <f t="shared" si="46"/>
        <v>462900</v>
      </c>
      <c r="N66" s="183">
        <f t="shared" si="46"/>
        <v>138880</v>
      </c>
      <c r="O66" s="182">
        <f t="shared" ref="O66:O68" si="48">IF(L66&gt;0,N66*100/L66,0)</f>
        <v>17.78688525</v>
      </c>
      <c r="P66" s="182">
        <f t="shared" ref="P66:P68" si="49">IF(M66&gt;0,N66*100/M66,0)</f>
        <v>30.00216029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780800</v>
      </c>
      <c r="M68" s="188">
        <f t="shared" si="50"/>
        <v>462900</v>
      </c>
      <c r="N68" s="188">
        <f t="shared" si="50"/>
        <v>138880</v>
      </c>
      <c r="O68" s="187">
        <f t="shared" si="48"/>
        <v>17.78688525</v>
      </c>
      <c r="P68" s="187">
        <f t="shared" si="49"/>
        <v>30.00216029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780800</v>
      </c>
      <c r="M70" s="201">
        <f>IFERROR(__xludf.DUMMYFUNCTION("IMPORTRANGE(""https://docs.google.com/spreadsheets/d/1Yj_ptqi66GCucihVvJfMjLAmec39IyEx_6qawtMGysU/edit?usp=sharing"",""สบก!AI82"")"),462900.0)</f>
        <v>462900</v>
      </c>
      <c r="N70" s="202">
        <f>IFERROR(__xludf.DUMMYFUNCTION("IMPORTRANGE(""https://docs.google.com/spreadsheets/d/1Yj_ptqi66GCucihVvJfMjLAmec39IyEx_6qawtMGysU/edit?usp=sharing"",""สบก!AJ82"")"),138880.0)</f>
        <v>138880</v>
      </c>
      <c r="O70" s="203">
        <f>IF(L70&gt;0,N70*100/L70,0)</f>
        <v>17.78688525</v>
      </c>
      <c r="P70" s="203">
        <f>IF(M70&gt;0,N70*100/M70,0)</f>
        <v>30.00216029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IFERROR(__xludf.DUMMYFUNCTION("IMPORTRANGE(""https://docs.google.com/spreadsheets/d/1Yj_ptqi66GCucihVvJfMjLAmec39IyEx_6qawtMGysU/edit?usp=sharing"",""สบก!AE82"")"),180800.0)</f>
        <v>180800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IFERROR(__xludf.DUMMYFUNCTION("IMPORTRANGE(""https://docs.google.com/spreadsheets/d/1Yj_ptqi66GCucihVvJfMjLAmec39IyEx_6qawtMGysU/edit?usp=sharing"",""สบก!AF82"")"),600000.0)</f>
        <v>600000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IFERROR(__xludf.DUMMYFUNCTION("IMPORTRANGE(""https://docs.google.com/spreadsheets/d/1Yj_ptqi66GCucihVvJfMjLAmec39IyEx_6qawtMGysU/edit?usp=sharing"",""สบก!AG82"")"),0.0)</f>
        <v>0</v>
      </c>
      <c r="M74" s="125"/>
      <c r="N74" s="115">
        <f>IFERROR(__xludf.DUMMYFUNCTION("IMPORTRANGE(""https://docs.google.com/spreadsheets/d/1Yj_ptqi66GCucihVvJfMjLAmec39IyEx_6qawtMGysU/edit?usp=sharing"",""สบก!AK82"")"),0.0)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IFERROR(__xludf.DUMMYFUNCTION("IMPORTRANGE(""https://docs.google.com/spreadsheets/d/1IYY_tgx_IHuhSq3AJ5eI5OnqOPBNLWSHKh2a30DoXe8/edit?usp=sharing"",""ชุมพร!J16"")"),0.0)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IFERROR(__xludf.DUMMYFUNCTION("IMPORTRANGE(""https://docs.google.com/spreadsheets/d/1IYY_tgx_IHuhSq3AJ5eI5OnqOPBNLWSHKh2a30DoXe8/edit?usp=sharing"",""ชุมพร!J17"")"),1.0)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IFERROR(__xludf.DUMMYFUNCTION("IMPORTRANGE(""https://docs.google.com/spreadsheets/d/1IYY_tgx_IHuhSq3AJ5eI5OnqOPBNLWSHKh2a30DoXe8/edit?usp=sharing"",""ชุมพร!J18"")"),1.0)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IFERROR(__xludf.DUMMYFUNCTION("IMPORTRANGE(""https://docs.google.com/spreadsheets/d/1IYY_tgx_IHuhSq3AJ5eI5OnqOPBNLWSHKh2a30DoXe8/edit?usp=sharing"",""ชุมพร!J19"")"),1.0)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IFERROR(__xludf.DUMMYFUNCTION("IMPORTRANGE(""https://docs.google.com/spreadsheets/d/1IYY_tgx_IHuhSq3AJ5eI5OnqOPBNLWSHKh2a30DoXe8/edit?usp=sharing"",""ชุมพร!I20"")"),2.0)</f>
        <v>2</v>
      </c>
      <c r="J80" s="235">
        <f>IFERROR(__xludf.DUMMYFUNCTION("IMPORTRANGE(""https://docs.google.com/spreadsheets/d/1IYY_tgx_IHuhSq3AJ5eI5OnqOPBNLWSHKh2a30DoXe8/edit?usp=sharing"",""ชุมพร!J20"")"),2.0)</f>
        <v>2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IFERROR(__xludf.DUMMYFUNCTION("IMPORTRANGE(""https://docs.google.com/spreadsheets/d/1IYY_tgx_IHuhSq3AJ5eI5OnqOPBNLWSHKh2a30DoXe8/edit?usp=sharing"",""ชุมพร!I21"")"),70.0)</f>
        <v>70</v>
      </c>
      <c r="J81" s="235">
        <f>IFERROR(__xludf.DUMMYFUNCTION("IMPORTRANGE(""https://docs.google.com/spreadsheets/d/1IYY_tgx_IHuhSq3AJ5eI5OnqOPBNLWSHKh2a30DoXe8/edit?usp=sharing"",""ชุมพร!J21"")"),70.0)</f>
        <v>70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IFERROR(__xludf.DUMMYFUNCTION("IMPORTRANGE(""https://docs.google.com/spreadsheets/d/1IYY_tgx_IHuhSq3AJ5eI5OnqOPBNLWSHKh2a30DoXe8/edit?usp=sharing"",""ชุมพร!I22"")"),0.0)</f>
        <v>0</v>
      </c>
      <c r="J82" s="238">
        <f>IFERROR(__xludf.DUMMYFUNCTION("IMPORTRANGE(""https://docs.google.com/spreadsheets/d/1IYY_tgx_IHuhSq3AJ5eI5OnqOPBNLWSHKh2a30DoXe8/edit?usp=sharing"",""ชุมพร!J22"")"),0.0)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IFERROR(__xludf.DUMMYFUNCTION("IMPORTRANGE(""https://docs.google.com/spreadsheets/d/1IYY_tgx_IHuhSq3AJ5eI5OnqOPBNLWSHKh2a30DoXe8/edit?usp=sharing"",""ชุมพร!I23"")"),0.0)</f>
        <v>0</v>
      </c>
      <c r="J83" s="238">
        <f>IFERROR(__xludf.DUMMYFUNCTION("IMPORTRANGE(""https://docs.google.com/spreadsheets/d/1IYY_tgx_IHuhSq3AJ5eI5OnqOPBNLWSHKh2a30DoXe8/edit?usp=sharing"",""ชุมพร!J23"")"),0.0)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IFERROR(__xludf.DUMMYFUNCTION("IMPORTRANGE(""https://docs.google.com/spreadsheets/d/1IYY_tgx_IHuhSq3AJ5eI5OnqOPBNLWSHKh2a30DoXe8/edit?usp=sharing"",""ชุมพร!I24"")"),0.0)</f>
        <v>0</v>
      </c>
      <c r="J84" s="223">
        <f>IFERROR(__xludf.DUMMYFUNCTION("IMPORTRANGE(""https://docs.google.com/spreadsheets/d/1IYY_tgx_IHuhSq3AJ5eI5OnqOPBNLWSHKh2a30DoXe8/edit?usp=sharing"",""ชุมพร!J24"")"),0.0)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IFERROR(__xludf.DUMMYFUNCTION("IMPORTRANGE(""https://docs.google.com/spreadsheets/d/1IYY_tgx_IHuhSq3AJ5eI5OnqOPBNLWSHKh2a30DoXe8/edit?usp=sharing"",""ชุมพร!I25"")"),0.0)</f>
        <v>0</v>
      </c>
      <c r="J85" s="223">
        <f>IFERROR(__xludf.DUMMYFUNCTION("IMPORTRANGE(""https://docs.google.com/spreadsheets/d/1IYY_tgx_IHuhSq3AJ5eI5OnqOPBNLWSHKh2a30DoXe8/edit?usp=sharing"",""ชุมพร!J25"")"),0.0)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IFERROR(__xludf.DUMMYFUNCTION("IMPORTRANGE(""https://docs.google.com/spreadsheets/d/1IYY_tgx_IHuhSq3AJ5eI5OnqOPBNLWSHKh2a30DoXe8/edit?usp=sharing"",""ชุมพร!I26"")"),2.0)</f>
        <v>2</v>
      </c>
      <c r="J86" s="238">
        <f>IFERROR(__xludf.DUMMYFUNCTION("IMPORTRANGE(""https://docs.google.com/spreadsheets/d/1IYY_tgx_IHuhSq3AJ5eI5OnqOPBNLWSHKh2a30DoXe8/edit?usp=sharing"",""ชุมพร!J26"")"),2.0)</f>
        <v>2</v>
      </c>
      <c r="K86" s="196">
        <f t="shared" si="51"/>
        <v>100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IFERROR(__xludf.DUMMYFUNCTION("IMPORTRANGE(""https://docs.google.com/spreadsheets/d/1IYY_tgx_IHuhSq3AJ5eI5OnqOPBNLWSHKh2a30DoXe8/edit?usp=sharing"",""ชุมพร!I27"")"),70.0)</f>
        <v>70</v>
      </c>
      <c r="J87" s="238">
        <f>IFERROR(__xludf.DUMMYFUNCTION("IMPORTRANGE(""https://docs.google.com/spreadsheets/d/1IYY_tgx_IHuhSq3AJ5eI5OnqOPBNLWSHKh2a30DoXe8/edit?usp=sharing"",""ชุมพร!J27"")"),70.0)</f>
        <v>70</v>
      </c>
      <c r="K87" s="196">
        <f t="shared" si="51"/>
        <v>100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IFERROR(__xludf.DUMMYFUNCTION("IMPORTRANGE(""https://docs.google.com/spreadsheets/d/1IYY_tgx_IHuhSq3AJ5eI5OnqOPBNLWSHKh2a30DoXe8/edit?usp=sharing"",""ชุมพร!I28"")"),0.0)</f>
        <v>0</v>
      </c>
      <c r="J88" s="238">
        <f>IFERROR(__xludf.DUMMYFUNCTION("IMPORTRANGE(""https://docs.google.com/spreadsheets/d/1IYY_tgx_IHuhSq3AJ5eI5OnqOPBNLWSHKh2a30DoXe8/edit?usp=sharing"",""ชุมพร!J28"")"),0.0)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IFERROR(__xludf.DUMMYFUNCTION("IMPORTRANGE(""https://docs.google.com/spreadsheets/d/1IYY_tgx_IHuhSq3AJ5eI5OnqOPBNLWSHKh2a30DoXe8/edit?usp=sharing"",""ชุมพร!J29"")"),0.0)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IFERROR(__xludf.DUMMYFUNCTION("IMPORTRANGE(""https://docs.google.com/spreadsheets/d/1IYY_tgx_IHuhSq3AJ5eI5OnqOPBNLWSHKh2a30DoXe8/edit?usp=sharing"",""ชุมพร!J30"")"),0.0)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IFERROR(__xludf.DUMMYFUNCTION("IMPORTRANGE(""https://docs.google.com/spreadsheets/d/1IYY_tgx_IHuhSq3AJ5eI5OnqOPBNLWSHKh2a30DoXe8/edit?usp=sharing"",""ชุมพร!I32"")"),4.0)</f>
        <v>4</v>
      </c>
      <c r="J92" s="172">
        <f>IFERROR(__xludf.DUMMYFUNCTION("IMPORTRANGE(""https://docs.google.com/spreadsheets/d/1IYY_tgx_IHuhSq3AJ5eI5OnqOPBNLWSHKh2a30DoXe8/edit?usp=sharing"",""ชุมพร!J32"")"),0.0)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IFERROR(__xludf.DUMMYFUNCTION("IMPORTRANGE(""https://docs.google.com/spreadsheets/d/1IYY_tgx_IHuhSq3AJ5eI5OnqOPBNLWSHKh2a30DoXe8/edit?usp=sharing"",""ชุมพร!I33"")"),1.0)</f>
        <v>1</v>
      </c>
      <c r="J93" s="172">
        <f>IFERROR(__xludf.DUMMYFUNCTION("IMPORTRANGE(""https://docs.google.com/spreadsheets/d/1IYY_tgx_IHuhSq3AJ5eI5OnqOPBNLWSHKh2a30DoXe8/edit?usp=sharing"",""ชุมพร!J33"")"),1.0)</f>
        <v>1</v>
      </c>
      <c r="K93" s="173">
        <f t="shared" si="52"/>
        <v>100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98590</v>
      </c>
      <c r="O94" s="182">
        <f t="shared" ref="O94:O96" si="55">IF(L94&gt;0,N94*100/L94,0)</f>
        <v>45.96270396</v>
      </c>
      <c r="P94" s="182">
        <f t="shared" ref="P94:P96" si="56">IF(M94&gt;0,N94*100/M94,0)</f>
        <v>143.4453659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98590</v>
      </c>
      <c r="O96" s="187">
        <f t="shared" si="55"/>
        <v>45.96270396</v>
      </c>
      <c r="P96" s="187">
        <f t="shared" si="56"/>
        <v>143.4453659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IFERROR(__xludf.DUMMYFUNCTION("IMPORTRANGE(""https://docs.google.com/spreadsheets/d/1Yj_ptqi66GCucihVvJfMjLAmec39IyEx_6qawtMGysU/edit?usp=sharing"",""สบก!AR82"")"),68730.0)</f>
        <v>68730</v>
      </c>
      <c r="N98" s="202">
        <f>IFERROR(__xludf.DUMMYFUNCTION("IMPORTRANGE(""https://docs.google.com/spreadsheets/d/1Yj_ptqi66GCucihVvJfMjLAmec39IyEx_6qawtMGysU/edit?usp=sharing"",""สบก!AS82"")"),6190.0)</f>
        <v>6190</v>
      </c>
      <c r="O98" s="203">
        <f>IF(L98&gt;0,N98*100/L98,0)</f>
        <v>5.06961507</v>
      </c>
      <c r="P98" s="203">
        <f>IF(M98&gt;0,N98*100/M98,0)</f>
        <v>9.006256365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IFERROR(__xludf.DUMMYFUNCTION("IMPORTRANGE(""https://docs.google.com/spreadsheets/d/1Yj_ptqi66GCucihVvJfMjLAmec39IyEx_6qawtMGysU/edit?usp=sharing"",""สบก!AN82"")"),0.0)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IFERROR(__xludf.DUMMYFUNCTION("IMPORTRANGE(""https://docs.google.com/spreadsheets/d/1Yj_ptqi66GCucihVvJfMjLAmec39IyEx_6qawtMGysU/edit?usp=sharing"",""สบก!AO82"")"),122100.0)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IFERROR(__xludf.DUMMYFUNCTION("IMPORTRANGE(""https://docs.google.com/spreadsheets/d/1Yj_ptqi66GCucihVvJfMjLAmec39IyEx_6qawtMGysU/edit?usp=sharing"",""สบก!AP82"")"),92400.0)</f>
        <v>92400</v>
      </c>
      <c r="M102" s="125"/>
      <c r="N102" s="115">
        <f>IFERROR(__xludf.DUMMYFUNCTION("IMPORTRANGE(""https://docs.google.com/spreadsheets/d/1Yj_ptqi66GCucihVvJfMjLAmec39IyEx_6qawtMGysU/edit?usp=sharing"",""สบก!AT82"")"),92400.0)</f>
        <v>92400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IFERROR(__xludf.DUMMYFUNCTION("IMPORTRANGE(""https://docs.google.com/spreadsheets/d/1IYY_tgx_IHuhSq3AJ5eI5OnqOPBNLWSHKh2a30DoXe8/edit?usp=sharing"",""ชุมพร!J39"")"),0.0)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IFERROR(__xludf.DUMMYFUNCTION("IMPORTRANGE(""https://docs.google.com/spreadsheets/d/1IYY_tgx_IHuhSq3AJ5eI5OnqOPBNLWSHKh2a30DoXe8/edit?usp=sharing"",""ชุมพร!J40"")"),1.0)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IFERROR(__xludf.DUMMYFUNCTION("IMPORTRANGE(""https://docs.google.com/spreadsheets/d/1IYY_tgx_IHuhSq3AJ5eI5OnqOPBNLWSHKh2a30DoXe8/edit?usp=sharing"",""ชุมพร!J41"")"),1.0)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IFERROR(__xludf.DUMMYFUNCTION("IMPORTRANGE(""https://docs.google.com/spreadsheets/d/1IYY_tgx_IHuhSq3AJ5eI5OnqOPBNLWSHKh2a30DoXe8/edit?usp=sharing"",""ชุมพร!J42"")"),1.0)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IFERROR(__xludf.DUMMYFUNCTION("IMPORTRANGE(""https://docs.google.com/spreadsheets/d/1IYY_tgx_IHuhSq3AJ5eI5OnqOPBNLWSHKh2a30DoXe8/edit?usp=sharing"",""ชุมพร!I43"")"),1.0)</f>
        <v>1</v>
      </c>
      <c r="J108" s="238">
        <f>IFERROR(__xludf.DUMMYFUNCTION("IMPORTRANGE(""https://docs.google.com/spreadsheets/d/1IYY_tgx_IHuhSq3AJ5eI5OnqOPBNLWSHKh2a30DoXe8/edit?usp=sharing"",""ชุมพร!J43"")"),0.0)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IFERROR(__xludf.DUMMYFUNCTION("IMPORTRANGE(""https://docs.google.com/spreadsheets/d/1IYY_tgx_IHuhSq3AJ5eI5OnqOPBNLWSHKh2a30DoXe8/edit?usp=sharing"",""ชุมพร!I44"")"),4.0)</f>
        <v>4</v>
      </c>
      <c r="J109" s="238">
        <f>IFERROR(__xludf.DUMMYFUNCTION("IMPORTRANGE(""https://docs.google.com/spreadsheets/d/1IYY_tgx_IHuhSq3AJ5eI5OnqOPBNLWSHKh2a30DoXe8/edit?usp=sharing"",""ชุมพร!J44"")"),0.0)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IFERROR(__xludf.DUMMYFUNCTION("IMPORTRANGE(""https://docs.google.com/spreadsheets/d/1IYY_tgx_IHuhSq3AJ5eI5OnqOPBNLWSHKh2a30DoXe8/edit?usp=sharing"",""ชุมพร!I45"")"),4.0)</f>
        <v>4</v>
      </c>
      <c r="J110" s="238">
        <f>IFERROR(__xludf.DUMMYFUNCTION("IMPORTRANGE(""https://docs.google.com/spreadsheets/d/1IYY_tgx_IHuhSq3AJ5eI5OnqOPBNLWSHKh2a30DoXe8/edit?usp=sharing"",""ชุมพร!J45"")"),4.0)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IFERROR(__xludf.DUMMYFUNCTION("IMPORTRANGE(""https://docs.google.com/spreadsheets/d/1IYY_tgx_IHuhSq3AJ5eI5OnqOPBNLWSHKh2a30DoXe8/edit?usp=sharing"",""ชุมพร!I46"")"),4.0)</f>
        <v>4</v>
      </c>
      <c r="J111" s="238">
        <f>IFERROR(__xludf.DUMMYFUNCTION("IMPORTRANGE(""https://docs.google.com/spreadsheets/d/1IYY_tgx_IHuhSq3AJ5eI5OnqOPBNLWSHKh2a30DoXe8/edit?usp=sharing"",""ชุมพร!J46"")"),0.0)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IFERROR(__xludf.DUMMYFUNCTION("IMPORTRANGE(""https://docs.google.com/spreadsheets/d/1IYY_tgx_IHuhSq3AJ5eI5OnqOPBNLWSHKh2a30DoXe8/edit?usp=sharing"",""ชุมพร!I47"")"),4.0)</f>
        <v>4</v>
      </c>
      <c r="J112" s="238">
        <f>IFERROR(__xludf.DUMMYFUNCTION("IMPORTRANGE(""https://docs.google.com/spreadsheets/d/1IYY_tgx_IHuhSq3AJ5eI5OnqOPBNLWSHKh2a30DoXe8/edit?usp=sharing"",""ชุมพร!J47"")"),0.0)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IFERROR(__xludf.DUMMYFUNCTION("IMPORTRANGE(""https://docs.google.com/spreadsheets/d/1IYY_tgx_IHuhSq3AJ5eI5OnqOPBNLWSHKh2a30DoXe8/edit?usp=sharing"",""ชุมพร!I48"")"),1.0)</f>
        <v>1</v>
      </c>
      <c r="J113" s="238">
        <f>IFERROR(__xludf.DUMMYFUNCTION("IMPORTRANGE(""https://docs.google.com/spreadsheets/d/1IYY_tgx_IHuhSq3AJ5eI5OnqOPBNLWSHKh2a30DoXe8/edit?usp=sharing"",""ชุมพร!J48"")"),1.0)</f>
        <v>1</v>
      </c>
      <c r="K113" s="258">
        <f t="shared" si="58"/>
        <v>100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IFERROR(__xludf.DUMMYFUNCTION("IMPORTRANGE(""https://docs.google.com/spreadsheets/d/1IYY_tgx_IHuhSq3AJ5eI5OnqOPBNLWSHKh2a30DoXe8/edit?usp=sharing"",""ชุมพร!J49"")"),0.0)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IFERROR(__xludf.DUMMYFUNCTION("IMPORTRANGE(""https://docs.google.com/spreadsheets/d/1IYY_tgx_IHuhSq3AJ5eI5OnqOPBNLWSHKh2a30DoXe8/edit?usp=sharing"",""ชุมพร!J50"")"),0.0)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IFERROR(__xludf.DUMMYFUNCTION("IMPORTRANGE(""https://docs.google.com/spreadsheets/d/1IYY_tgx_IHuhSq3AJ5eI5OnqOPBNLWSHKh2a30DoXe8/edit?usp=sharing"",""ชุมพร!I52"")"),15.0)</f>
        <v>15</v>
      </c>
      <c r="J117" s="172">
        <f>IFERROR(__xludf.DUMMYFUNCTION("IMPORTRANGE(""https://docs.google.com/spreadsheets/d/1IYY_tgx_IHuhSq3AJ5eI5OnqOPBNLWSHKh2a30DoXe8/edit?usp=sharing"",""ชุมพร!J52"")"),15.0)</f>
        <v>15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64890</v>
      </c>
      <c r="M118" s="183">
        <f t="shared" si="59"/>
        <v>52890</v>
      </c>
      <c r="N118" s="183">
        <f t="shared" si="59"/>
        <v>4275</v>
      </c>
      <c r="O118" s="182">
        <f t="shared" ref="O118:O120" si="61">IF(L118&gt;0,N118*100/L118,0)</f>
        <v>6.588072122</v>
      </c>
      <c r="P118" s="182">
        <f t="shared" ref="P118:P120" si="62">IF(M118&gt;0,N118*100/M118,0)</f>
        <v>8.082813386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64890</v>
      </c>
      <c r="M120" s="188">
        <f t="shared" si="63"/>
        <v>52890</v>
      </c>
      <c r="N120" s="188">
        <f t="shared" si="63"/>
        <v>4275</v>
      </c>
      <c r="O120" s="187">
        <f t="shared" si="61"/>
        <v>6.588072122</v>
      </c>
      <c r="P120" s="187">
        <f t="shared" si="62"/>
        <v>8.082813386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64890</v>
      </c>
      <c r="M122" s="201">
        <f>IFERROR(__xludf.DUMMYFUNCTION("IMPORTRANGE(""https://docs.google.com/spreadsheets/d/1Yj_ptqi66GCucihVvJfMjLAmec39IyEx_6qawtMGysU/edit?usp=sharing"",""สบก!BA82"")"),52890.0)</f>
        <v>52890</v>
      </c>
      <c r="N122" s="202">
        <f>IFERROR(__xludf.DUMMYFUNCTION("IMPORTRANGE(""https://docs.google.com/spreadsheets/d/1Yj_ptqi66GCucihVvJfMjLAmec39IyEx_6qawtMGysU/edit?usp=sharing"",""สบก!BB82"")"),4275.0)</f>
        <v>4275</v>
      </c>
      <c r="O122" s="203">
        <f>IF(L122&gt;0,N122*100/L122,0)</f>
        <v>6.588072122</v>
      </c>
      <c r="P122" s="203">
        <f>IF(M122&gt;0,N122*100/M122,0)</f>
        <v>8.082813386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IFERROR(__xludf.DUMMYFUNCTION("IMPORTRANGE(""https://docs.google.com/spreadsheets/d/1Yj_ptqi66GCucihVvJfMjLAmec39IyEx_6qawtMGysU/edit?usp=sharing"",""สบก!AW82"")"),0.0)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IFERROR(__xludf.DUMMYFUNCTION("IMPORTRANGE(""https://docs.google.com/spreadsheets/d/1Yj_ptqi66GCucihVvJfMjLAmec39IyEx_6qawtMGysU/edit?usp=sharing"",""สบก!AX82"")"),64890.0)</f>
        <v>64890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IFERROR(__xludf.DUMMYFUNCTION("IMPORTRANGE(""https://docs.google.com/spreadsheets/d/1Yj_ptqi66GCucihVvJfMjLAmec39IyEx_6qawtMGysU/edit?usp=sharing"",""สบก!AY82"")"),0.0)</f>
        <v>0</v>
      </c>
      <c r="M126" s="125"/>
      <c r="N126" s="115">
        <f>IFERROR(__xludf.DUMMYFUNCTION("IMPORTRANGE(""https://docs.google.com/spreadsheets/d/1Yj_ptqi66GCucihVvJfMjLAmec39IyEx_6qawtMGysU/edit?usp=sharing"",""สบก!BC82"")"),0.0)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IFERROR(__xludf.DUMMYFUNCTION("IMPORTRANGE(""https://docs.google.com/spreadsheets/d/1IYY_tgx_IHuhSq3AJ5eI5OnqOPBNLWSHKh2a30DoXe8/edit?usp=sharing"",""ชุมพร!J58"")"),0.0)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IFERROR(__xludf.DUMMYFUNCTION("IMPORTRANGE(""https://docs.google.com/spreadsheets/d/1IYY_tgx_IHuhSq3AJ5eI5OnqOPBNLWSHKh2a30DoXe8/edit?usp=sharing"",""ชุมพร!J59"")"),1.0)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IFERROR(__xludf.DUMMYFUNCTION("IMPORTRANGE(""https://docs.google.com/spreadsheets/d/1IYY_tgx_IHuhSq3AJ5eI5OnqOPBNLWSHKh2a30DoXe8/edit?usp=sharing"",""ชุมพร!J60"")"),1.0)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IFERROR(__xludf.DUMMYFUNCTION("IMPORTRANGE(""https://docs.google.com/spreadsheets/d/1IYY_tgx_IHuhSq3AJ5eI5OnqOPBNLWSHKh2a30DoXe8/edit?usp=sharing"",""ชุมพร!J61"")"),1.0)</f>
        <v>1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IFERROR(__xludf.DUMMYFUNCTION("IMPORTRANGE(""https://docs.google.com/spreadsheets/d/1IYY_tgx_IHuhSq3AJ5eI5OnqOPBNLWSHKh2a30DoXe8/edit?usp=sharing"",""ชุมพร!I62"")"),15.0)</f>
        <v>15</v>
      </c>
      <c r="J132" s="238">
        <f>IFERROR(__xludf.DUMMYFUNCTION("IMPORTRANGE(""https://docs.google.com/spreadsheets/d/1IYY_tgx_IHuhSq3AJ5eI5OnqOPBNLWSHKh2a30DoXe8/edit?usp=sharing"",""ชุมพร!J62"")"),15.0)</f>
        <v>15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IFERROR(__xludf.DUMMYFUNCTION("IMPORTRANGE(""https://docs.google.com/spreadsheets/d/1IYY_tgx_IHuhSq3AJ5eI5OnqOPBNLWSHKh2a30DoXe8/edit?usp=sharing"",""ชุมพร!I63"")"),15.0)</f>
        <v>15</v>
      </c>
      <c r="J133" s="238">
        <f>IFERROR(__xludf.DUMMYFUNCTION("IMPORTRANGE(""https://docs.google.com/spreadsheets/d/1IYY_tgx_IHuhSq3AJ5eI5OnqOPBNLWSHKh2a30DoXe8/edit?usp=sharing"",""ชุมพร!J63"")"),0.0)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IFERROR(__xludf.DUMMYFUNCTION("IMPORTRANGE(""https://docs.google.com/spreadsheets/d/1IYY_tgx_IHuhSq3AJ5eI5OnqOPBNLWSHKh2a30DoXe8/edit?usp=sharing"",""ชุมพร!J64"")"),0.0)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IFERROR(__xludf.DUMMYFUNCTION("IMPORTRANGE(""https://docs.google.com/spreadsheets/d/1IYY_tgx_IHuhSq3AJ5eI5OnqOPBNLWSHKh2a30DoXe8/edit?usp=sharing"",""ชุมพร!J65"")"),0.0)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IFERROR(__xludf.DUMMYFUNCTION("IMPORTRANGE(""https://docs.google.com/spreadsheets/d/1IYY_tgx_IHuhSq3AJ5eI5OnqOPBNLWSHKh2a30DoXe8/edit?usp=sharing"",""ชุมพร!I68"")"),15.0)</f>
        <v>15</v>
      </c>
      <c r="J138" s="301">
        <f>IFERROR(__xludf.DUMMYFUNCTION("IMPORTRANGE(""https://docs.google.com/spreadsheets/d/1IYY_tgx_IHuhSq3AJ5eI5OnqOPBNLWSHKh2a30DoXe8/edit?usp=sharing"",""ชุมพร!J68"")"),15.0)</f>
        <v>15</v>
      </c>
      <c r="K138" s="302">
        <f>IF(I138&gt;0,J138*100/I138,0)</f>
        <v>100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206500</v>
      </c>
      <c r="M140" s="183">
        <f t="shared" si="65"/>
        <v>122750</v>
      </c>
      <c r="N140" s="183">
        <f t="shared" si="65"/>
        <v>56093</v>
      </c>
      <c r="O140" s="182">
        <f t="shared" ref="O140:O142" si="67">IF(L140&gt;0,N140*100/L140,0)</f>
        <v>27.16368039</v>
      </c>
      <c r="P140" s="182">
        <f t="shared" ref="P140:P142" si="68">IF(M140&gt;0,N140*100/M140,0)</f>
        <v>45.69694501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206500</v>
      </c>
      <c r="M142" s="188">
        <f t="shared" si="69"/>
        <v>122750</v>
      </c>
      <c r="N142" s="188">
        <f t="shared" si="69"/>
        <v>56093</v>
      </c>
      <c r="O142" s="187">
        <f t="shared" si="67"/>
        <v>27.16368039</v>
      </c>
      <c r="P142" s="187">
        <f t="shared" si="68"/>
        <v>45.69694501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206500</v>
      </c>
      <c r="M144" s="201">
        <f>IFERROR(__xludf.DUMMYFUNCTION("IMPORTRANGE(""https://docs.google.com/spreadsheets/d/1Yj_ptqi66GCucihVvJfMjLAmec39IyEx_6qawtMGysU/edit?usp=sharing"",""สบก!BJ82"")"),122750.0)</f>
        <v>122750</v>
      </c>
      <c r="N144" s="202">
        <f>IFERROR(__xludf.DUMMYFUNCTION("IMPORTRANGE(""https://docs.google.com/spreadsheets/d/1Yj_ptqi66GCucihVvJfMjLAmec39IyEx_6qawtMGysU/edit?usp=sharing"",""สบก!BK82"")"),56093.0)</f>
        <v>56093</v>
      </c>
      <c r="O144" s="203">
        <f>IF(L144&gt;0,N144*100/L144,0)</f>
        <v>27.16368039</v>
      </c>
      <c r="P144" s="203">
        <f>IF(M144&gt;0,N144*100/M144,0)</f>
        <v>45.69694501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IFERROR(__xludf.DUMMYFUNCTION("IMPORTRANGE(""https://docs.google.com/spreadsheets/d/1Yj_ptqi66GCucihVvJfMjLAmec39IyEx_6qawtMGysU/edit?usp=sharing"",""สบก!BF82"")"),132000.0)</f>
        <v>132000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IFERROR(__xludf.DUMMYFUNCTION("IMPORTRANGE(""https://docs.google.com/spreadsheets/d/1Yj_ptqi66GCucihVvJfMjLAmec39IyEx_6qawtMGysU/edit?usp=sharing"",""สบก!BG82"")"),74500.0)</f>
        <v>74500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IFERROR(__xludf.DUMMYFUNCTION("IMPORTRANGE(""https://docs.google.com/spreadsheets/d/1Yj_ptqi66GCucihVvJfMjLAmec39IyEx_6qawtMGysU/edit?usp=sharing"",""สบก!BH82"")"),0.0)</f>
        <v>0</v>
      </c>
      <c r="M148" s="125"/>
      <c r="N148" s="115">
        <f>IFERROR(__xludf.DUMMYFUNCTION("IMPORTRANGE(""https://docs.google.com/spreadsheets/d/1Yj_ptqi66GCucihVvJfMjLAmec39IyEx_6qawtMGysU/edit?usp=sharing"",""สบก!BL82"")"),0.0)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IFERROR(__xludf.DUMMYFUNCTION("IMPORTRANGE(""https://docs.google.com/spreadsheets/d/1IYY_tgx_IHuhSq3AJ5eI5OnqOPBNLWSHKh2a30DoXe8/edit?usp=sharing"",""ชุมพร!I74"")"),4.0)</f>
        <v>4</v>
      </c>
      <c r="J149" s="309">
        <f>IFERROR(__xludf.DUMMYFUNCTION("IMPORTRANGE(""https://docs.google.com/spreadsheets/d/1IYY_tgx_IHuhSq3AJ5eI5OnqOPBNLWSHKh2a30DoXe8/edit?usp=sharing"",""ชุมพร!J74"")"),1.0)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IFERROR(__xludf.DUMMYFUNCTION("IMPORTRANGE(""https://docs.google.com/spreadsheets/d/1IYY_tgx_IHuhSq3AJ5eI5OnqOPBNLWSHKh2a30DoXe8/edit?usp=sharing"",""ชุมพร!J79"")"),0.0)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IFERROR(__xludf.DUMMYFUNCTION("IMPORTRANGE(""https://docs.google.com/spreadsheets/d/1IYY_tgx_IHuhSq3AJ5eI5OnqOPBNLWSHKh2a30DoXe8/edit?usp=sharing"",""ชุมพร!J80"")"),1.0)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IFERROR(__xludf.DUMMYFUNCTION("IMPORTRANGE(""https://docs.google.com/spreadsheets/d/1IYY_tgx_IHuhSq3AJ5eI5OnqOPBNLWSHKh2a30DoXe8/edit?usp=sharing"",""ชุมพร!J81"")"),1.0)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IFERROR(__xludf.DUMMYFUNCTION("IMPORTRANGE(""https://docs.google.com/spreadsheets/d/1IYY_tgx_IHuhSq3AJ5eI5OnqOPBNLWSHKh2a30DoXe8/edit?usp=sharing"",""ชุมพร!J82"")"),1.0)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IFERROR(__xludf.DUMMYFUNCTION("IMPORTRANGE(""https://docs.google.com/spreadsheets/d/1IYY_tgx_IHuhSq3AJ5eI5OnqOPBNLWSHKh2a30DoXe8/edit?usp=sharing"",""ชุมพร!I83"")"),4.0)</f>
        <v>4</v>
      </c>
      <c r="J158" s="223">
        <f>IFERROR(__xludf.DUMMYFUNCTION("IMPORTRANGE(""https://docs.google.com/spreadsheets/d/1IYY_tgx_IHuhSq3AJ5eI5OnqOPBNLWSHKh2a30DoXe8/edit?usp=sharing"",""ชุมพร!J83"")"),1.0)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IFERROR(__xludf.DUMMYFUNCTION("IMPORTRANGE(""https://docs.google.com/spreadsheets/d/1IYY_tgx_IHuhSq3AJ5eI5OnqOPBNLWSHKh2a30DoXe8/edit?usp=sharing"",""ชุมพร!J84"")"),45.0)</f>
        <v>45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IFERROR(__xludf.DUMMYFUNCTION("IMPORTRANGE(""https://docs.google.com/spreadsheets/d/1IYY_tgx_IHuhSq3AJ5eI5OnqOPBNLWSHKh2a30DoXe8/edit?usp=sharing"",""ชุมพร!J85"")"),0.0)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IFERROR(__xludf.DUMMYFUNCTION("IMPORTRANGE(""https://docs.google.com/spreadsheets/d/1IYY_tgx_IHuhSq3AJ5eI5OnqOPBNLWSHKh2a30DoXe8/edit?usp=sharing"",""ชุมพร!J86"")"),45.0)</f>
        <v>45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IFERROR(__xludf.DUMMYFUNCTION("IMPORTRANGE(""https://docs.google.com/spreadsheets/d/1IYY_tgx_IHuhSq3AJ5eI5OnqOPBNLWSHKh2a30DoXe8/edit?usp=sharing"",""ชุมพร!J87"")"),0.0)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IFERROR(__xludf.DUMMYFUNCTION("IMPORTRANGE(""https://docs.google.com/spreadsheets/d/1IYY_tgx_IHuhSq3AJ5eI5OnqOPBNLWSHKh2a30DoXe8/edit?usp=sharing"",""ชุมพร!J88"")"),0.0)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IFERROR(__xludf.DUMMYFUNCTION("IMPORTRANGE(""https://docs.google.com/spreadsheets/d/1IYY_tgx_IHuhSq3AJ5eI5OnqOPBNLWSHKh2a30DoXe8/edit?usp=sharing"",""ชุมพร!I89"")"),2.0)</f>
        <v>2</v>
      </c>
      <c r="J164" s="317">
        <f>IFERROR(__xludf.DUMMYFUNCTION("IMPORTRANGE(""https://docs.google.com/spreadsheets/d/1IYY_tgx_IHuhSq3AJ5eI5OnqOPBNLWSHKh2a30DoXe8/edit?usp=sharing"",""ชุมพร!J89"")"),0.0)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IFERROR(__xludf.DUMMYFUNCTION("IMPORTRANGE(""https://docs.google.com/spreadsheets/d/1IYY_tgx_IHuhSq3AJ5eI5OnqOPBNLWSHKh2a30DoXe8/edit?usp=sharing"",""ชุมพร!J94"")"),0.0)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IFERROR(__xludf.DUMMYFUNCTION("IMPORTRANGE(""https://docs.google.com/spreadsheets/d/1IYY_tgx_IHuhSq3AJ5eI5OnqOPBNLWSHKh2a30DoXe8/edit?usp=sharing"",""ชุมพร!J95"")"),1.0)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IFERROR(__xludf.DUMMYFUNCTION("IMPORTRANGE(""https://docs.google.com/spreadsheets/d/1IYY_tgx_IHuhSq3AJ5eI5OnqOPBNLWSHKh2a30DoXe8/edit?usp=sharing"",""ชุมพร!J96"")"),1.0)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IFERROR(__xludf.DUMMYFUNCTION("IMPORTRANGE(""https://docs.google.com/spreadsheets/d/1IYY_tgx_IHuhSq3AJ5eI5OnqOPBNLWSHKh2a30DoXe8/edit?usp=sharing"",""ชุมพร!J97"")"),1.0)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IFERROR(__xludf.DUMMYFUNCTION("IMPORTRANGE(""https://docs.google.com/spreadsheets/d/1IYY_tgx_IHuhSq3AJ5eI5OnqOPBNLWSHKh2a30DoXe8/edit?usp=sharing"",""ชุมพร!I98"")"),2.0)</f>
        <v>2</v>
      </c>
      <c r="J173" s="223">
        <f>IFERROR(__xludf.DUMMYFUNCTION("IMPORTRANGE(""https://docs.google.com/spreadsheets/d/1IYY_tgx_IHuhSq3AJ5eI5OnqOPBNLWSHKh2a30DoXe8/edit?usp=sharing"",""ชุมพร!J98"")"),0.0)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IFERROR(__xludf.DUMMYFUNCTION("IMPORTRANGE(""https://docs.google.com/spreadsheets/d/1IYY_tgx_IHuhSq3AJ5eI5OnqOPBNLWSHKh2a30DoXe8/edit?usp=sharing"",""ชุมพร!J99"")"),0.0)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IFERROR(__xludf.DUMMYFUNCTION("IMPORTRANGE(""https://docs.google.com/spreadsheets/d/1IYY_tgx_IHuhSq3AJ5eI5OnqOPBNLWSHKh2a30DoXe8/edit?usp=sharing"",""ชุมพร!J100"")"),0.0)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IFERROR(__xludf.DUMMYFUNCTION("IMPORTRANGE(""https://docs.google.com/spreadsheets/d/1IYY_tgx_IHuhSq3AJ5eI5OnqOPBNLWSHKh2a30DoXe8/edit?usp=sharing"",""ชุมพร!I101"")"),1.0)</f>
        <v>1</v>
      </c>
      <c r="J176" s="317">
        <f>IFERROR(__xludf.DUMMYFUNCTION("IMPORTRANGE(""https://docs.google.com/spreadsheets/d/1IYY_tgx_IHuhSq3AJ5eI5OnqOPBNLWSHKh2a30DoXe8/edit?usp=sharing"",""ชุมพร!J101"")"),0.0)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IFERROR(__xludf.DUMMYFUNCTION("IMPORTRANGE(""https://docs.google.com/spreadsheets/d/1IYY_tgx_IHuhSq3AJ5eI5OnqOPBNLWSHKh2a30DoXe8/edit?usp=sharing"",""ชุมพร!J106"")"),0.0)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IFERROR(__xludf.DUMMYFUNCTION("IMPORTRANGE(""https://docs.google.com/spreadsheets/d/1IYY_tgx_IHuhSq3AJ5eI5OnqOPBNLWSHKh2a30DoXe8/edit?usp=sharing"",""ชุมพร!J107"")"),1.0)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IFERROR(__xludf.DUMMYFUNCTION("IMPORTRANGE(""https://docs.google.com/spreadsheets/d/1IYY_tgx_IHuhSq3AJ5eI5OnqOPBNLWSHKh2a30DoXe8/edit?usp=sharing"",""ชุมพร!J108"")"),1.0)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IFERROR(__xludf.DUMMYFUNCTION("IMPORTRANGE(""https://docs.google.com/spreadsheets/d/1IYY_tgx_IHuhSq3AJ5eI5OnqOPBNLWSHKh2a30DoXe8/edit?usp=sharing"",""ชุมพร!J109"")"),1.0)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IFERROR(__xludf.DUMMYFUNCTION("IMPORTRANGE(""https://docs.google.com/spreadsheets/d/1IYY_tgx_IHuhSq3AJ5eI5OnqOPBNLWSHKh2a30DoXe8/edit?usp=sharing"",""ชุมพร!I110"")"),1.0)</f>
        <v>1</v>
      </c>
      <c r="J185" s="238">
        <f>IFERROR(__xludf.DUMMYFUNCTION("IMPORTRANGE(""https://docs.google.com/spreadsheets/d/1IYY_tgx_IHuhSq3AJ5eI5OnqOPBNLWSHKh2a30DoXe8/edit?usp=sharing"",""ชุมพร!J110"")"),0.0)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IFERROR(__xludf.DUMMYFUNCTION("IMPORTRANGE(""https://docs.google.com/spreadsheets/d/1IYY_tgx_IHuhSq3AJ5eI5OnqOPBNLWSHKh2a30DoXe8/edit?usp=sharing"",""ชุมพร!I111"")"),1.0)</f>
        <v>1</v>
      </c>
      <c r="J186" s="238">
        <f>IFERROR(__xludf.DUMMYFUNCTION("IMPORTRANGE(""https://docs.google.com/spreadsheets/d/1IYY_tgx_IHuhSq3AJ5eI5OnqOPBNLWSHKh2a30DoXe8/edit?usp=sharing"",""ชุมพร!J111"")"),0.0)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IFERROR(__xludf.DUMMYFUNCTION("IMPORTRANGE(""https://docs.google.com/spreadsheets/d/1IYY_tgx_IHuhSq3AJ5eI5OnqOPBNLWSHKh2a30DoXe8/edit?usp=sharing"",""ชุมพร!J112"")"),0.0)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IFERROR(__xludf.DUMMYFUNCTION("IMPORTRANGE(""https://docs.google.com/spreadsheets/d/1IYY_tgx_IHuhSq3AJ5eI5OnqOPBNLWSHKh2a30DoXe8/edit?usp=sharing"",""ชุมพร!J113"")"),0.0)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IFERROR(__xludf.DUMMYFUNCTION("IMPORTRANGE(""https://docs.google.com/spreadsheets/d/1IYY_tgx_IHuhSq3AJ5eI5OnqOPBNLWSHKh2a30DoXe8/edit?usp=sharing"",""ชุมพร!I114"")"),20000.0)</f>
        <v>20000</v>
      </c>
      <c r="J189" s="317">
        <f>IFERROR(__xludf.DUMMYFUNCTION("IMPORTRANGE(""https://docs.google.com/spreadsheets/d/1IYY_tgx_IHuhSq3AJ5eI5OnqOPBNLWSHKh2a30DoXe8/edit?usp=sharing"",""ชุมพร!J114"")"),0.0)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IFERROR(__xludf.DUMMYFUNCTION("IMPORTRANGE(""https://docs.google.com/spreadsheets/d/1IYY_tgx_IHuhSq3AJ5eI5OnqOPBNLWSHKh2a30DoXe8/edit?usp=sharing"",""ชุมพร!J119"")"),0.0)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IFERROR(__xludf.DUMMYFUNCTION("IMPORTRANGE(""https://docs.google.com/spreadsheets/d/1IYY_tgx_IHuhSq3AJ5eI5OnqOPBNLWSHKh2a30DoXe8/edit?usp=sharing"",""ชุมพร!J120"")"),1.0)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IFERROR(__xludf.DUMMYFUNCTION("IMPORTRANGE(""https://docs.google.com/spreadsheets/d/1IYY_tgx_IHuhSq3AJ5eI5OnqOPBNLWSHKh2a30DoXe8/edit?usp=sharing"",""ชุมพร!J121"")"),1.0)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IFERROR(__xludf.DUMMYFUNCTION("IMPORTRANGE(""https://docs.google.com/spreadsheets/d/1IYY_tgx_IHuhSq3AJ5eI5OnqOPBNLWSHKh2a30DoXe8/edit?usp=sharing"",""ชุมพร!J122"")"),1.0)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IFERROR(__xludf.DUMMYFUNCTION("IMPORTRANGE(""https://docs.google.com/spreadsheets/d/1IYY_tgx_IHuhSq3AJ5eI5OnqOPBNLWSHKh2a30DoXe8/edit?usp=sharing"",""ชุมพร!I124"")"),20000.0)</f>
        <v>20000</v>
      </c>
      <c r="J199" s="223">
        <f>IFERROR(__xludf.DUMMYFUNCTION("IMPORTRANGE(""https://docs.google.com/spreadsheets/d/1IYY_tgx_IHuhSq3AJ5eI5OnqOPBNLWSHKh2a30DoXe8/edit?usp=sharing"",""ชุมพร!J124"")"),0.0)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IFERROR(__xludf.DUMMYFUNCTION("IMPORTRANGE(""https://docs.google.com/spreadsheets/d/1IYY_tgx_IHuhSq3AJ5eI5OnqOPBNLWSHKh2a30DoXe8/edit?usp=sharing"",""ชุมพร!I125"")"),20000.0)</f>
        <v>20000</v>
      </c>
      <c r="J200" s="223">
        <f>IFERROR(__xludf.DUMMYFUNCTION("IMPORTRANGE(""https://docs.google.com/spreadsheets/d/1IYY_tgx_IHuhSq3AJ5eI5OnqOPBNLWSHKh2a30DoXe8/edit?usp=sharing"",""ชุมพร!J125"")"),0.0)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IFERROR(__xludf.DUMMYFUNCTION("IMPORTRANGE(""https://docs.google.com/spreadsheets/d/1IYY_tgx_IHuhSq3AJ5eI5OnqOPBNLWSHKh2a30DoXe8/edit?usp=sharing"",""ชุมพร!I126"")"),15.0)</f>
        <v>15</v>
      </c>
      <c r="J201" s="223">
        <f>IFERROR(__xludf.DUMMYFUNCTION("IMPORTRANGE(""https://docs.google.com/spreadsheets/d/1IYY_tgx_IHuhSq3AJ5eI5OnqOPBNLWSHKh2a30DoXe8/edit?usp=sharing"",""ชุมพร!J126"")"),15.0)</f>
        <v>15</v>
      </c>
      <c r="K201" s="196">
        <f t="shared" si="71"/>
        <v>100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IFERROR(__xludf.DUMMYFUNCTION("IMPORTRANGE(""https://docs.google.com/spreadsheets/d/1IYY_tgx_IHuhSq3AJ5eI5OnqOPBNLWSHKh2a30DoXe8/edit?usp=sharing"",""ชุมพร!J127"")"),0.0)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IFERROR(__xludf.DUMMYFUNCTION("IMPORTRANGE(""https://docs.google.com/spreadsheets/d/1IYY_tgx_IHuhSq3AJ5eI5OnqOPBNLWSHKh2a30DoXe8/edit?usp=sharing"",""ชุมพร!J128"")"),0.0)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IFERROR(__xludf.DUMMYFUNCTION("IMPORTRANGE(""https://docs.google.com/spreadsheets/d/1IYY_tgx_IHuhSq3AJ5eI5OnqOPBNLWSHKh2a30DoXe8/edit?usp=sharing"",""ชุมพร!I129"")"),0.0)</f>
        <v>0</v>
      </c>
      <c r="J204" s="317">
        <f>IFERROR(__xludf.DUMMYFUNCTION("IMPORTRANGE(""https://docs.google.com/spreadsheets/d/1IYY_tgx_IHuhSq3AJ5eI5OnqOPBNLWSHKh2a30DoXe8/edit?usp=sharing"",""ชุมพร!J129"")"),0.0)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IFERROR(__xludf.DUMMYFUNCTION("IMPORTRANGE(""https://docs.google.com/spreadsheets/d/1IYY_tgx_IHuhSq3AJ5eI5OnqOPBNLWSHKh2a30DoXe8/edit?usp=sharing"",""ชุมพร!J134"")"),0.0)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IFERROR(__xludf.DUMMYFUNCTION("IMPORTRANGE(""https://docs.google.com/spreadsheets/d/1IYY_tgx_IHuhSq3AJ5eI5OnqOPBNLWSHKh2a30DoXe8/edit?usp=sharing"",""ชุมพร!J135"")"),0.0)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IFERROR(__xludf.DUMMYFUNCTION("IMPORTRANGE(""https://docs.google.com/spreadsheets/d/1IYY_tgx_IHuhSq3AJ5eI5OnqOPBNLWSHKh2a30DoXe8/edit?usp=sharing"",""ชุมพร!J136"")"),0.0)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IFERROR(__xludf.DUMMYFUNCTION("IMPORTRANGE(""https://docs.google.com/spreadsheets/d/1IYY_tgx_IHuhSq3AJ5eI5OnqOPBNLWSHKh2a30DoXe8/edit?usp=sharing"",""ชุมพร!J137"")"),0.0)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IFERROR(__xludf.DUMMYFUNCTION("IMPORTRANGE(""https://docs.google.com/spreadsheets/d/1IYY_tgx_IHuhSq3AJ5eI5OnqOPBNLWSHKh2a30DoXe8/edit?usp=sharing"",""ชุมพร!I138"")"),0.0)</f>
        <v>0</v>
      </c>
      <c r="J213" s="238">
        <f>IFERROR(__xludf.DUMMYFUNCTION("IMPORTRANGE(""https://docs.google.com/spreadsheets/d/1IYY_tgx_IHuhSq3AJ5eI5OnqOPBNLWSHKh2a30DoXe8/edit?usp=sharing"",""ชุมพร!J138"")"),0.0)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IFERROR(__xludf.DUMMYFUNCTION("IMPORTRANGE(""https://docs.google.com/spreadsheets/d/1IYY_tgx_IHuhSq3AJ5eI5OnqOPBNLWSHKh2a30DoXe8/edit?usp=sharing"",""ชุมพร!I140"")"),0.0)</f>
        <v>0</v>
      </c>
      <c r="J215" s="238">
        <f>IFERROR(__xludf.DUMMYFUNCTION("IMPORTRANGE(""https://docs.google.com/spreadsheets/d/1IYY_tgx_IHuhSq3AJ5eI5OnqOPBNLWSHKh2a30DoXe8/edit?usp=sharing"",""ชุมพร!J140"")"),0.0)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IFERROR(__xludf.DUMMYFUNCTION("IMPORTRANGE(""https://docs.google.com/spreadsheets/d/1IYY_tgx_IHuhSq3AJ5eI5OnqOPBNLWSHKh2a30DoXe8/edit?usp=sharing"",""ชุมพร!I141"")"),0.0)</f>
        <v>0</v>
      </c>
      <c r="J216" s="238">
        <f>IFERROR(__xludf.DUMMYFUNCTION("IMPORTRANGE(""https://docs.google.com/spreadsheets/d/1IYY_tgx_IHuhSq3AJ5eI5OnqOPBNLWSHKh2a30DoXe8/edit?usp=sharing"",""ชุมพร!J141"")"),0.0)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IFERROR(__xludf.DUMMYFUNCTION("IMPORTRANGE(""https://docs.google.com/spreadsheets/d/1IYY_tgx_IHuhSq3AJ5eI5OnqOPBNLWSHKh2a30DoXe8/edit?usp=sharing"",""ชุมพร!J142"")"),0.0)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IFERROR(__xludf.DUMMYFUNCTION("IMPORTRANGE(""https://docs.google.com/spreadsheets/d/1IYY_tgx_IHuhSq3AJ5eI5OnqOPBNLWSHKh2a30DoXe8/edit?usp=sharing"",""ชุมพร!J143"")"),0.0)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IFERROR(__xludf.DUMMYFUNCTION("IMPORTRANGE(""https://docs.google.com/spreadsheets/d/1IYY_tgx_IHuhSq3AJ5eI5OnqOPBNLWSHKh2a30DoXe8/edit?usp=sharing"",""ชุมพร!I144"")"),0.0)</f>
        <v>0</v>
      </c>
      <c r="J219" s="301">
        <f>IFERROR(__xludf.DUMMYFUNCTION("IMPORTRANGE(""https://docs.google.com/spreadsheets/d/1IYY_tgx_IHuhSq3AJ5eI5OnqOPBNLWSHKh2a30DoXe8/edit?usp=sharing"",""ชุมพร!J144"")"),0.0)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0</v>
      </c>
      <c r="M220" s="183">
        <f t="shared" si="73"/>
        <v>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0</v>
      </c>
      <c r="M222" s="188">
        <f t="shared" si="77"/>
        <v>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0</v>
      </c>
      <c r="M224" s="201">
        <f>IFERROR(__xludf.DUMMYFUNCTION("IMPORTRANGE(""https://docs.google.com/spreadsheets/d/1Yj_ptqi66GCucihVvJfMjLAmec39IyEx_6qawtMGysU/edit?usp=sharing"",""สบก!BS82"")"),0.0)</f>
        <v>0</v>
      </c>
      <c r="N224" s="202">
        <f>IFERROR(__xludf.DUMMYFUNCTION("IMPORTRANGE(""https://docs.google.com/spreadsheets/d/1Yj_ptqi66GCucihVvJfMjLAmec39IyEx_6qawtMGysU/edit?usp=sharing"",""สบก!BT82"")"),0.0)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IFERROR(__xludf.DUMMYFUNCTION("IMPORTRANGE(""https://docs.google.com/spreadsheets/d/1Yj_ptqi66GCucihVvJfMjLAmec39IyEx_6qawtMGysU/edit?usp=sharing"",""สบก!BO82"")"),0.0)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IFERROR(__xludf.DUMMYFUNCTION("IMPORTRANGE(""https://docs.google.com/spreadsheets/d/1Yj_ptqi66GCucihVvJfMjLAmec39IyEx_6qawtMGysU/edit?usp=sharing"",""สบก!BP82"")"),0.0)</f>
        <v>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IFERROR(__xludf.DUMMYFUNCTION("IMPORTRANGE(""https://docs.google.com/spreadsheets/d/1Yj_ptqi66GCucihVvJfMjLAmec39IyEx_6qawtMGysU/edit?usp=sharing"",""สบก!BQ82"")"),0.0)</f>
        <v>0</v>
      </c>
      <c r="M228" s="125"/>
      <c r="N228" s="115">
        <f>IFERROR(__xludf.DUMMYFUNCTION("IMPORTRANGE(""https://docs.google.com/spreadsheets/d/1Yj_ptqi66GCucihVvJfMjLAmec39IyEx_6qawtMGysU/edit?usp=sharing"",""สบก!BU82"")"),0.0)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IFERROR(__xludf.DUMMYFUNCTION("IMPORTRANGE(""https://docs.google.com/spreadsheets/d/1IYY_tgx_IHuhSq3AJ5eI5OnqOPBNLWSHKh2a30DoXe8/edit?usp=sharing"",""ชุมพร!I149"")"),0.0)</f>
        <v>0</v>
      </c>
      <c r="J229" s="301">
        <f>IFERROR(__xludf.DUMMYFUNCTION("IMPORTRANGE(""https://docs.google.com/spreadsheets/d/1IYY_tgx_IHuhSq3AJ5eI5OnqOPBNLWSHKh2a30DoXe8/edit?usp=sharing"",""ชุมพร!J149"")"),0.0)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IFERROR(__xludf.DUMMYFUNCTION("IMPORTRANGE(""https://docs.google.com/spreadsheets/d/1IYY_tgx_IHuhSq3AJ5eI5OnqOPBNLWSHKh2a30DoXe8/edit?usp=sharing"",""ชุมพร!J151"")"),0.0)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IFERROR(__xludf.DUMMYFUNCTION("IMPORTRANGE(""https://docs.google.com/spreadsheets/d/1IYY_tgx_IHuhSq3AJ5eI5OnqOPBNLWSHKh2a30DoXe8/edit?usp=sharing"",""ชุมพร!J152"")"),0.0)</f>
        <v>0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IFERROR(__xludf.DUMMYFUNCTION("IMPORTRANGE(""https://docs.google.com/spreadsheets/d/1IYY_tgx_IHuhSq3AJ5eI5OnqOPBNLWSHKh2a30DoXe8/edit?usp=sharing"",""ชุมพร!J153"")"),0.0)</f>
        <v>0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IFERROR(__xludf.DUMMYFUNCTION("IMPORTRANGE(""https://docs.google.com/spreadsheets/d/1IYY_tgx_IHuhSq3AJ5eI5OnqOPBNLWSHKh2a30DoXe8/edit?usp=sharing"",""ชุมพร!J154"")"),0.0)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IFERROR(__xludf.DUMMYFUNCTION("IMPORTRANGE(""https://docs.google.com/spreadsheets/d/1IYY_tgx_IHuhSq3AJ5eI5OnqOPBNLWSHKh2a30DoXe8/edit?usp=sharing"",""ชุมพร!I155"")"),0.0)</f>
        <v>0</v>
      </c>
      <c r="J235" s="223">
        <f>IFERROR(__xludf.DUMMYFUNCTION("IMPORTRANGE(""https://docs.google.com/spreadsheets/d/1IYY_tgx_IHuhSq3AJ5eI5OnqOPBNLWSHKh2a30DoXe8/edit?usp=sharing"",""ชุมพร!J155"")"),0.0)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IFERROR(__xludf.DUMMYFUNCTION("IMPORTRANGE(""https://docs.google.com/spreadsheets/d/1IYY_tgx_IHuhSq3AJ5eI5OnqOPBNLWSHKh2a30DoXe8/edit?usp=sharing"",""ชุมพร!J156"")"),0.0)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IFERROR(__xludf.DUMMYFUNCTION("IMPORTRANGE(""https://docs.google.com/spreadsheets/d/1IYY_tgx_IHuhSq3AJ5eI5OnqOPBNLWSHKh2a30DoXe8/edit?usp=sharing"",""ชุมพร!J157"")"),0.0)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IFERROR(__xludf.DUMMYFUNCTION("IMPORTRANGE(""https://docs.google.com/spreadsheets/d/1IYY_tgx_IHuhSq3AJ5eI5OnqOPBNLWSHKh2a30DoXe8/edit?usp=sharing"",""ชุมพร!I158"")"),0.0)</f>
        <v>0</v>
      </c>
      <c r="J238" s="301">
        <f>IFERROR(__xludf.DUMMYFUNCTION("IMPORTRANGE(""https://docs.google.com/spreadsheets/d/1IYY_tgx_IHuhSq3AJ5eI5OnqOPBNLWSHKh2a30DoXe8/edit?usp=sharing"",""ชุมพร!J158"")"),0.0)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IFERROR(__xludf.DUMMYFUNCTION("IMPORTRANGE(""https://docs.google.com/spreadsheets/d/1IYY_tgx_IHuhSq3AJ5eI5OnqOPBNLWSHKh2a30DoXe8/edit?usp=sharing"",""ชุมพร!J159"")"),"")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IFERROR(__xludf.DUMMYFUNCTION("IMPORTRANGE(""https://docs.google.com/spreadsheets/d/1IYY_tgx_IHuhSq3AJ5eI5OnqOPBNLWSHKh2a30DoXe8/edit?usp=sharing"",""ชุมพร!J161"")"),0.0)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IFERROR(__xludf.DUMMYFUNCTION("IMPORTRANGE(""https://docs.google.com/spreadsheets/d/1IYY_tgx_IHuhSq3AJ5eI5OnqOPBNLWSHKh2a30DoXe8/edit?usp=sharing"",""ชุมพร!J162"")"),0.0)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IFERROR(__xludf.DUMMYFUNCTION("IMPORTRANGE(""https://docs.google.com/spreadsheets/d/1IYY_tgx_IHuhSq3AJ5eI5OnqOPBNLWSHKh2a30DoXe8/edit?usp=sharing"",""ชุมพร!J163"")"),0.0)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IFERROR(__xludf.DUMMYFUNCTION("IMPORTRANGE(""https://docs.google.com/spreadsheets/d/1IYY_tgx_IHuhSq3AJ5eI5OnqOPBNLWSHKh2a30DoXe8/edit?usp=sharing"",""ชุมพร!I164"")"),0.0)</f>
        <v>0</v>
      </c>
      <c r="J244" s="222">
        <f>IFERROR(__xludf.DUMMYFUNCTION("IMPORTRANGE(""https://docs.google.com/spreadsheets/d/1IYY_tgx_IHuhSq3AJ5eI5OnqOPBNLWSHKh2a30DoXe8/edit?usp=sharing"",""ชุมพร!J164"")"),0.0)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IFERROR(__xludf.DUMMYFUNCTION("IMPORTRANGE(""https://docs.google.com/spreadsheets/d/1IYY_tgx_IHuhSq3AJ5eI5OnqOPBNLWSHKh2a30DoXe8/edit?usp=sharing"",""ชุมพร!J165"")"),0.0)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IFERROR(__xludf.DUMMYFUNCTION("IMPORTRANGE(""https://docs.google.com/spreadsheets/d/1IYY_tgx_IHuhSq3AJ5eI5OnqOPBNLWSHKh2a30DoXe8/edit?usp=sharing"",""ชุมพร!J166"")"),0.0)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IFERROR(__xludf.DUMMYFUNCTION("IMPORTRANGE(""https://docs.google.com/spreadsheets/d/1IYY_tgx_IHuhSq3AJ5eI5OnqOPBNLWSHKh2a30DoXe8/edit?usp=sharing"",""ชุมพร!I169"")"),20.0)</f>
        <v>20</v>
      </c>
      <c r="J249" s="349">
        <f>IFERROR(__xludf.DUMMYFUNCTION("IMPORTRANGE(""https://docs.google.com/spreadsheets/d/1IYY_tgx_IHuhSq3AJ5eI5OnqOPBNLWSHKh2a30DoXe8/edit?usp=sharing"",""ชุมพร!J169"")"),0.0)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71400</v>
      </c>
      <c r="M250" s="183">
        <f t="shared" si="78"/>
        <v>37000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71400</v>
      </c>
      <c r="M252" s="188">
        <f t="shared" si="82"/>
        <v>37000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71400</v>
      </c>
      <c r="M254" s="201">
        <f>IFERROR(__xludf.DUMMYFUNCTION("IMPORTRANGE(""https://docs.google.com/spreadsheets/d/1Yj_ptqi66GCucihVvJfMjLAmec39IyEx_6qawtMGysU/edit?usp=sharing"",""สบก!CB82"")"),37000.0)</f>
        <v>37000</v>
      </c>
      <c r="N254" s="202">
        <f>IFERROR(__xludf.DUMMYFUNCTION("IMPORTRANGE(""https://docs.google.com/spreadsheets/d/1Yj_ptqi66GCucihVvJfMjLAmec39IyEx_6qawtMGysU/edit?usp=sharing"",""สบก!CC82"")"),0.0)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IFERROR(__xludf.DUMMYFUNCTION("IMPORTRANGE(""https://docs.google.com/spreadsheets/d/1Yj_ptqi66GCucihVvJfMjLAmec39IyEx_6qawtMGysU/edit?usp=sharing"",""สบก!BX82"")"),0.0)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IFERROR(__xludf.DUMMYFUNCTION("IMPORTRANGE(""https://docs.google.com/spreadsheets/d/1Yj_ptqi66GCucihVvJfMjLAmec39IyEx_6qawtMGysU/edit?usp=sharing"",""สบก!BY82"")"),71400.0)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IFERROR(__xludf.DUMMYFUNCTION("IMPORTRANGE(""https://docs.google.com/spreadsheets/d/1Yj_ptqi66GCucihVvJfMjLAmec39IyEx_6qawtMGysU/edit?usp=sharing"",""สบก!BZ82"")"),0.0)</f>
        <v>0</v>
      </c>
      <c r="M258" s="125"/>
      <c r="N258" s="115">
        <f>IFERROR(__xludf.DUMMYFUNCTION("IMPORTRANGE(""https://docs.google.com/spreadsheets/d/1Yj_ptqi66GCucihVvJfMjLAmec39IyEx_6qawtMGysU/edit?usp=sharing"",""สบก!CD82"")"),0.0)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IFERROR(__xludf.DUMMYFUNCTION("IMPORTRANGE(""https://docs.google.com/spreadsheets/d/1IYY_tgx_IHuhSq3AJ5eI5OnqOPBNLWSHKh2a30DoXe8/edit?usp=sharing"",""ชุมพร!J175"")"),0.0)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IFERROR(__xludf.DUMMYFUNCTION("IMPORTRANGE(""https://docs.google.com/spreadsheets/d/1IYY_tgx_IHuhSq3AJ5eI5OnqOPBNLWSHKh2a30DoXe8/edit?usp=sharing"",""ชุมพร!J176"")"),1.0)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IFERROR(__xludf.DUMMYFUNCTION("IMPORTRANGE(""https://docs.google.com/spreadsheets/d/1IYY_tgx_IHuhSq3AJ5eI5OnqOPBNLWSHKh2a30DoXe8/edit?usp=sharing"",""ชุมพร!J177"")"),1.0)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IFERROR(__xludf.DUMMYFUNCTION("IMPORTRANGE(""https://docs.google.com/spreadsheets/d/1IYY_tgx_IHuhSq3AJ5eI5OnqOPBNLWSHKh2a30DoXe8/edit?usp=sharing"",""ชุมพร!J178"")"),1.0)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IFERROR(__xludf.DUMMYFUNCTION("IMPORTRANGE(""https://docs.google.com/spreadsheets/d/1IYY_tgx_IHuhSq3AJ5eI5OnqOPBNLWSHKh2a30DoXe8/edit?usp=sharing"",""ชุมพร!I179"")"),1.0)</f>
        <v>1</v>
      </c>
      <c r="J264" s="223">
        <f>IFERROR(__xludf.DUMMYFUNCTION("IMPORTRANGE(""https://docs.google.com/spreadsheets/d/1IYY_tgx_IHuhSq3AJ5eI5OnqOPBNLWSHKh2a30DoXe8/edit?usp=sharing"",""ชุมพร!J179"")"),0.0)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IFERROR(__xludf.DUMMYFUNCTION("IMPORTRANGE(""https://docs.google.com/spreadsheets/d/1IYY_tgx_IHuhSq3AJ5eI5OnqOPBNLWSHKh2a30DoXe8/edit?usp=sharing"",""ชุมพร!I180"")"),20.0)</f>
        <v>20</v>
      </c>
      <c r="J265" s="223">
        <f>IFERROR(__xludf.DUMMYFUNCTION("IMPORTRANGE(""https://docs.google.com/spreadsheets/d/1IYY_tgx_IHuhSq3AJ5eI5OnqOPBNLWSHKh2a30DoXe8/edit?usp=sharing"",""ชุมพร!J180"")"),0.0)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IFERROR(__xludf.DUMMYFUNCTION("IMPORTRANGE(""https://docs.google.com/spreadsheets/d/1IYY_tgx_IHuhSq3AJ5eI5OnqOPBNLWSHKh2a30DoXe8/edit?usp=sharing"",""ชุมพร!I181"")"),20.0)</f>
        <v>20</v>
      </c>
      <c r="J266" s="223">
        <f>IFERROR(__xludf.DUMMYFUNCTION("IMPORTRANGE(""https://docs.google.com/spreadsheets/d/1IYY_tgx_IHuhSq3AJ5eI5OnqOPBNLWSHKh2a30DoXe8/edit?usp=sharing"",""ชุมพร!J181"")"),0.0)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IFERROR(__xludf.DUMMYFUNCTION("IMPORTRANGE(""https://docs.google.com/spreadsheets/d/1IYY_tgx_IHuhSq3AJ5eI5OnqOPBNLWSHKh2a30DoXe8/edit?usp=sharing"",""ชุมพร!I182"")"),1.0)</f>
        <v>1</v>
      </c>
      <c r="J267" s="223">
        <f>IFERROR(__xludf.DUMMYFUNCTION("IMPORTRANGE(""https://docs.google.com/spreadsheets/d/1IYY_tgx_IHuhSq3AJ5eI5OnqOPBNLWSHKh2a30DoXe8/edit?usp=sharing"",""ชุมพร!J182"")"),0.0)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IFERROR(__xludf.DUMMYFUNCTION("IMPORTRANGE(""https://docs.google.com/spreadsheets/d/1IYY_tgx_IHuhSq3AJ5eI5OnqOPBNLWSHKh2a30DoXe8/edit?usp=sharing"",""ชุมพร!J183"")"),0.0)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IFERROR(__xludf.DUMMYFUNCTION("IMPORTRANGE(""https://docs.google.com/spreadsheets/d/1IYY_tgx_IHuhSq3AJ5eI5OnqOPBNLWSHKh2a30DoXe8/edit?usp=sharing"",""ชุมพร!J184"")"),0.0)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IFERROR(__xludf.DUMMYFUNCTION("IMPORTRANGE(""https://docs.google.com/spreadsheets/d/1IYY_tgx_IHuhSq3AJ5eI5OnqOPBNLWSHKh2a30DoXe8/edit?usp=sharing"",""ชุมพร!I185"")"),20.0)</f>
        <v>20</v>
      </c>
      <c r="J270" s="349">
        <f>IFERROR(__xludf.DUMMYFUNCTION("IMPORTRANGE(""https://docs.google.com/spreadsheets/d/1IYY_tgx_IHuhSq3AJ5eI5OnqOPBNLWSHKh2a30DoXe8/edit?usp=sharing"",""ชุมพร!J185"")"),20.0)</f>
        <v>20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183600</v>
      </c>
      <c r="M271" s="183">
        <f t="shared" si="84"/>
        <v>93000</v>
      </c>
      <c r="N271" s="183">
        <f t="shared" si="84"/>
        <v>42613</v>
      </c>
      <c r="O271" s="182">
        <f t="shared" ref="O271:O273" si="86">IF(L271&gt;0,N271*100/L271,0)</f>
        <v>23.20969499</v>
      </c>
      <c r="P271" s="182">
        <f t="shared" ref="P271:P273" si="87">IF(M271&gt;0,N271*100/M271,0)</f>
        <v>45.82043011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183600</v>
      </c>
      <c r="M273" s="188">
        <f t="shared" si="88"/>
        <v>93000</v>
      </c>
      <c r="N273" s="188">
        <f t="shared" si="88"/>
        <v>42613</v>
      </c>
      <c r="O273" s="187">
        <f t="shared" si="86"/>
        <v>23.20969499</v>
      </c>
      <c r="P273" s="187">
        <f t="shared" si="87"/>
        <v>45.82043011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183600</v>
      </c>
      <c r="M275" s="201">
        <f>IFERROR(__xludf.DUMMYFUNCTION("IMPORTRANGE(""https://docs.google.com/spreadsheets/d/1Yj_ptqi66GCucihVvJfMjLAmec39IyEx_6qawtMGysU/edit?usp=sharing"",""สบก!CK82"")"),93000.0)</f>
        <v>93000</v>
      </c>
      <c r="N275" s="202">
        <f>IFERROR(__xludf.DUMMYFUNCTION("IMPORTRANGE(""https://docs.google.com/spreadsheets/d/1Yj_ptqi66GCucihVvJfMjLAmec39IyEx_6qawtMGysU/edit?usp=sharing"",""สบก!CL82"")"),42613.0)</f>
        <v>42613</v>
      </c>
      <c r="O275" s="203">
        <f>IF(L275&gt;0,N275*100/L275,0)</f>
        <v>23.20969499</v>
      </c>
      <c r="P275" s="203">
        <f>IF(M275&gt;0,N275*100/M275,0)</f>
        <v>45.82043011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IFERROR(__xludf.DUMMYFUNCTION("IMPORTRANGE(""https://docs.google.com/spreadsheets/d/1Yj_ptqi66GCucihVvJfMjLAmec39IyEx_6qawtMGysU/edit?usp=sharing"",""สบก!CG82"")"),0.0)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IFERROR(__xludf.DUMMYFUNCTION("IMPORTRANGE(""https://docs.google.com/spreadsheets/d/1Yj_ptqi66GCucihVvJfMjLAmec39IyEx_6qawtMGysU/edit?usp=sharing"",""สบก!CH82"")"),183600.0)</f>
        <v>183600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IFERROR(__xludf.DUMMYFUNCTION("IMPORTRANGE(""https://docs.google.com/spreadsheets/d/1Yj_ptqi66GCucihVvJfMjLAmec39IyEx_6qawtMGysU/edit?usp=sharing"",""สบก!CI82"")"),0.0)</f>
        <v>0</v>
      </c>
      <c r="M279" s="125"/>
      <c r="N279" s="115">
        <f>IFERROR(__xludf.DUMMYFUNCTION("IMPORTRANGE(""https://docs.google.com/spreadsheets/d/1Yj_ptqi66GCucihVvJfMjLAmec39IyEx_6qawtMGysU/edit?usp=sharing"",""สบก!CM82"")"),0.0)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IFERROR(__xludf.DUMMYFUNCTION("IMPORTRANGE(""https://docs.google.com/spreadsheets/d/1IYY_tgx_IHuhSq3AJ5eI5OnqOPBNLWSHKh2a30DoXe8/edit?usp=sharing"",""ชุมพร!J191"")"),0.0)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IFERROR(__xludf.DUMMYFUNCTION("IMPORTRANGE(""https://docs.google.com/spreadsheets/d/1IYY_tgx_IHuhSq3AJ5eI5OnqOPBNLWSHKh2a30DoXe8/edit?usp=sharing"",""ชุมพร!J192"")"),1.0)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IFERROR(__xludf.DUMMYFUNCTION("IMPORTRANGE(""https://docs.google.com/spreadsheets/d/1IYY_tgx_IHuhSq3AJ5eI5OnqOPBNLWSHKh2a30DoXe8/edit?usp=sharing"",""ชุมพร!J193"")"),1.0)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IFERROR(__xludf.DUMMYFUNCTION("IMPORTRANGE(""https://docs.google.com/spreadsheets/d/1IYY_tgx_IHuhSq3AJ5eI5OnqOPBNLWSHKh2a30DoXe8/edit?usp=sharing"",""ชุมพร!J194"")"),1.0)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IFERROR(__xludf.DUMMYFUNCTION("IMPORTRANGE(""https://docs.google.com/spreadsheets/d/1IYY_tgx_IHuhSq3AJ5eI5OnqOPBNLWSHKh2a30DoXe8/edit?usp=sharing"",""ชุมพร!I195"")"),20.0)</f>
        <v>20</v>
      </c>
      <c r="J285" s="223">
        <f>IFERROR(__xludf.DUMMYFUNCTION("IMPORTRANGE(""https://docs.google.com/spreadsheets/d/1IYY_tgx_IHuhSq3AJ5eI5OnqOPBNLWSHKh2a30DoXe8/edit?usp=sharing"",""ชุมพร!J195"")"),20.0)</f>
        <v>20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IFERROR(__xludf.DUMMYFUNCTION("IMPORTRANGE(""https://docs.google.com/spreadsheets/d/1IYY_tgx_IHuhSq3AJ5eI5OnqOPBNLWSHKh2a30DoXe8/edit?usp=sharing"",""ชุมพร!J196"")"),0.0)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IFERROR(__xludf.DUMMYFUNCTION("IMPORTRANGE(""https://docs.google.com/spreadsheets/d/1IYY_tgx_IHuhSq3AJ5eI5OnqOPBNLWSHKh2a30DoXe8/edit?usp=sharing"",""ชุมพร!J197"")"),0.0)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IFERROR(__xludf.DUMMYFUNCTION("IMPORTRANGE(""https://docs.google.com/spreadsheets/d/1IYY_tgx_IHuhSq3AJ5eI5OnqOPBNLWSHKh2a30DoXe8/edit?usp=sharing"",""ชุมพร!I199"")"),30.0)</f>
        <v>30</v>
      </c>
      <c r="J289" s="349">
        <f>IFERROR(__xludf.DUMMYFUNCTION("IMPORTRANGE(""https://docs.google.com/spreadsheets/d/1IYY_tgx_IHuhSq3AJ5eI5OnqOPBNLWSHKh2a30DoXe8/edit?usp=sharing"",""ชุมพร!J199"")"),30.0)</f>
        <v>30</v>
      </c>
      <c r="K289" s="350">
        <f>IF(I289&gt;0,J289*100/I289,0)</f>
        <v>100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95360</v>
      </c>
      <c r="M290" s="183">
        <f t="shared" si="89"/>
        <v>45580</v>
      </c>
      <c r="N290" s="183">
        <f t="shared" si="89"/>
        <v>39080</v>
      </c>
      <c r="O290" s="182">
        <f t="shared" ref="O290:O292" si="91">IF(L290&gt;0,N290*100/L290,0)</f>
        <v>40.98154362</v>
      </c>
      <c r="P290" s="182">
        <f t="shared" ref="P290:P292" si="92">IF(M290&gt;0,N290*100/M290,0)</f>
        <v>85.73935937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95360</v>
      </c>
      <c r="M292" s="188">
        <f t="shared" si="93"/>
        <v>45580</v>
      </c>
      <c r="N292" s="188">
        <f t="shared" si="93"/>
        <v>39080</v>
      </c>
      <c r="O292" s="187">
        <f t="shared" si="91"/>
        <v>40.98154362</v>
      </c>
      <c r="P292" s="187">
        <f t="shared" si="92"/>
        <v>85.73935937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95360</v>
      </c>
      <c r="M294" s="201">
        <f>IFERROR(__xludf.DUMMYFUNCTION("IMPORTRANGE(""https://docs.google.com/spreadsheets/d/1Yj_ptqi66GCucihVvJfMjLAmec39IyEx_6qawtMGysU/edit?usp=sharing"",""สบก!CT82"")"),45580.0)</f>
        <v>45580</v>
      </c>
      <c r="N294" s="202">
        <f>IFERROR(__xludf.DUMMYFUNCTION("IMPORTRANGE(""https://docs.google.com/spreadsheets/d/1Yj_ptqi66GCucihVvJfMjLAmec39IyEx_6qawtMGysU/edit?usp=sharing"",""สบก!CU82"")"),39080.0)</f>
        <v>39080</v>
      </c>
      <c r="O294" s="203">
        <f>IF(L294&gt;0,N294*100/L294,0)</f>
        <v>40.98154362</v>
      </c>
      <c r="P294" s="203">
        <f>IF(M294&gt;0,N294*100/M294,0)</f>
        <v>85.73935937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IFERROR(__xludf.DUMMYFUNCTION("IMPORTRANGE(""https://docs.google.com/spreadsheets/d/1Yj_ptqi66GCucihVvJfMjLAmec39IyEx_6qawtMGysU/edit?usp=sharing"",""สบก!CP82"")"),0.0)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IFERROR(__xludf.DUMMYFUNCTION("IMPORTRANGE(""https://docs.google.com/spreadsheets/d/1Yj_ptqi66GCucihVvJfMjLAmec39IyEx_6qawtMGysU/edit?usp=sharing"",""สบก!CQ82"")"),95360.0)</f>
        <v>95360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IFERROR(__xludf.DUMMYFUNCTION("IMPORTRANGE(""https://docs.google.com/spreadsheets/d/1Yj_ptqi66GCucihVvJfMjLAmec39IyEx_6qawtMGysU/edit?usp=sharing"",""สบก!CR82"")"),0.0)</f>
        <v>0</v>
      </c>
      <c r="M298" s="125"/>
      <c r="N298" s="115">
        <f>IFERROR(__xludf.DUMMYFUNCTION("IMPORTRANGE(""https://docs.google.com/spreadsheets/d/1Yj_ptqi66GCucihVvJfMjLAmec39IyEx_6qawtMGysU/edit?usp=sharing"",""สบก!CV82"")"),0.0)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IFERROR(__xludf.DUMMYFUNCTION("IMPORTRANGE(""https://docs.google.com/spreadsheets/d/1IYY_tgx_IHuhSq3AJ5eI5OnqOPBNLWSHKh2a30DoXe8/edit?usp=sharing"",""ชุมพร!J205"")"),0.0)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IFERROR(__xludf.DUMMYFUNCTION("IMPORTRANGE(""https://docs.google.com/spreadsheets/d/1IYY_tgx_IHuhSq3AJ5eI5OnqOPBNLWSHKh2a30DoXe8/edit?usp=sharing"",""ชุมพร!J206"")"),1.0)</f>
        <v>1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IFERROR(__xludf.DUMMYFUNCTION("IMPORTRANGE(""https://docs.google.com/spreadsheets/d/1IYY_tgx_IHuhSq3AJ5eI5OnqOPBNLWSHKh2a30DoXe8/edit?usp=sharing"",""ชุมพร!J207"")"),1.0)</f>
        <v>1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IFERROR(__xludf.DUMMYFUNCTION("IMPORTRANGE(""https://docs.google.com/spreadsheets/d/1IYY_tgx_IHuhSq3AJ5eI5OnqOPBNLWSHKh2a30DoXe8/edit?usp=sharing"",""ชุมพร!J208"")"),1.0)</f>
        <v>1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IFERROR(__xludf.DUMMYFUNCTION("IMPORTRANGE(""https://docs.google.com/spreadsheets/d/1IYY_tgx_IHuhSq3AJ5eI5OnqOPBNLWSHKh2a30DoXe8/edit?usp=sharing"",""ชุมพร!I209"")"),30.0)</f>
        <v>30</v>
      </c>
      <c r="J304" s="238">
        <f>IFERROR(__xludf.DUMMYFUNCTION("IMPORTRANGE(""https://docs.google.com/spreadsheets/d/1IYY_tgx_IHuhSq3AJ5eI5OnqOPBNLWSHKh2a30DoXe8/edit?usp=sharing"",""ชุมพร!J209"")"),30.0)</f>
        <v>30</v>
      </c>
      <c r="K304" s="258">
        <f>IF(I304&gt;0,J304*100/I304,0)</f>
        <v>100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IFERROR(__xludf.DUMMYFUNCTION("IMPORTRANGE(""https://docs.google.com/spreadsheets/d/1IYY_tgx_IHuhSq3AJ5eI5OnqOPBNLWSHKh2a30DoXe8/edit?usp=sharing"",""ชุมพร!I211"")"),30.0)</f>
        <v>30</v>
      </c>
      <c r="J306" s="238">
        <f>IFERROR(__xludf.DUMMYFUNCTION("IMPORTRANGE(""https://docs.google.com/spreadsheets/d/1IYY_tgx_IHuhSq3AJ5eI5OnqOPBNLWSHKh2a30DoXe8/edit?usp=sharing"",""ชุมพร!J211"")"),0.0)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IFERROR(__xludf.DUMMYFUNCTION("IMPORTRANGE(""https://docs.google.com/spreadsheets/d/1IYY_tgx_IHuhSq3AJ5eI5OnqOPBNLWSHKh2a30DoXe8/edit?usp=sharing"",""ชุมพร!J212"")"),0.0)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IFERROR(__xludf.DUMMYFUNCTION("IMPORTRANGE(""https://docs.google.com/spreadsheets/d/1IYY_tgx_IHuhSq3AJ5eI5OnqOPBNLWSHKh2a30DoXe8/edit?usp=sharing"",""ชุมพร!J213"")"),0.0)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IFERROR(__xludf.DUMMYFUNCTION("IMPORTRANGE(""https://docs.google.com/spreadsheets/d/1IYY_tgx_IHuhSq3AJ5eI5OnqOPBNLWSHKh2a30DoXe8/edit?usp=sharing"",""ชุมพร!I214"")"),1.0)</f>
        <v>1</v>
      </c>
      <c r="J309" s="366">
        <f>IFERROR(__xludf.DUMMYFUNCTION("IMPORTRANGE(""https://docs.google.com/spreadsheets/d/1IYY_tgx_IHuhSq3AJ5eI5OnqOPBNLWSHKh2a30DoXe8/edit?usp=sharing"",""ชุมพร!J214"")"),1.0)</f>
        <v>1</v>
      </c>
      <c r="K309" s="367">
        <f>IF(I309&gt;0,J309*100/I309,0)</f>
        <v>100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231600</v>
      </c>
      <c r="M310" s="183">
        <f t="shared" si="94"/>
        <v>115800</v>
      </c>
      <c r="N310" s="183">
        <f t="shared" si="94"/>
        <v>60294</v>
      </c>
      <c r="O310" s="182">
        <f t="shared" ref="O310:O312" si="96">IF(L310&gt;0,N310*100/L310,0)</f>
        <v>26.03367876</v>
      </c>
      <c r="P310" s="182">
        <f t="shared" ref="P310:P312" si="97">IF(M310&gt;0,N310*100/M310,0)</f>
        <v>52.06735751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231600</v>
      </c>
      <c r="M312" s="188">
        <f t="shared" si="98"/>
        <v>115800</v>
      </c>
      <c r="N312" s="188">
        <f t="shared" si="98"/>
        <v>60294</v>
      </c>
      <c r="O312" s="187">
        <f t="shared" si="96"/>
        <v>26.03367876</v>
      </c>
      <c r="P312" s="187">
        <f t="shared" si="97"/>
        <v>52.06735751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231600</v>
      </c>
      <c r="M314" s="201">
        <f>IFERROR(__xludf.DUMMYFUNCTION("IMPORTRANGE(""https://docs.google.com/spreadsheets/d/1Yj_ptqi66GCucihVvJfMjLAmec39IyEx_6qawtMGysU/edit?usp=sharing"",""สบก!DC82"")"),115800.0)</f>
        <v>115800</v>
      </c>
      <c r="N314" s="202">
        <f>IFERROR(__xludf.DUMMYFUNCTION("IMPORTRANGE(""https://docs.google.com/spreadsheets/d/1Yj_ptqi66GCucihVvJfMjLAmec39IyEx_6qawtMGysU/edit?usp=sharing"",""สบก!DD82"")"),60294.0)</f>
        <v>60294</v>
      </c>
      <c r="O314" s="203">
        <f>IF(L314&gt;0,N314*100/L314,0)</f>
        <v>26.03367876</v>
      </c>
      <c r="P314" s="203">
        <f>IF(M314&gt;0,N314*100/M314,0)</f>
        <v>52.06735751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IFERROR(__xludf.DUMMYFUNCTION("IMPORTRANGE(""https://docs.google.com/spreadsheets/d/1Yj_ptqi66GCucihVvJfMjLAmec39IyEx_6qawtMGysU/edit?usp=sharing"",""สบก!CY82"")"),0.0)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IFERROR(__xludf.DUMMYFUNCTION("IMPORTRANGE(""https://docs.google.com/spreadsheets/d/1Yj_ptqi66GCucihVvJfMjLAmec39IyEx_6qawtMGysU/edit?usp=sharing"",""สบก!CZ82"")"),231600.0)</f>
        <v>231600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IFERROR(__xludf.DUMMYFUNCTION("IMPORTRANGE(""https://docs.google.com/spreadsheets/d/1Yj_ptqi66GCucihVvJfMjLAmec39IyEx_6qawtMGysU/edit?usp=sharing"",""สบก!DA82"")"),0.0)</f>
        <v>0</v>
      </c>
      <c r="M318" s="125"/>
      <c r="N318" s="115">
        <f>IFERROR(__xludf.DUMMYFUNCTION("IMPORTRANGE(""https://docs.google.com/spreadsheets/d/1Yj_ptqi66GCucihVvJfMjLAmec39IyEx_6qawtMGysU/edit?usp=sharing"",""สบก!DE82"")"),0.0)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IFERROR(__xludf.DUMMYFUNCTION("IMPORTRANGE(""https://docs.google.com/spreadsheets/d/1IYY_tgx_IHuhSq3AJ5eI5OnqOPBNLWSHKh2a30DoXe8/edit?usp=sharing"",""ชุมพร!J220"")"),0.0)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IFERROR(__xludf.DUMMYFUNCTION("IMPORTRANGE(""https://docs.google.com/spreadsheets/d/1IYY_tgx_IHuhSq3AJ5eI5OnqOPBNLWSHKh2a30DoXe8/edit?usp=sharing"",""ชุมพร!J221"")"),1.0)</f>
        <v>1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IFERROR(__xludf.DUMMYFUNCTION("IMPORTRANGE(""https://docs.google.com/spreadsheets/d/1IYY_tgx_IHuhSq3AJ5eI5OnqOPBNLWSHKh2a30DoXe8/edit?usp=sharing"",""ชุมพร!J222"")"),1.0)</f>
        <v>1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IFERROR(__xludf.DUMMYFUNCTION("IMPORTRANGE(""https://docs.google.com/spreadsheets/d/1IYY_tgx_IHuhSq3AJ5eI5OnqOPBNLWSHKh2a30DoXe8/edit?usp=sharing"",""ชุมพร!J223"")"),1.0)</f>
        <v>1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IFERROR(__xludf.DUMMYFUNCTION("IMPORTRANGE(""https://docs.google.com/spreadsheets/d/1IYY_tgx_IHuhSq3AJ5eI5OnqOPBNLWSHKh2a30DoXe8/edit?usp=sharing"",""ชุมพร!I224"")"),1.0)</f>
        <v>1</v>
      </c>
      <c r="J324" s="238">
        <f>IFERROR(__xludf.DUMMYFUNCTION("IMPORTRANGE(""https://docs.google.com/spreadsheets/d/1IYY_tgx_IHuhSq3AJ5eI5OnqOPBNLWSHKh2a30DoXe8/edit?usp=sharing"",""ชุมพร!J224"")"),1.0)</f>
        <v>1</v>
      </c>
      <c r="K324" s="258">
        <f>IF(I324&gt;0,J324*100/I324,0)</f>
        <v>100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IFERROR(__xludf.DUMMYFUNCTION("IMPORTRANGE(""https://docs.google.com/spreadsheets/d/1IYY_tgx_IHuhSq3AJ5eI5OnqOPBNLWSHKh2a30DoXe8/edit?usp=sharing"",""ชุมพร!J225"")"),0.0)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IFERROR(__xludf.DUMMYFUNCTION("IMPORTRANGE(""https://docs.google.com/spreadsheets/d/1IYY_tgx_IHuhSq3AJ5eI5OnqOPBNLWSHKh2a30DoXe8/edit?usp=sharing"",""ชุมพร!J226"")"),0.0)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IFERROR(__xludf.DUMMYFUNCTION("IMPORTRANGE(""https://docs.google.com/spreadsheets/d/1IYY_tgx_IHuhSq3AJ5eI5OnqOPBNLWSHKh2a30DoXe8/edit?usp=sharing"",""ชุมพร!I228"")"),240.0)</f>
        <v>240</v>
      </c>
      <c r="J328" s="372">
        <f>IFERROR(__xludf.DUMMYFUNCTION("IMPORTRANGE(""https://docs.google.com/spreadsheets/d/1IYY_tgx_IHuhSq3AJ5eI5OnqOPBNLWSHKh2a30DoXe8/edit?usp=sharing"",""ชุมพร!J228"")"),29.0)</f>
        <v>29</v>
      </c>
      <c r="K328" s="350">
        <f>IF(I328&gt;0,J328*100/I328,0)</f>
        <v>12.08333333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624360</v>
      </c>
      <c r="M329" s="183">
        <f t="shared" si="99"/>
        <v>352120</v>
      </c>
      <c r="N329" s="183">
        <f t="shared" si="99"/>
        <v>127673</v>
      </c>
      <c r="O329" s="182">
        <f t="shared" ref="O329:O331" si="101">IF(L329&gt;0,N329*100/L329,0)</f>
        <v>20.44861939</v>
      </c>
      <c r="P329" s="182">
        <f t="shared" ref="P329:P331" si="102">IF(M329&gt;0,N329*100/M329,0)</f>
        <v>36.25837783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624360</v>
      </c>
      <c r="M331" s="188">
        <f t="shared" si="103"/>
        <v>352120</v>
      </c>
      <c r="N331" s="188">
        <f t="shared" si="103"/>
        <v>127673</v>
      </c>
      <c r="O331" s="187">
        <f t="shared" si="101"/>
        <v>20.44861939</v>
      </c>
      <c r="P331" s="187">
        <f t="shared" si="102"/>
        <v>36.25837783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624360</v>
      </c>
      <c r="M333" s="201">
        <f>IFERROR(__xludf.DUMMYFUNCTION("IMPORTRANGE(""https://docs.google.com/spreadsheets/d/1Yj_ptqi66GCucihVvJfMjLAmec39IyEx_6qawtMGysU/edit?usp=sharing"",""สบก!DL82"")"),352120.0)</f>
        <v>352120</v>
      </c>
      <c r="N333" s="202">
        <f>IFERROR(__xludf.DUMMYFUNCTION("IMPORTRANGE(""https://docs.google.com/spreadsheets/d/1Yj_ptqi66GCucihVvJfMjLAmec39IyEx_6qawtMGysU/edit?usp=sharing"",""สบก!DM82"")"),127673.0)</f>
        <v>127673</v>
      </c>
      <c r="O333" s="203">
        <f>IF(L333&gt;0,N333*100/L333,0)</f>
        <v>20.44861939</v>
      </c>
      <c r="P333" s="203">
        <f>IF(M333&gt;0,N333*100/M333,0)</f>
        <v>36.25837783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IFERROR(__xludf.DUMMYFUNCTION("IMPORTRANGE(""https://docs.google.com/spreadsheets/d/1Yj_ptqi66GCucihVvJfMjLAmec39IyEx_6qawtMGysU/edit?usp=sharing"",""สบก!DH82"")"),194400.0)</f>
        <v>194400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IFERROR(__xludf.DUMMYFUNCTION("IMPORTRANGE(""https://docs.google.com/spreadsheets/d/1Yj_ptqi66GCucihVvJfMjLAmec39IyEx_6qawtMGysU/edit?usp=sharing"",""สบก!DI82"")"),429960.0)</f>
        <v>429960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IFERROR(__xludf.DUMMYFUNCTION("IMPORTRANGE(""https://docs.google.com/spreadsheets/d/1Yj_ptqi66GCucihVvJfMjLAmec39IyEx_6qawtMGysU/edit?usp=sharing"",""สบก!DJ82"")"),0.0)</f>
        <v>0</v>
      </c>
      <c r="M337" s="125"/>
      <c r="N337" s="115">
        <f>IFERROR(__xludf.DUMMYFUNCTION("IMPORTRANGE(""https://docs.google.com/spreadsheets/d/1Yj_ptqi66GCucihVvJfMjLAmec39IyEx_6qawtMGysU/edit?usp=sharing"",""สบก!DN82"")"),0.0)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IFERROR(__xludf.DUMMYFUNCTION("IMPORTRANGE(""https://docs.google.com/spreadsheets/d/1IYY_tgx_IHuhSq3AJ5eI5OnqOPBNLWSHKh2a30DoXe8/edit?usp=sharing"",""ชุมพร!I234"")"),0.0)</f>
        <v>0</v>
      </c>
      <c r="J339" s="222">
        <f>IFERROR(__xludf.DUMMYFUNCTION("IMPORTRANGE(""https://docs.google.com/spreadsheets/d/1IYY_tgx_IHuhSq3AJ5eI5OnqOPBNLWSHKh2a30DoXe8/edit?usp=sharing"",""ชุมพร!J234"")"),55.0)</f>
        <v>55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IFERROR(__xludf.DUMMYFUNCTION("IMPORTRANGE(""https://docs.google.com/spreadsheets/d/1IYY_tgx_IHuhSq3AJ5eI5OnqOPBNLWSHKh2a30DoXe8/edit?usp=sharing"",""ชุมพร!I235"")"),2510.0)</f>
        <v>2510</v>
      </c>
      <c r="J340" s="222">
        <f>IFERROR(__xludf.DUMMYFUNCTION("IMPORTRANGE(""https://docs.google.com/spreadsheets/d/1IYY_tgx_IHuhSq3AJ5eI5OnqOPBNLWSHKh2a30DoXe8/edit?usp=sharing"",""ชุมพร!J235"")"),633.45)</f>
        <v>633.45</v>
      </c>
      <c r="K340" s="375">
        <f t="shared" si="104"/>
        <v>25.23705179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IFERROR(__xludf.DUMMYFUNCTION("IMPORTRANGE(""https://docs.google.com/spreadsheets/d/1IYY_tgx_IHuhSq3AJ5eI5OnqOPBNLWSHKh2a30DoXe8/edit?usp=sharing"",""ชุมพร!I236"")"),240.0)</f>
        <v>240</v>
      </c>
      <c r="J341" s="222">
        <f>IFERROR(__xludf.DUMMYFUNCTION("IMPORTRANGE(""https://docs.google.com/spreadsheets/d/1IYY_tgx_IHuhSq3AJ5eI5OnqOPBNLWSHKh2a30DoXe8/edit?usp=sharing"",""ชุมพร!J236"")"),30.0)</f>
        <v>30</v>
      </c>
      <c r="K341" s="375">
        <f t="shared" si="104"/>
        <v>12.5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IFERROR(__xludf.DUMMYFUNCTION("IMPORTRANGE(""https://docs.google.com/spreadsheets/d/1IYY_tgx_IHuhSq3AJ5eI5OnqOPBNLWSHKh2a30DoXe8/edit?usp=sharing"",""ชุมพร!I237"")"),0.0)</f>
        <v>0</v>
      </c>
      <c r="J342" s="222">
        <f>IFERROR(__xludf.DUMMYFUNCTION("IMPORTRANGE(""https://docs.google.com/spreadsheets/d/1IYY_tgx_IHuhSq3AJ5eI5OnqOPBNLWSHKh2a30DoXe8/edit?usp=sharing"",""ชุมพร!J237"")"),346.67)</f>
        <v>346.67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IFERROR(__xludf.DUMMYFUNCTION("IMPORTRANGE(""https://docs.google.com/spreadsheets/d/1IYY_tgx_IHuhSq3AJ5eI5OnqOPBNLWSHKh2a30DoXe8/edit?usp=sharing"",""ชุมพร!I238"")"),240.0)</f>
        <v>240</v>
      </c>
      <c r="J343" s="222">
        <f>IFERROR(__xludf.DUMMYFUNCTION("IMPORTRANGE(""https://docs.google.com/spreadsheets/d/1IYY_tgx_IHuhSq3AJ5eI5OnqOPBNLWSHKh2a30DoXe8/edit?usp=sharing"",""ชุมพร!J238"")"),0.0)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IFERROR(__xludf.DUMMYFUNCTION("IMPORTRANGE(""https://docs.google.com/spreadsheets/d/1IYY_tgx_IHuhSq3AJ5eI5OnqOPBNLWSHKh2a30DoXe8/edit?usp=sharing"",""ชุมพร!I239"")"),0.0)</f>
        <v>0</v>
      </c>
      <c r="J344" s="222">
        <f>IFERROR(__xludf.DUMMYFUNCTION("IMPORTRANGE(""https://docs.google.com/spreadsheets/d/1IYY_tgx_IHuhSq3AJ5eI5OnqOPBNLWSHKh2a30DoXe8/edit?usp=sharing"",""ชุมพร!J239"")"),0.0)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IFERROR(__xludf.DUMMYFUNCTION("IMPORTRANGE(""https://docs.google.com/spreadsheets/d/1IYY_tgx_IHuhSq3AJ5eI5OnqOPBNLWSHKh2a30DoXe8/edit?usp=sharing"",""ชุมพร!I240"")"),240.0)</f>
        <v>240</v>
      </c>
      <c r="J345" s="222">
        <f>IFERROR(__xludf.DUMMYFUNCTION("IMPORTRANGE(""https://docs.google.com/spreadsheets/d/1IYY_tgx_IHuhSq3AJ5eI5OnqOPBNLWSHKh2a30DoXe8/edit?usp=sharing"",""ชุมพร!J240"")"),29.0)</f>
        <v>29</v>
      </c>
      <c r="K345" s="375">
        <f t="shared" si="104"/>
        <v>12.08333333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IFERROR(__xludf.DUMMYFUNCTION("IMPORTRANGE(""https://docs.google.com/spreadsheets/d/1IYY_tgx_IHuhSq3AJ5eI5OnqOPBNLWSHKh2a30DoXe8/edit?usp=sharing"",""ชุมพร!I241"")"),0.0)</f>
        <v>0</v>
      </c>
      <c r="J346" s="222">
        <f>IFERROR(__xludf.DUMMYFUNCTION("IMPORTRANGE(""https://docs.google.com/spreadsheets/d/1IYY_tgx_IHuhSq3AJ5eI5OnqOPBNLWSHKh2a30DoXe8/edit?usp=sharing"",""ชุมพร!J241"")"),319.09)</f>
        <v>319.09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IFERROR(__xludf.DUMMYFUNCTION("IMPORTRANGE(""https://docs.google.com/spreadsheets/d/1IYY_tgx_IHuhSq3AJ5eI5OnqOPBNLWSHKh2a30DoXe8/edit?usp=sharing"",""ชุมพร!L242"")"),2060897.0)</f>
        <v>2060897</v>
      </c>
      <c r="M347" s="391"/>
      <c r="N347" s="391">
        <f>IFERROR(__xludf.DUMMYFUNCTION("IMPORTRANGE(""https://docs.google.com/spreadsheets/d/1IYY_tgx_IHuhSq3AJ5eI5OnqOPBNLWSHKh2a30DoXe8/edit?usp=sharing"",""ชุมพร!M242"")"),232765.0)</f>
        <v>232765</v>
      </c>
      <c r="O347" s="391">
        <f>+IF(L347&gt;0,N347*100/L347,0)</f>
        <v>11.29435387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IFERROR(__xludf.DUMMYFUNCTION("IMPORTRANGE(""https://docs.google.com/spreadsheets/d/1IYY_tgx_IHuhSq3AJ5eI5OnqOPBNLWSHKh2a30DoXe8/edit?usp=sharing"",""ชุมพร!I244"")"),175.0)</f>
        <v>175</v>
      </c>
      <c r="J349" s="404">
        <f>IFERROR(__xludf.DUMMYFUNCTION("IMPORTRANGE(""https://docs.google.com/spreadsheets/d/1IYY_tgx_IHuhSq3AJ5eI5OnqOPBNLWSHKh2a30DoXe8/edit?usp=sharing"",""ชุมพร!J244"")"),0.0)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IFERROR(__xludf.DUMMYFUNCTION("IMPORTRANGE(""https://docs.google.com/spreadsheets/d/1IYY_tgx_IHuhSq3AJ5eI5OnqOPBNLWSHKh2a30DoXe8/edit?usp=sharing"",""ชุมพร!L244"")"),369210.0)</f>
        <v>369210</v>
      </c>
      <c r="M349" s="406"/>
      <c r="N349" s="406">
        <f>IFERROR(__xludf.DUMMYFUNCTION("IMPORTRANGE(""https://docs.google.com/spreadsheets/d/1IYY_tgx_IHuhSq3AJ5eI5OnqOPBNLWSHKh2a30DoXe8/edit?usp=sharing"",""ชุมพร!M244"")"),27522.0)</f>
        <v>27522</v>
      </c>
      <c r="O349" s="406">
        <f>+IF(L349&gt;0,N349*100/L349,0)</f>
        <v>7.454294304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IFERROR(__xludf.DUMMYFUNCTION("IMPORTRANGE(""https://docs.google.com/spreadsheets/d/1IYY_tgx_IHuhSq3AJ5eI5OnqOPBNLWSHKh2a30DoXe8/edit?usp=sharing"",""ชุมพร!I245"")"),35.0)</f>
        <v>35</v>
      </c>
      <c r="J350" s="404">
        <f>IFERROR(__xludf.DUMMYFUNCTION("IMPORTRANGE(""https://docs.google.com/spreadsheets/d/1IYY_tgx_IHuhSq3AJ5eI5OnqOPBNLWSHKh2a30DoXe8/edit?usp=sharing"",""ชุมพร!J245"")"),0.0)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IFERROR(__xludf.DUMMYFUNCTION("IMPORTRANGE(""https://docs.google.com/spreadsheets/d/1IYY_tgx_IHuhSq3AJ5eI5OnqOPBNLWSHKh2a30DoXe8/edit?usp=sharing"",""ชุมพร!L246"")"),0.0)</f>
        <v>0</v>
      </c>
      <c r="M351" s="197"/>
      <c r="N351" s="197">
        <f>IFERROR(__xludf.DUMMYFUNCTION("IMPORTRANGE(""https://docs.google.com/spreadsheets/d/1IYY_tgx_IHuhSq3AJ5eI5OnqOPBNLWSHKh2a30DoXe8/edit?usp=sharing"",""ชุมพร!M246"")"),0.0)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IFERROR(__xludf.DUMMYFUNCTION("IMPORTRANGE(""https://docs.google.com/spreadsheets/d/1IYY_tgx_IHuhSq3AJ5eI5OnqOPBNLWSHKh2a30DoXe8/edit?usp=sharing"",""ชุมพร!L247"")"),369210.0)</f>
        <v>369210</v>
      </c>
      <c r="M352" s="198"/>
      <c r="N352" s="197">
        <f>IFERROR(__xludf.DUMMYFUNCTION("IMPORTRANGE(""https://docs.google.com/spreadsheets/d/1IYY_tgx_IHuhSq3AJ5eI5OnqOPBNLWSHKh2a30DoXe8/edit?usp=sharing"",""ชุมพร!M247"")"),27522.0)</f>
        <v>27522</v>
      </c>
      <c r="O352" s="198">
        <f t="shared" si="106"/>
        <v>7.454294304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IFERROR(__xludf.DUMMYFUNCTION("IMPORTRANGE(""https://docs.google.com/spreadsheets/d/1IYY_tgx_IHuhSq3AJ5eI5OnqOPBNLWSHKh2a30DoXe8/edit?usp=sharing"",""ชุมพร!L248"")"),0.0)</f>
        <v>0</v>
      </c>
      <c r="M353" s="203"/>
      <c r="N353" s="203">
        <f>IFERROR(__xludf.DUMMYFUNCTION("IMPORTRANGE(""https://docs.google.com/spreadsheets/d/1IYY_tgx_IHuhSq3AJ5eI5OnqOPBNLWSHKh2a30DoXe8/edit?usp=sharing"",""ชุมพร!M248"")"),0.0)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IFERROR(__xludf.DUMMYFUNCTION("IMPORTRANGE(""https://docs.google.com/spreadsheets/d/1IYY_tgx_IHuhSq3AJ5eI5OnqOPBNLWSHKh2a30DoXe8/edit?usp=sharing"",""ชุมพร!L249"")"),369210.0)</f>
        <v>369210</v>
      </c>
      <c r="M354" s="203"/>
      <c r="N354" s="200">
        <f>IFERROR(__xludf.DUMMYFUNCTION("IMPORTRANGE(""https://docs.google.com/spreadsheets/d/1IYY_tgx_IHuhSq3AJ5eI5OnqOPBNLWSHKh2a30DoXe8/edit?usp=sharing"",""ชุมพร!M249"")"),27522.0)</f>
        <v>27522</v>
      </c>
      <c r="O354" s="203">
        <f t="shared" si="106"/>
        <v>7.454294304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IFERROR(__xludf.DUMMYFUNCTION("IMPORTRANGE(""https://docs.google.com/spreadsheets/d/1IYY_tgx_IHuhSq3AJ5eI5OnqOPBNLWSHKh2a30DoXe8/edit?usp=sharing"",""ชุมพร!M250"")"),6620.0)</f>
        <v>6620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IFERROR(__xludf.DUMMYFUNCTION("IMPORTRANGE(""https://docs.google.com/spreadsheets/d/1IYY_tgx_IHuhSq3AJ5eI5OnqOPBNLWSHKh2a30DoXe8/edit?usp=sharing"",""ชุมพร!M251"")"),0.0)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IFERROR(__xludf.DUMMYFUNCTION("IMPORTRANGE(""https://docs.google.com/spreadsheets/d/1IYY_tgx_IHuhSq3AJ5eI5OnqOPBNLWSHKh2a30DoXe8/edit?usp=sharing"",""ชุมพร!M252"")"),20542.0)</f>
        <v>20542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IFERROR(__xludf.DUMMYFUNCTION("IMPORTRANGE(""https://docs.google.com/spreadsheets/d/1IYY_tgx_IHuhSq3AJ5eI5OnqOPBNLWSHKh2a30DoXe8/edit?usp=sharing"",""ชุมพร!M253"")"),360.0)</f>
        <v>360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IFERROR(__xludf.DUMMYFUNCTION("IMPORTRANGE(""https://docs.google.com/spreadsheets/d/1IYY_tgx_IHuhSq3AJ5eI5OnqOPBNLWSHKh2a30DoXe8/edit?usp=sharing"",""ชุมพร!J255"")"),0.0)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IFERROR(__xludf.DUMMYFUNCTION("IMPORTRANGE(""https://docs.google.com/spreadsheets/d/1IYY_tgx_IHuhSq3AJ5eI5OnqOPBNLWSHKh2a30DoXe8/edit?usp=sharing"",""ชุมพร!J256"")"),1.0)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IFERROR(__xludf.DUMMYFUNCTION("IMPORTRANGE(""https://docs.google.com/spreadsheets/d/1IYY_tgx_IHuhSq3AJ5eI5OnqOPBNLWSHKh2a30DoXe8/edit?usp=sharing"",""ชุมพร!J257"")"),1.0)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IFERROR(__xludf.DUMMYFUNCTION("IMPORTRANGE(""https://docs.google.com/spreadsheets/d/1IYY_tgx_IHuhSq3AJ5eI5OnqOPBNLWSHKh2a30DoXe8/edit?usp=sharing"",""ชุมพร!J258"")"),1.0)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IFERROR(__xludf.DUMMYFUNCTION("IMPORTRANGE(""https://docs.google.com/spreadsheets/d/1IYY_tgx_IHuhSq3AJ5eI5OnqOPBNLWSHKh2a30DoXe8/edit?usp=sharing"",""ชุมพร!J166"")"),0.0)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IFERROR(__xludf.DUMMYFUNCTION("IMPORTRANGE(""https://docs.google.com/spreadsheets/d/1IYY_tgx_IHuhSq3AJ5eI5OnqOPBNLWSHKh2a30DoXe8/edit?usp=sharing"",""ชุมพร!J166"")"),0.0)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IFERROR(__xludf.DUMMYFUNCTION("IMPORTRANGE(""https://docs.google.com/spreadsheets/d/1IYY_tgx_IHuhSq3AJ5eI5OnqOPBNLWSHKh2a30DoXe8/edit?usp=sharing"",""ชุมพร!J166"")"),0.0)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IFERROR(__xludf.DUMMYFUNCTION("IMPORTRANGE(""https://docs.google.com/spreadsheets/d/1IYY_tgx_IHuhSq3AJ5eI5OnqOPBNLWSHKh2a30DoXe8/edit?usp=sharing"",""ชุมพร!J166"")"),0.0)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IFERROR(__xludf.DUMMYFUNCTION("IMPORTRANGE(""https://docs.google.com/spreadsheets/d/1IYY_tgx_IHuhSq3AJ5eI5OnqOPBNLWSHKh2a30DoXe8/edit?usp=sharing"",""ชุมพร!I263"")"),35.0)</f>
        <v>35</v>
      </c>
      <c r="J368" s="222">
        <f>IFERROR(__xludf.DUMMYFUNCTION("IMPORTRANGE(""https://docs.google.com/spreadsheets/d/1IYY_tgx_IHuhSq3AJ5eI5OnqOPBNLWSHKh2a30DoXe8/edit?usp=sharing"",""ชุมพร!J263"")"),0.0)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IFERROR(__xludf.DUMMYFUNCTION("IMPORTRANGE(""https://docs.google.com/spreadsheets/d/1IYY_tgx_IHuhSq3AJ5eI5OnqOPBNLWSHKh2a30DoXe8/edit?usp=sharing"",""ชุมพร!I164"")"),0.0)</f>
        <v>0</v>
      </c>
      <c r="J369" s="238">
        <f>IFERROR(__xludf.DUMMYFUNCTION("IMPORTRANGE(""https://docs.google.com/spreadsheets/d/1IYY_tgx_IHuhSq3AJ5eI5OnqOPBNLWSHKh2a30DoXe8/edit?usp=sharing"",""ชุมพร!J164"")"),0.0)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IFERROR(__xludf.DUMMYFUNCTION("IMPORTRANGE(""https://docs.google.com/spreadsheets/d/1IYY_tgx_IHuhSq3AJ5eI5OnqOPBNLWSHKh2a30DoXe8/edit?usp=sharing"",""ชุมพร!I265"")"),35.0)</f>
        <v>35</v>
      </c>
      <c r="J370" s="238">
        <f>IFERROR(__xludf.DUMMYFUNCTION("IMPORTRANGE(""https://docs.google.com/spreadsheets/d/1IYY_tgx_IHuhSq3AJ5eI5OnqOPBNLWSHKh2a30DoXe8/edit?usp=sharing"",""ชุมพร!J265"")"),35.0)</f>
        <v>35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IFERROR(__xludf.DUMMYFUNCTION("IMPORTRANGE(""https://docs.google.com/spreadsheets/d/1IYY_tgx_IHuhSq3AJ5eI5OnqOPBNLWSHKh2a30DoXe8/edit?usp=sharing"",""ชุมพร!I164"")"),0.0)</f>
        <v>0</v>
      </c>
      <c r="J371" s="223">
        <f>IFERROR(__xludf.DUMMYFUNCTION("IMPORTRANGE(""https://docs.google.com/spreadsheets/d/1IYY_tgx_IHuhSq3AJ5eI5OnqOPBNLWSHKh2a30DoXe8/edit?usp=sharing"",""ชุมพร!J164"")"),0.0)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IFERROR(__xludf.DUMMYFUNCTION("IMPORTRANGE(""https://docs.google.com/spreadsheets/d/1IYY_tgx_IHuhSq3AJ5eI5OnqOPBNLWSHKh2a30DoXe8/edit?usp=sharing"",""ชุมพร!I267"")"),35.0)</f>
        <v>35</v>
      </c>
      <c r="J372" s="223">
        <f>IFERROR(__xludf.DUMMYFUNCTION("IMPORTRANGE(""https://docs.google.com/spreadsheets/d/1IYY_tgx_IHuhSq3AJ5eI5OnqOPBNLWSHKh2a30DoXe8/edit?usp=sharing"",""ชุมพร!J267"")"),0.0)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IFERROR(__xludf.DUMMYFUNCTION("IMPORTRANGE(""https://docs.google.com/spreadsheets/d/1IYY_tgx_IHuhSq3AJ5eI5OnqOPBNLWSHKh2a30DoXe8/edit?usp=sharing"",""ชุมพร!I164"")"),0.0)</f>
        <v>0</v>
      </c>
      <c r="J373" s="238">
        <f>IFERROR(__xludf.DUMMYFUNCTION("IMPORTRANGE(""https://docs.google.com/spreadsheets/d/1IYY_tgx_IHuhSq3AJ5eI5OnqOPBNLWSHKh2a30DoXe8/edit?usp=sharing"",""ชุมพร!J164"")"),0.0)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IFERROR(__xludf.DUMMYFUNCTION("IMPORTRANGE(""https://docs.google.com/spreadsheets/d/1IYY_tgx_IHuhSq3AJ5eI5OnqOPBNLWSHKh2a30DoXe8/edit?usp=sharing"",""ชุมพร!I164"")"),0.0)</f>
        <v>0</v>
      </c>
      <c r="J374" s="222">
        <f>IFERROR(__xludf.DUMMYFUNCTION("IMPORTRANGE(""https://docs.google.com/spreadsheets/d/1IYY_tgx_IHuhSq3AJ5eI5OnqOPBNLWSHKh2a30DoXe8/edit?usp=sharing"",""ชุมพร!J164"")"),0.0)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IFERROR(__xludf.DUMMYFUNCTION("IMPORTRANGE(""https://docs.google.com/spreadsheets/d/1IYY_tgx_IHuhSq3AJ5eI5OnqOPBNLWSHKh2a30DoXe8/edit?usp=sharing"",""ชุมพร!I270"")"),175.0)</f>
        <v>175</v>
      </c>
      <c r="J375" s="222">
        <f>IFERROR(__xludf.DUMMYFUNCTION("IMPORTRANGE(""https://docs.google.com/spreadsheets/d/1IYY_tgx_IHuhSq3AJ5eI5OnqOPBNLWSHKh2a30DoXe8/edit?usp=sharing"",""ชุมพร!J270"")"),0.0)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IFERROR(__xludf.DUMMYFUNCTION("IMPORTRANGE(""https://docs.google.com/spreadsheets/d/1IYY_tgx_IHuhSq3AJ5eI5OnqOPBNLWSHKh2a30DoXe8/edit?usp=sharing"",""ชุมพร!I271"")"),50.0)</f>
        <v>50</v>
      </c>
      <c r="J376" s="223">
        <f>IFERROR(__xludf.DUMMYFUNCTION("IMPORTRANGE(""https://docs.google.com/spreadsheets/d/1IYY_tgx_IHuhSq3AJ5eI5OnqOPBNLWSHKh2a30DoXe8/edit?usp=sharing"",""ชุมพร!J271"")"),0.0)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IFERROR(__xludf.DUMMYFUNCTION("IMPORTRANGE(""https://docs.google.com/spreadsheets/d/1IYY_tgx_IHuhSq3AJ5eI5OnqOPBNLWSHKh2a30DoXe8/edit?usp=sharing"",""ชุมพร!I272"")"),125.0)</f>
        <v>125</v>
      </c>
      <c r="J377" s="238">
        <f>IFERROR(__xludf.DUMMYFUNCTION("IMPORTRANGE(""https://docs.google.com/spreadsheets/d/1IYY_tgx_IHuhSq3AJ5eI5OnqOPBNLWSHKh2a30DoXe8/edit?usp=sharing"",""ชุมพร!J272"")"),0.0)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IFERROR(__xludf.DUMMYFUNCTION("IMPORTRANGE(""https://docs.google.com/spreadsheets/d/1IYY_tgx_IHuhSq3AJ5eI5OnqOPBNLWSHKh2a30DoXe8/edit?usp=sharing"",""ชุมพร!J273"")"),0.0)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IFERROR(__xludf.DUMMYFUNCTION("IMPORTRANGE(""https://docs.google.com/spreadsheets/d/1IYY_tgx_IHuhSq3AJ5eI5OnqOPBNLWSHKh2a30DoXe8/edit?usp=sharing"",""ชุมพร!J274"")"),0.0)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IFERROR(__xludf.DUMMYFUNCTION("IMPORTRANGE(""https://docs.google.com/spreadsheets/d/1IYY_tgx_IHuhSq3AJ5eI5OnqOPBNLWSHKh2a30DoXe8/edit?usp=sharing"",""ชุมพร!I275"")"),500.0)</f>
        <v>500</v>
      </c>
      <c r="J380" s="404">
        <f>IFERROR(__xludf.DUMMYFUNCTION("IMPORTRANGE(""https://docs.google.com/spreadsheets/d/1IYY_tgx_IHuhSq3AJ5eI5OnqOPBNLWSHKh2a30DoXe8/edit?usp=sharing"",""ชุมพร!J275"")"),0.0)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IFERROR(__xludf.DUMMYFUNCTION("IMPORTRANGE(""https://docs.google.com/spreadsheets/d/1IYY_tgx_IHuhSq3AJ5eI5OnqOPBNLWSHKh2a30DoXe8/edit?usp=sharing"",""ชุมพร!L275"")"),460140.0)</f>
        <v>460140</v>
      </c>
      <c r="M380" s="406"/>
      <c r="N380" s="406">
        <f>IFERROR(__xludf.DUMMYFUNCTION("IMPORTRANGE(""https://docs.google.com/spreadsheets/d/1IYY_tgx_IHuhSq3AJ5eI5OnqOPBNLWSHKh2a30DoXe8/edit?usp=sharing"",""ชุมพร!M275"")"),51720.0)</f>
        <v>51720</v>
      </c>
      <c r="O380" s="406">
        <f>+IF(L380&gt;0,N380*100/L380,0)</f>
        <v>11.24005737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IFERROR(__xludf.DUMMYFUNCTION("IMPORTRANGE(""https://docs.google.com/spreadsheets/d/1IYY_tgx_IHuhSq3AJ5eI5OnqOPBNLWSHKh2a30DoXe8/edit?usp=sharing"",""ชุมพร!I276"")"),50.0)</f>
        <v>50</v>
      </c>
      <c r="J381" s="404">
        <f>IFERROR(__xludf.DUMMYFUNCTION("IMPORTRANGE(""https://docs.google.com/spreadsheets/d/1IYY_tgx_IHuhSq3AJ5eI5OnqOPBNLWSHKh2a30DoXe8/edit?usp=sharing"",""ชุมพร!J276"")"),50.0)</f>
        <v>50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IFERROR(__xludf.DUMMYFUNCTION("IMPORTRANGE(""https://docs.google.com/spreadsheets/d/1IYY_tgx_IHuhSq3AJ5eI5OnqOPBNLWSHKh2a30DoXe8/edit?usp=sharing"",""ชุมพร!L277"")"),0.0)</f>
        <v>0</v>
      </c>
      <c r="M382" s="197"/>
      <c r="N382" s="197">
        <f>IFERROR(__xludf.DUMMYFUNCTION("IMPORTRANGE(""https://docs.google.com/spreadsheets/d/1IYY_tgx_IHuhSq3AJ5eI5OnqOPBNLWSHKh2a30DoXe8/edit?usp=sharing"",""ชุมพร!M277"")"),0.0)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IFERROR(__xludf.DUMMYFUNCTION("IMPORTRANGE(""https://docs.google.com/spreadsheets/d/1IYY_tgx_IHuhSq3AJ5eI5OnqOPBNLWSHKh2a30DoXe8/edit?usp=sharing"",""ชุมพร!L278"")"),460140.0)</f>
        <v>460140</v>
      </c>
      <c r="M383" s="198"/>
      <c r="N383" s="198">
        <f>IFERROR(__xludf.DUMMYFUNCTION("IMPORTRANGE(""https://docs.google.com/spreadsheets/d/1IYY_tgx_IHuhSq3AJ5eI5OnqOPBNLWSHKh2a30DoXe8/edit?usp=sharing"",""ชุมพร!M278"")"),51720.0)</f>
        <v>51720</v>
      </c>
      <c r="O383" s="198">
        <f t="shared" si="110"/>
        <v>11.24005737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IFERROR(__xludf.DUMMYFUNCTION("IMPORTRANGE(""https://docs.google.com/spreadsheets/d/1IYY_tgx_IHuhSq3AJ5eI5OnqOPBNLWSHKh2a30DoXe8/edit?usp=sharing"",""ชุมพร!L279"")"),0.0)</f>
        <v>0</v>
      </c>
      <c r="M384" s="203"/>
      <c r="N384" s="203">
        <f>IFERROR(__xludf.DUMMYFUNCTION("IMPORTRANGE(""https://docs.google.com/spreadsheets/d/1IYY_tgx_IHuhSq3AJ5eI5OnqOPBNLWSHKh2a30DoXe8/edit?usp=sharing"",""ชุมพร!M279"")"),0.0)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IFERROR(__xludf.DUMMYFUNCTION("IMPORTRANGE(""https://docs.google.com/spreadsheets/d/1IYY_tgx_IHuhSq3AJ5eI5OnqOPBNLWSHKh2a30DoXe8/edit?usp=sharing"",""ชุมพร!L280"")"),460140.0)</f>
        <v>460140</v>
      </c>
      <c r="M385" s="203"/>
      <c r="N385" s="200">
        <f>IFERROR(__xludf.DUMMYFUNCTION("IMPORTRANGE(""https://docs.google.com/spreadsheets/d/1IYY_tgx_IHuhSq3AJ5eI5OnqOPBNLWSHKh2a30DoXe8/edit?usp=sharing"",""ชุมพร!M280"")"),51720.0)</f>
        <v>51720</v>
      </c>
      <c r="O385" s="203">
        <f t="shared" si="110"/>
        <v>11.24005737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IFERROR(__xludf.DUMMYFUNCTION("IMPORTRANGE(""https://docs.google.com/spreadsheets/d/1IYY_tgx_IHuhSq3AJ5eI5OnqOPBNLWSHKh2a30DoXe8/edit?usp=sharing"",""ชุมพร!M281"")"),51080.0)</f>
        <v>51080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IFERROR(__xludf.DUMMYFUNCTION("IMPORTRANGE(""https://docs.google.com/spreadsheets/d/1IYY_tgx_IHuhSq3AJ5eI5OnqOPBNLWSHKh2a30DoXe8/edit?usp=sharing"",""ชุมพร!M282"")"),0.0)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IFERROR(__xludf.DUMMYFUNCTION("IMPORTRANGE(""https://docs.google.com/spreadsheets/d/1IYY_tgx_IHuhSq3AJ5eI5OnqOPBNLWSHKh2a30DoXe8/edit?usp=sharing"",""ชุมพร!M283"")"),0.0)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IFERROR(__xludf.DUMMYFUNCTION("IMPORTRANGE(""https://docs.google.com/spreadsheets/d/1IYY_tgx_IHuhSq3AJ5eI5OnqOPBNLWSHKh2a30DoXe8/edit?usp=sharing"",""ชุมพร!M284"")"),640.0)</f>
        <v>640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IFERROR(__xludf.DUMMYFUNCTION("IMPORTRANGE(""https://docs.google.com/spreadsheets/d/1IYY_tgx_IHuhSq3AJ5eI5OnqOPBNLWSHKh2a30DoXe8/edit?usp=sharing"",""ชุมพร!J286"")"),0.0)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IFERROR(__xludf.DUMMYFUNCTION("IMPORTRANGE(""https://docs.google.com/spreadsheets/d/1IYY_tgx_IHuhSq3AJ5eI5OnqOPBNLWSHKh2a30DoXe8/edit?usp=sharing"",""ชุมพร!J287"")"),1.0)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IFERROR(__xludf.DUMMYFUNCTION("IMPORTRANGE(""https://docs.google.com/spreadsheets/d/1IYY_tgx_IHuhSq3AJ5eI5OnqOPBNLWSHKh2a30DoXe8/edit?usp=sharing"",""ชุมพร!J288"")"),1.0)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IFERROR(__xludf.DUMMYFUNCTION("IMPORTRANGE(""https://docs.google.com/spreadsheets/d/1IYY_tgx_IHuhSq3AJ5eI5OnqOPBNLWSHKh2a30DoXe8/edit?usp=sharing"",""ชุมพร!J289"")"),1.0)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IFERROR(__xludf.DUMMYFUNCTION("IMPORTRANGE(""https://docs.google.com/spreadsheets/d/1IYY_tgx_IHuhSq3AJ5eI5OnqOPBNLWSHKh2a30DoXe8/edit?usp=sharing"",""ชุมพร!I291"")"),50.0)</f>
        <v>50</v>
      </c>
      <c r="J396" s="232">
        <f>IFERROR(__xludf.DUMMYFUNCTION("IMPORTRANGE(""https://docs.google.com/spreadsheets/d/1IYY_tgx_IHuhSq3AJ5eI5OnqOPBNLWSHKh2a30DoXe8/edit?usp=sharing"",""ชุมพร!J291"")"),50.0)</f>
        <v>50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IFERROR(__xludf.DUMMYFUNCTION("IMPORTRANGE(""https://docs.google.com/spreadsheets/d/1IYY_tgx_IHuhSq3AJ5eI5OnqOPBNLWSHKh2a30DoXe8/edit?usp=sharing"",""ชุมพร!I292"")"),500.0)</f>
        <v>500</v>
      </c>
      <c r="J397" s="232">
        <f>IFERROR(__xludf.DUMMYFUNCTION("IMPORTRANGE(""https://docs.google.com/spreadsheets/d/1IYY_tgx_IHuhSq3AJ5eI5OnqOPBNLWSHKh2a30DoXe8/edit?usp=sharing"",""ชุมพร!J292"")"),0.0)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IFERROR(__xludf.DUMMYFUNCTION("IMPORTRANGE(""https://docs.google.com/spreadsheets/d/1IYY_tgx_IHuhSq3AJ5eI5OnqOPBNLWSHKh2a30DoXe8/edit?usp=sharing"",""ชุมพร!I293"")"),50.0)</f>
        <v>50</v>
      </c>
      <c r="J398" s="232">
        <f>IFERROR(__xludf.DUMMYFUNCTION("IMPORTRANGE(""https://docs.google.com/spreadsheets/d/1IYY_tgx_IHuhSq3AJ5eI5OnqOPBNLWSHKh2a30DoXe8/edit?usp=sharing"",""ชุมพร!J293"")"),0.0)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IFERROR(__xludf.DUMMYFUNCTION("IMPORTRANGE(""https://docs.google.com/spreadsheets/d/1IYY_tgx_IHuhSq3AJ5eI5OnqOPBNLWSHKh2a30DoXe8/edit?usp=sharing"",""ชุมพร!J294"")"),0.0)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IFERROR(__xludf.DUMMYFUNCTION("IMPORTRANGE(""https://docs.google.com/spreadsheets/d/1IYY_tgx_IHuhSq3AJ5eI5OnqOPBNLWSHKh2a30DoXe8/edit?usp=sharing"",""ชุมพร!J295"")"),0.0)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IFERROR(__xludf.DUMMYFUNCTION("IMPORTRANGE(""https://docs.google.com/spreadsheets/d/1IYY_tgx_IHuhSq3AJ5eI5OnqOPBNLWSHKh2a30DoXe8/edit?usp=sharing"",""ชุมพร!I296"")"),135.0)</f>
        <v>135</v>
      </c>
      <c r="J401" s="404">
        <f>IFERROR(__xludf.DUMMYFUNCTION("IMPORTRANGE(""https://docs.google.com/spreadsheets/d/1IYY_tgx_IHuhSq3AJ5eI5OnqOPBNLWSHKh2a30DoXe8/edit?usp=sharing"",""ชุมพร!J296"")"),0.0)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IFERROR(__xludf.DUMMYFUNCTION("IMPORTRANGE(""https://docs.google.com/spreadsheets/d/1IYY_tgx_IHuhSq3AJ5eI5OnqOPBNLWSHKh2a30DoXe8/edit?usp=sharing"",""ชุมพร!L296"")"),159950.0)</f>
        <v>159950</v>
      </c>
      <c r="M401" s="406"/>
      <c r="N401" s="406">
        <f>IFERROR(__xludf.DUMMYFUNCTION("IMPORTRANGE(""https://docs.google.com/spreadsheets/d/1IYY_tgx_IHuhSq3AJ5eI5OnqOPBNLWSHKh2a30DoXe8/edit?usp=sharing"",""ชุมพร!M296"")"),7440.0)</f>
        <v>7440</v>
      </c>
      <c r="O401" s="406">
        <f>+IF(L401&gt;0,N401*100/L401,0)</f>
        <v>4.651453579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IFERROR(__xludf.DUMMYFUNCTION("IMPORTRANGE(""https://docs.google.com/spreadsheets/d/1IYY_tgx_IHuhSq3AJ5eI5OnqOPBNLWSHKh2a30DoXe8/edit?usp=sharing"",""ชุมพร!I297"")"),45.0)</f>
        <v>45</v>
      </c>
      <c r="J402" s="404">
        <f>IFERROR(__xludf.DUMMYFUNCTION("IMPORTRANGE(""https://docs.google.com/spreadsheets/d/1IYY_tgx_IHuhSq3AJ5eI5OnqOPBNLWSHKh2a30DoXe8/edit?usp=sharing"",""ชุมพร!J297"")"),0.0)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IFERROR(__xludf.DUMMYFUNCTION("IMPORTRANGE(""https://docs.google.com/spreadsheets/d/1IYY_tgx_IHuhSq3AJ5eI5OnqOPBNLWSHKh2a30DoXe8/edit?usp=sharing"",""ชุมพร!L298"")"),0.0)</f>
        <v>0</v>
      </c>
      <c r="M403" s="197"/>
      <c r="N403" s="203">
        <f>IFERROR(__xludf.DUMMYFUNCTION("IMPORTRANGE(""https://docs.google.com/spreadsheets/d/1IYY_tgx_IHuhSq3AJ5eI5OnqOPBNLWSHKh2a30DoXe8/edit?usp=sharing"",""ชุมพร!M298"")"),0.0)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IFERROR(__xludf.DUMMYFUNCTION("IMPORTRANGE(""https://docs.google.com/spreadsheets/d/1IYY_tgx_IHuhSq3AJ5eI5OnqOPBNLWSHKh2a30DoXe8/edit?usp=sharing"",""ชุมพร!L299"")"),159950.0)</f>
        <v>159950</v>
      </c>
      <c r="M404" s="198"/>
      <c r="N404" s="203">
        <f>IFERROR(__xludf.DUMMYFUNCTION("IMPORTRANGE(""https://docs.google.com/spreadsheets/d/1IYY_tgx_IHuhSq3AJ5eI5OnqOPBNLWSHKh2a30DoXe8/edit?usp=sharing"",""ชุมพร!M299"")"),7440.0)</f>
        <v>7440</v>
      </c>
      <c r="O404" s="203">
        <f t="shared" si="113"/>
        <v>4.651453579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IFERROR(__xludf.DUMMYFUNCTION("IMPORTRANGE(""https://docs.google.com/spreadsheets/d/1IYY_tgx_IHuhSq3AJ5eI5OnqOPBNLWSHKh2a30DoXe8/edit?usp=sharing"",""ชุมพร!L300"")"),0.0)</f>
        <v>0</v>
      </c>
      <c r="M405" s="203"/>
      <c r="N405" s="203">
        <f>IFERROR(__xludf.DUMMYFUNCTION("IMPORTRANGE(""https://docs.google.com/spreadsheets/d/1IYY_tgx_IHuhSq3AJ5eI5OnqOPBNLWSHKh2a30DoXe8/edit?usp=sharing"",""ชุมพร!M300"")"),0.0)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IFERROR(__xludf.DUMMYFUNCTION("IMPORTRANGE(""https://docs.google.com/spreadsheets/d/1IYY_tgx_IHuhSq3AJ5eI5OnqOPBNLWSHKh2a30DoXe8/edit?usp=sharing"",""ชุมพร!L301"")"),159950.0)</f>
        <v>159950</v>
      </c>
      <c r="M406" s="203"/>
      <c r="N406" s="203">
        <f>IFERROR(__xludf.DUMMYFUNCTION("IMPORTRANGE(""https://docs.google.com/spreadsheets/d/1IYY_tgx_IHuhSq3AJ5eI5OnqOPBNLWSHKh2a30DoXe8/edit?usp=sharing"",""ชุมพร!M301"")"),7440.0)</f>
        <v>7440</v>
      </c>
      <c r="O406" s="203">
        <f t="shared" si="113"/>
        <v>4.651453579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IFERROR(__xludf.DUMMYFUNCTION("IMPORTRANGE(""https://docs.google.com/spreadsheets/d/1IYY_tgx_IHuhSq3AJ5eI5OnqOPBNLWSHKh2a30DoXe8/edit?usp=sharing"",""ชุมพร!M302"")"),7440.0)</f>
        <v>7440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IFERROR(__xludf.DUMMYFUNCTION("IMPORTRANGE(""https://docs.google.com/spreadsheets/d/1IYY_tgx_IHuhSq3AJ5eI5OnqOPBNLWSHKh2a30DoXe8/edit?usp=sharing"",""ชุมพร!M303"")"),0.0)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IFERROR(__xludf.DUMMYFUNCTION("IMPORTRANGE(""https://docs.google.com/spreadsheets/d/1IYY_tgx_IHuhSq3AJ5eI5OnqOPBNLWSHKh2a30DoXe8/edit?usp=sharing"",""ชุมพร!M304"")"),0.0)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IFERROR(__xludf.DUMMYFUNCTION("IMPORTRANGE(""https://docs.google.com/spreadsheets/d/1IYY_tgx_IHuhSq3AJ5eI5OnqOPBNLWSHKh2a30DoXe8/edit?usp=sharing"",""ชุมพร!M305"")"),0.0)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IFERROR(__xludf.DUMMYFUNCTION("IMPORTRANGE(""https://docs.google.com/spreadsheets/d/1IYY_tgx_IHuhSq3AJ5eI5OnqOPBNLWSHKh2a30DoXe8/edit?usp=sharing"",""ชุมพร!J307"")"),0.0)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IFERROR(__xludf.DUMMYFUNCTION("IMPORTRANGE(""https://docs.google.com/spreadsheets/d/1IYY_tgx_IHuhSq3AJ5eI5OnqOPBNLWSHKh2a30DoXe8/edit?usp=sharing"",""ชุมพร!J308"")"),1.0)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IFERROR(__xludf.DUMMYFUNCTION("IMPORTRANGE(""https://docs.google.com/spreadsheets/d/1IYY_tgx_IHuhSq3AJ5eI5OnqOPBNLWSHKh2a30DoXe8/edit?usp=sharing"",""ชุมพร!J309"")"),1.0)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IFERROR(__xludf.DUMMYFUNCTION("IMPORTRANGE(""https://docs.google.com/spreadsheets/d/1IYY_tgx_IHuhSq3AJ5eI5OnqOPBNLWSHKh2a30DoXe8/edit?usp=sharing"",""ชุมพร!J310"")"),1.0)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IFERROR(__xludf.DUMMYFUNCTION("IMPORTRANGE(""https://docs.google.com/spreadsheets/d/1IYY_tgx_IHuhSq3AJ5eI5OnqOPBNLWSHKh2a30DoXe8/edit?usp=sharing"",""ชุมพร!I311"")"),45.0)</f>
        <v>45</v>
      </c>
      <c r="J416" s="235">
        <f>IFERROR(__xludf.DUMMYFUNCTION("IMPORTRANGE(""https://docs.google.com/spreadsheets/d/1IYY_tgx_IHuhSq3AJ5eI5OnqOPBNLWSHKh2a30DoXe8/edit?usp=sharing"",""ชุมพร!J311"")"),0.0)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IFERROR(__xludf.DUMMYFUNCTION("IMPORTRANGE(""https://docs.google.com/spreadsheets/d/1IYY_tgx_IHuhSq3AJ5eI5OnqOPBNLWSHKh2a30DoXe8/edit?usp=sharing"",""ชุมพร!I312"")"),10.0)</f>
        <v>10</v>
      </c>
      <c r="J417" s="425">
        <f>IFERROR(__xludf.DUMMYFUNCTION("IMPORTRANGE(""https://docs.google.com/spreadsheets/d/1IYY_tgx_IHuhSq3AJ5eI5OnqOPBNLWSHKh2a30DoXe8/edit?usp=sharing"",""ชุมพร!J312"")"),0.0)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IFERROR(__xludf.DUMMYFUNCTION("IMPORTRANGE(""https://docs.google.com/spreadsheets/d/1IYY_tgx_IHuhSq3AJ5eI5OnqOPBNLWSHKh2a30DoXe8/edit?usp=sharing"",""ชุมพร!I313"")"),30.0)</f>
        <v>30</v>
      </c>
      <c r="J418" s="426">
        <f>IFERROR(__xludf.DUMMYFUNCTION("IMPORTRANGE(""https://docs.google.com/spreadsheets/d/1IYY_tgx_IHuhSq3AJ5eI5OnqOPBNLWSHKh2a30DoXe8/edit?usp=sharing"",""ชุมพร!J313"")"),0.0)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IFERROR(__xludf.DUMMYFUNCTION("IMPORTRANGE(""https://docs.google.com/spreadsheets/d/1IYY_tgx_IHuhSq3AJ5eI5OnqOPBNLWSHKh2a30DoXe8/edit?usp=sharing"",""ชุมพร!I314"")"),10.0)</f>
        <v>10</v>
      </c>
      <c r="J419" s="427">
        <f>IFERROR(__xludf.DUMMYFUNCTION("IMPORTRANGE(""https://docs.google.com/spreadsheets/d/1IYY_tgx_IHuhSq3AJ5eI5OnqOPBNLWSHKh2a30DoXe8/edit?usp=sharing"",""ชุมพร!J314"")"),0.0)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IFERROR(__xludf.DUMMYFUNCTION("IMPORTRANGE(""https://docs.google.com/spreadsheets/d/1IYY_tgx_IHuhSq3AJ5eI5OnqOPBNLWSHKh2a30DoXe8/edit?usp=sharing"",""ชุมพร!I315"")"),10.0)</f>
        <v>10</v>
      </c>
      <c r="J420" s="427">
        <f>IFERROR(__xludf.DUMMYFUNCTION("IMPORTRANGE(""https://docs.google.com/spreadsheets/d/1IYY_tgx_IHuhSq3AJ5eI5OnqOPBNLWSHKh2a30DoXe8/edit?usp=sharing"",""ชุมพร!J315"")"),10.0)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IFERROR(__xludf.DUMMYFUNCTION("IMPORTRANGE(""https://docs.google.com/spreadsheets/d/1IYY_tgx_IHuhSq3AJ5eI5OnqOPBNLWSHKh2a30DoXe8/edit?usp=sharing"",""ชุมพร!I316"")"),25.0)</f>
        <v>25</v>
      </c>
      <c r="J421" s="425">
        <f>IFERROR(__xludf.DUMMYFUNCTION("IMPORTRANGE(""https://docs.google.com/spreadsheets/d/1IYY_tgx_IHuhSq3AJ5eI5OnqOPBNLWSHKh2a30DoXe8/edit?usp=sharing"",""ชุมพร!J316"")"),0.0)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IFERROR(__xludf.DUMMYFUNCTION("IMPORTRANGE(""https://docs.google.com/spreadsheets/d/1IYY_tgx_IHuhSq3AJ5eI5OnqOPBNLWSHKh2a30DoXe8/edit?usp=sharing"",""ชุมพร!I317"")"),75.0)</f>
        <v>75</v>
      </c>
      <c r="J422" s="426">
        <f>IFERROR(__xludf.DUMMYFUNCTION("IMPORTRANGE(""https://docs.google.com/spreadsheets/d/1IYY_tgx_IHuhSq3AJ5eI5OnqOPBNLWSHKh2a30DoXe8/edit?usp=sharing"",""ชุมพร!J317"")"),0.0)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IFERROR(__xludf.DUMMYFUNCTION("IMPORTRANGE(""https://docs.google.com/spreadsheets/d/1IYY_tgx_IHuhSq3AJ5eI5OnqOPBNLWSHKh2a30DoXe8/edit?usp=sharing"",""ชุมพร!I318"")"),25.0)</f>
        <v>25</v>
      </c>
      <c r="J423" s="427">
        <f>IFERROR(__xludf.DUMMYFUNCTION("IMPORTRANGE(""https://docs.google.com/spreadsheets/d/1IYY_tgx_IHuhSq3AJ5eI5OnqOPBNLWSHKh2a30DoXe8/edit?usp=sharing"",""ชุมพร!J318"")"),0.0)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IFERROR(__xludf.DUMMYFUNCTION("IMPORTRANGE(""https://docs.google.com/spreadsheets/d/1IYY_tgx_IHuhSq3AJ5eI5OnqOPBNLWSHKh2a30DoXe8/edit?usp=sharing"",""ชุมพร!I319"")"),25.0)</f>
        <v>25</v>
      </c>
      <c r="J424" s="427">
        <f>IFERROR(__xludf.DUMMYFUNCTION("IMPORTRANGE(""https://docs.google.com/spreadsheets/d/1IYY_tgx_IHuhSq3AJ5eI5OnqOPBNLWSHKh2a30DoXe8/edit?usp=sharing"",""ชุมพร!J319"")"),0.0)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IFERROR(__xludf.DUMMYFUNCTION("IMPORTRANGE(""https://docs.google.com/spreadsheets/d/1IYY_tgx_IHuhSq3AJ5eI5OnqOPBNLWSHKh2a30DoXe8/edit?usp=sharing"",""ชุมพร!I320"")"),25.0)</f>
        <v>25</v>
      </c>
      <c r="J425" s="427">
        <f>IFERROR(__xludf.DUMMYFUNCTION("IMPORTRANGE(""https://docs.google.com/spreadsheets/d/1IYY_tgx_IHuhSq3AJ5eI5OnqOPBNLWSHKh2a30DoXe8/edit?usp=sharing"",""ชุมพร!J320"")"),0.0)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IFERROR(__xludf.DUMMYFUNCTION("IMPORTRANGE(""https://docs.google.com/spreadsheets/d/1IYY_tgx_IHuhSq3AJ5eI5OnqOPBNLWSHKh2a30DoXe8/edit?usp=sharing"",""ชุมพร!I321"")"),10.0)</f>
        <v>10</v>
      </c>
      <c r="J426" s="425">
        <f>IFERROR(__xludf.DUMMYFUNCTION("IMPORTRANGE(""https://docs.google.com/spreadsheets/d/1IYY_tgx_IHuhSq3AJ5eI5OnqOPBNLWSHKh2a30DoXe8/edit?usp=sharing"",""ชุมพร!J321"")"),0.0)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IFERROR(__xludf.DUMMYFUNCTION("IMPORTRANGE(""https://docs.google.com/spreadsheets/d/1IYY_tgx_IHuhSq3AJ5eI5OnqOPBNLWSHKh2a30DoXe8/edit?usp=sharing"",""ชุมพร!I322"")"),30.0)</f>
        <v>30</v>
      </c>
      <c r="J427" s="426">
        <f>IFERROR(__xludf.DUMMYFUNCTION("IMPORTRANGE(""https://docs.google.com/spreadsheets/d/1IYY_tgx_IHuhSq3AJ5eI5OnqOPBNLWSHKh2a30DoXe8/edit?usp=sharing"",""ชุมพร!J322"")"),0.0)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IFERROR(__xludf.DUMMYFUNCTION("IMPORTRANGE(""https://docs.google.com/spreadsheets/d/1IYY_tgx_IHuhSq3AJ5eI5OnqOPBNLWSHKh2a30DoXe8/edit?usp=sharing"",""ชุมพร!I323"")"),10.0)</f>
        <v>10</v>
      </c>
      <c r="J428" s="427">
        <f>IFERROR(__xludf.DUMMYFUNCTION("IMPORTRANGE(""https://docs.google.com/spreadsheets/d/1IYY_tgx_IHuhSq3AJ5eI5OnqOPBNLWSHKh2a30DoXe8/edit?usp=sharing"",""ชุมพร!J323"")"),0.0)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IFERROR(__xludf.DUMMYFUNCTION("IMPORTRANGE(""https://docs.google.com/spreadsheets/d/1IYY_tgx_IHuhSq3AJ5eI5OnqOPBNLWSHKh2a30DoXe8/edit?usp=sharing"",""ชุมพร!I324"")"),10.0)</f>
        <v>10</v>
      </c>
      <c r="J429" s="427">
        <f>IFERROR(__xludf.DUMMYFUNCTION("IMPORTRANGE(""https://docs.google.com/spreadsheets/d/1IYY_tgx_IHuhSq3AJ5eI5OnqOPBNLWSHKh2a30DoXe8/edit?usp=sharing"",""ชุมพร!J324"")"),0.0)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IFERROR(__xludf.DUMMYFUNCTION("IMPORTRANGE(""https://docs.google.com/spreadsheets/d/1IYY_tgx_IHuhSq3AJ5eI5OnqOPBNLWSHKh2a30DoXe8/edit?usp=sharing"",""ชุมพร!I325"")"),35.0)</f>
        <v>35</v>
      </c>
      <c r="J430" s="425">
        <f>IFERROR(__xludf.DUMMYFUNCTION("IMPORTRANGE(""https://docs.google.com/spreadsheets/d/1IYY_tgx_IHuhSq3AJ5eI5OnqOPBNLWSHKh2a30DoXe8/edit?usp=sharing"",""ชุมพร!J325"")"),0.0)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IFERROR(__xludf.DUMMYFUNCTION("IMPORTRANGE(""https://docs.google.com/spreadsheets/d/1IYY_tgx_IHuhSq3AJ5eI5OnqOPBNLWSHKh2a30DoXe8/edit?usp=sharing"",""ชุมพร!I326"")"),10.0)</f>
        <v>10</v>
      </c>
      <c r="J431" s="427">
        <f>IFERROR(__xludf.DUMMYFUNCTION("IMPORTRANGE(""https://docs.google.com/spreadsheets/d/1IYY_tgx_IHuhSq3AJ5eI5OnqOPBNLWSHKh2a30DoXe8/edit?usp=sharing"",""ชุมพร!J326"")"),0.0)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IFERROR(__xludf.DUMMYFUNCTION("IMPORTRANGE(""https://docs.google.com/spreadsheets/d/1IYY_tgx_IHuhSq3AJ5eI5OnqOPBNLWSHKh2a30DoXe8/edit?usp=sharing"",""ชุมพร!I327"")"),25.0)</f>
        <v>25</v>
      </c>
      <c r="J432" s="427">
        <f>IFERROR(__xludf.DUMMYFUNCTION("IMPORTRANGE(""https://docs.google.com/spreadsheets/d/1IYY_tgx_IHuhSq3AJ5eI5OnqOPBNLWSHKh2a30DoXe8/edit?usp=sharing"",""ชุมพร!J327"")"),0.0)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IFERROR(__xludf.DUMMYFUNCTION("IMPORTRANGE(""https://docs.google.com/spreadsheets/d/1IYY_tgx_IHuhSq3AJ5eI5OnqOPBNLWSHKh2a30DoXe8/edit?usp=sharing"",""ชุมพร!J328"")"),0.0)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IFERROR(__xludf.DUMMYFUNCTION("IMPORTRANGE(""https://docs.google.com/spreadsheets/d/1IYY_tgx_IHuhSq3AJ5eI5OnqOPBNLWSHKh2a30DoXe8/edit?usp=sharing"",""ชุมพร!J329"")"),0.0)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IFERROR(__xludf.DUMMYFUNCTION("IMPORTRANGE(""https://docs.google.com/spreadsheets/d/1IYY_tgx_IHuhSq3AJ5eI5OnqOPBNLWSHKh2a30DoXe8/edit?usp=sharing"",""ชุมพร!I330"")"),60.0)</f>
        <v>60</v>
      </c>
      <c r="J435" s="443">
        <f>IFERROR(__xludf.DUMMYFUNCTION("IMPORTRANGE(""https://docs.google.com/spreadsheets/d/1IYY_tgx_IHuhSq3AJ5eI5OnqOPBNLWSHKh2a30DoXe8/edit?usp=sharing"",""ชุมพร!J330"")"),20.0)</f>
        <v>20</v>
      </c>
      <c r="K435" s="444">
        <f>IF(I435&gt;0,J435*100/I435,0)</f>
        <v>33.33333333</v>
      </c>
      <c r="L435" s="445">
        <f>IFERROR(__xludf.DUMMYFUNCTION("IMPORTRANGE(""https://docs.google.com/spreadsheets/d/1IYY_tgx_IHuhSq3AJ5eI5OnqOPBNLWSHKh2a30DoXe8/edit?usp=sharing"",""ชุมพร!L330"")"),174600.0)</f>
        <v>174600</v>
      </c>
      <c r="M435" s="445"/>
      <c r="N435" s="445">
        <f>IFERROR(__xludf.DUMMYFUNCTION("IMPORTRANGE(""https://docs.google.com/spreadsheets/d/1IYY_tgx_IHuhSq3AJ5eI5OnqOPBNLWSHKh2a30DoXe8/edit?usp=sharing"",""ชุมพร!M330"")"),62800.0)</f>
        <v>62800</v>
      </c>
      <c r="O435" s="445">
        <f t="shared" ref="O435:O439" si="115">+IF(L435&gt;0,N435*100/L435,0)</f>
        <v>35.96792669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IFERROR(__xludf.DUMMYFUNCTION("IMPORTRANGE(""https://docs.google.com/spreadsheets/d/1IYY_tgx_IHuhSq3AJ5eI5OnqOPBNLWSHKh2a30DoXe8/edit?usp=sharing"",""ชุมพร!L331"")"),0.0)</f>
        <v>0</v>
      </c>
      <c r="M436" s="197"/>
      <c r="N436" s="203">
        <f>IFERROR(__xludf.DUMMYFUNCTION("IMPORTRANGE(""https://docs.google.com/spreadsheets/d/1IYY_tgx_IHuhSq3AJ5eI5OnqOPBNLWSHKh2a30DoXe8/edit?usp=sharing"",""ชุมพร!M331"")"),0.0)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IFERROR(__xludf.DUMMYFUNCTION("IMPORTRANGE(""https://docs.google.com/spreadsheets/d/1IYY_tgx_IHuhSq3AJ5eI5OnqOPBNLWSHKh2a30DoXe8/edit?usp=sharing"",""ชุมพร!L332"")"),174600.0)</f>
        <v>174600</v>
      </c>
      <c r="M437" s="198"/>
      <c r="N437" s="203">
        <f>IFERROR(__xludf.DUMMYFUNCTION("IMPORTRANGE(""https://docs.google.com/spreadsheets/d/1IYY_tgx_IHuhSq3AJ5eI5OnqOPBNLWSHKh2a30DoXe8/edit?usp=sharing"",""ชุมพร!M332"")"),62800.0)</f>
        <v>62800</v>
      </c>
      <c r="O437" s="203">
        <f t="shared" si="115"/>
        <v>35.96792669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IFERROR(__xludf.DUMMYFUNCTION("IMPORTRANGE(""https://docs.google.com/spreadsheets/d/1IYY_tgx_IHuhSq3AJ5eI5OnqOPBNLWSHKh2a30DoXe8/edit?usp=sharing"",""ชุมพร!L333"")"),0.0)</f>
        <v>0</v>
      </c>
      <c r="M438" s="203"/>
      <c r="N438" s="203">
        <f>IFERROR(__xludf.DUMMYFUNCTION("IMPORTRANGE(""https://docs.google.com/spreadsheets/d/1IYY_tgx_IHuhSq3AJ5eI5OnqOPBNLWSHKh2a30DoXe8/edit?usp=sharing"",""ชุมพร!M333"")"),0.0)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IFERROR(__xludf.DUMMYFUNCTION("IMPORTRANGE(""https://docs.google.com/spreadsheets/d/1IYY_tgx_IHuhSq3AJ5eI5OnqOPBNLWSHKh2a30DoXe8/edit?usp=sharing"",""ชุมพร!L334"")"),174600.0)</f>
        <v>174600</v>
      </c>
      <c r="M439" s="203"/>
      <c r="N439" s="203">
        <f>IFERROR(__xludf.DUMMYFUNCTION("IMPORTRANGE(""https://docs.google.com/spreadsheets/d/1IYY_tgx_IHuhSq3AJ5eI5OnqOPBNLWSHKh2a30DoXe8/edit?usp=sharing"",""ชุมพร!M334"")"),62800.0)</f>
        <v>62800</v>
      </c>
      <c r="O439" s="203">
        <f t="shared" si="115"/>
        <v>35.96792669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IFERROR(__xludf.DUMMYFUNCTION("IMPORTRANGE(""https://docs.google.com/spreadsheets/d/1IYY_tgx_IHuhSq3AJ5eI5OnqOPBNLWSHKh2a30DoXe8/edit?usp=sharing"",""ชุมพร!M335"")"),38680.0)</f>
        <v>38680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IFERROR(__xludf.DUMMYFUNCTION("IMPORTRANGE(""https://docs.google.com/spreadsheets/d/1IYY_tgx_IHuhSq3AJ5eI5OnqOPBNLWSHKh2a30DoXe8/edit?usp=sharing"",""ชุมพร!M336"")"),0.0)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IFERROR(__xludf.DUMMYFUNCTION("IMPORTRANGE(""https://docs.google.com/spreadsheets/d/1IYY_tgx_IHuhSq3AJ5eI5OnqOPBNLWSHKh2a30DoXe8/edit?usp=sharing"",""ชุมพร!M337"")"),0.0)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IFERROR(__xludf.DUMMYFUNCTION("IMPORTRANGE(""https://docs.google.com/spreadsheets/d/1IYY_tgx_IHuhSq3AJ5eI5OnqOPBNLWSHKh2a30DoXe8/edit?usp=sharing"",""ชุมพร!M338"")"),24120.0)</f>
        <v>24120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IFERROR(__xludf.DUMMYFUNCTION("IMPORTRANGE(""https://docs.google.com/spreadsheets/d/1IYY_tgx_IHuhSq3AJ5eI5OnqOPBNLWSHKh2a30DoXe8/edit?usp=sharing"",""ชุมพร!J340"")"),0.0)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IFERROR(__xludf.DUMMYFUNCTION("IMPORTRANGE(""https://docs.google.com/spreadsheets/d/1IYY_tgx_IHuhSq3AJ5eI5OnqOPBNLWSHKh2a30DoXe8/edit?usp=sharing"",""ชุมพร!J341"")"),1.0)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IFERROR(__xludf.DUMMYFUNCTION("IMPORTRANGE(""https://docs.google.com/spreadsheets/d/1IYY_tgx_IHuhSq3AJ5eI5OnqOPBNLWSHKh2a30DoXe8/edit?usp=sharing"",""ชุมพร!J342"")"),1.0)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IFERROR(__xludf.DUMMYFUNCTION("IMPORTRANGE(""https://docs.google.com/spreadsheets/d/1IYY_tgx_IHuhSq3AJ5eI5OnqOPBNLWSHKh2a30DoXe8/edit?usp=sharing"",""ชุมพร!J343"")"),1.0)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IFERROR(__xludf.DUMMYFUNCTION("IMPORTRANGE(""https://docs.google.com/spreadsheets/d/1IYY_tgx_IHuhSq3AJ5eI5OnqOPBNLWSHKh2a30DoXe8/edit?usp=sharing"",""ชุมพร!I344"")"),60.0)</f>
        <v>60</v>
      </c>
      <c r="J449" s="235">
        <f>IFERROR(__xludf.DUMMYFUNCTION("IMPORTRANGE(""https://docs.google.com/spreadsheets/d/1IYY_tgx_IHuhSq3AJ5eI5OnqOPBNLWSHKh2a30DoXe8/edit?usp=sharing"",""ชุมพร!J344"")"),20.0)</f>
        <v>20</v>
      </c>
      <c r="K449" s="196">
        <f t="shared" ref="K449:K452" si="116">IF(I449&gt;0,J449*100/I449,0)</f>
        <v>33.33333333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IFERROR(__xludf.DUMMYFUNCTION("IMPORTRANGE(""https://docs.google.com/spreadsheets/d/1IYY_tgx_IHuhSq3AJ5eI5OnqOPBNLWSHKh2a30DoXe8/edit?usp=sharing"",""ชุมพร!I345"")"),20.0)</f>
        <v>20</v>
      </c>
      <c r="J450" s="223">
        <f>IFERROR(__xludf.DUMMYFUNCTION("IMPORTRANGE(""https://docs.google.com/spreadsheets/d/1IYY_tgx_IHuhSq3AJ5eI5OnqOPBNLWSHKh2a30DoXe8/edit?usp=sharing"",""ชุมพร!J345"")"),20.0)</f>
        <v>20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IFERROR(__xludf.DUMMYFUNCTION("IMPORTRANGE(""https://docs.google.com/spreadsheets/d/1IYY_tgx_IHuhSq3AJ5eI5OnqOPBNLWSHKh2a30DoXe8/edit?usp=sharing"",""ชุมพร!I346"")"),40.0)</f>
        <v>40</v>
      </c>
      <c r="J451" s="222">
        <f>IFERROR(__xludf.DUMMYFUNCTION("IMPORTRANGE(""https://docs.google.com/spreadsheets/d/1IYY_tgx_IHuhSq3AJ5eI5OnqOPBNLWSHKh2a30DoXe8/edit?usp=sharing"",""ชุมพร!J346"")"),0.0)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IFERROR(__xludf.DUMMYFUNCTION("IMPORTRANGE(""https://docs.google.com/spreadsheets/d/1IYY_tgx_IHuhSq3AJ5eI5OnqOPBNLWSHKh2a30DoXe8/edit?usp=sharing"",""ชุมพร!I347"")"),0.0)</f>
        <v>0</v>
      </c>
      <c r="J452" s="222">
        <f>IFERROR(__xludf.DUMMYFUNCTION("IMPORTRANGE(""https://docs.google.com/spreadsheets/d/1IYY_tgx_IHuhSq3AJ5eI5OnqOPBNLWSHKh2a30DoXe8/edit?usp=sharing"",""ชุมพร!J347"")"),0.0)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IFERROR(__xludf.DUMMYFUNCTION("IMPORTRANGE(""https://docs.google.com/spreadsheets/d/1IYY_tgx_IHuhSq3AJ5eI5OnqOPBNLWSHKh2a30DoXe8/edit?usp=sharing"",""ชุมพร!J348"")"),0.0)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IFERROR(__xludf.DUMMYFUNCTION("IMPORTRANGE(""https://docs.google.com/spreadsheets/d/1IYY_tgx_IHuhSq3AJ5eI5OnqOPBNLWSHKh2a30DoXe8/edit?usp=sharing"",""ชุมพร!J349"")"),0.0)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IFERROR(__xludf.DUMMYFUNCTION("IMPORTRANGE(""https://docs.google.com/spreadsheets/d/1IYY_tgx_IHuhSq3AJ5eI5OnqOPBNLWSHKh2a30DoXe8/edit?usp=sharing"",""ชุมพร!I350"")"),103036.0)</f>
        <v>103036</v>
      </c>
      <c r="J455" s="404">
        <f>IFERROR(__xludf.DUMMYFUNCTION("IMPORTRANGE(""https://docs.google.com/spreadsheets/d/1IYY_tgx_IHuhSq3AJ5eI5OnqOPBNLWSHKh2a30DoXe8/edit?usp=sharing"",""ชุมพร!J350"")"),0.0)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IFERROR(__xludf.DUMMYFUNCTION("IMPORTRANGE(""https://docs.google.com/spreadsheets/d/1IYY_tgx_IHuhSq3AJ5eI5OnqOPBNLWSHKh2a30DoXe8/edit?usp=sharing"",""ชุมพร!L350"")"),710357.0)</f>
        <v>710357</v>
      </c>
      <c r="M455" s="406"/>
      <c r="N455" s="406">
        <f>IFERROR(__xludf.DUMMYFUNCTION("IMPORTRANGE(""https://docs.google.com/spreadsheets/d/1IYY_tgx_IHuhSq3AJ5eI5OnqOPBNLWSHKh2a30DoXe8/edit?usp=sharing"",""ชุมพร!M350"")"),60642.0)</f>
        <v>60642</v>
      </c>
      <c r="O455" s="406">
        <f t="shared" ref="O455:O459" si="117">+IF(L455&gt;0,N455*100/L455,0)</f>
        <v>8.536834296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IFERROR(__xludf.DUMMYFUNCTION("IMPORTRANGE(""https://docs.google.com/spreadsheets/d/1IYY_tgx_IHuhSq3AJ5eI5OnqOPBNLWSHKh2a30DoXe8/edit?usp=sharing"",""ชุมพร!L351"")"),0.0)</f>
        <v>0</v>
      </c>
      <c r="M456" s="197"/>
      <c r="N456" s="203">
        <f>IFERROR(__xludf.DUMMYFUNCTION("IMPORTRANGE(""https://docs.google.com/spreadsheets/d/1IYY_tgx_IHuhSq3AJ5eI5OnqOPBNLWSHKh2a30DoXe8/edit?usp=sharing"",""ชุมพร!M351"")"),0.0)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IFERROR(__xludf.DUMMYFUNCTION("IMPORTRANGE(""https://docs.google.com/spreadsheets/d/1IYY_tgx_IHuhSq3AJ5eI5OnqOPBNLWSHKh2a30DoXe8/edit?usp=sharing"",""ชุมพร!L352"")"),710357.0)</f>
        <v>710357</v>
      </c>
      <c r="M457" s="198"/>
      <c r="N457" s="203">
        <f>IFERROR(__xludf.DUMMYFUNCTION("IMPORTRANGE(""https://docs.google.com/spreadsheets/d/1IYY_tgx_IHuhSq3AJ5eI5OnqOPBNLWSHKh2a30DoXe8/edit?usp=sharing"",""ชุมพร!M352"")"),60642.0)</f>
        <v>60642</v>
      </c>
      <c r="O457" s="203">
        <f t="shared" si="117"/>
        <v>8.536834296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IFERROR(__xludf.DUMMYFUNCTION("IMPORTRANGE(""https://docs.google.com/spreadsheets/d/1IYY_tgx_IHuhSq3AJ5eI5OnqOPBNLWSHKh2a30DoXe8/edit?usp=sharing"",""ชุมพร!L353"")"),0.0)</f>
        <v>0</v>
      </c>
      <c r="M458" s="203"/>
      <c r="N458" s="203">
        <f>IFERROR(__xludf.DUMMYFUNCTION("IMPORTRANGE(""https://docs.google.com/spreadsheets/d/1IYY_tgx_IHuhSq3AJ5eI5OnqOPBNLWSHKh2a30DoXe8/edit?usp=sharing"",""ชุมพร!M353"")"),0.0)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IFERROR(__xludf.DUMMYFUNCTION("IMPORTRANGE(""https://docs.google.com/spreadsheets/d/1IYY_tgx_IHuhSq3AJ5eI5OnqOPBNLWSHKh2a30DoXe8/edit?usp=sharing"",""ชุมพร!L354"")"),710357.0)</f>
        <v>710357</v>
      </c>
      <c r="M459" s="203"/>
      <c r="N459" s="203">
        <f>IFERROR(__xludf.DUMMYFUNCTION("IMPORTRANGE(""https://docs.google.com/spreadsheets/d/1IYY_tgx_IHuhSq3AJ5eI5OnqOPBNLWSHKh2a30DoXe8/edit?usp=sharing"",""ชุมพร!M354"")"),60642.0)</f>
        <v>60642</v>
      </c>
      <c r="O459" s="203">
        <f t="shared" si="117"/>
        <v>8.536834296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IFERROR(__xludf.DUMMYFUNCTION("IMPORTRANGE(""https://docs.google.com/spreadsheets/d/1IYY_tgx_IHuhSq3AJ5eI5OnqOPBNLWSHKh2a30DoXe8/edit?usp=sharing"",""ชุมพร!M355"")"),0.0)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IFERROR(__xludf.DUMMYFUNCTION("IMPORTRANGE(""https://docs.google.com/spreadsheets/d/1IYY_tgx_IHuhSq3AJ5eI5OnqOPBNLWSHKh2a30DoXe8/edit?usp=sharing"",""ชุมพร!M356"")"),0.0)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IFERROR(__xludf.DUMMYFUNCTION("IMPORTRANGE(""https://docs.google.com/spreadsheets/d/1IYY_tgx_IHuhSq3AJ5eI5OnqOPBNLWSHKh2a30DoXe8/edit?usp=sharing"",""ชุมพร!M357"")"),20175.0)</f>
        <v>20175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IFERROR(__xludf.DUMMYFUNCTION("IMPORTRANGE(""https://docs.google.com/spreadsheets/d/1IYY_tgx_IHuhSq3AJ5eI5OnqOPBNLWSHKh2a30DoXe8/edit?usp=sharing"",""ชุมพร!M358"")"),40467.0)</f>
        <v>40467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IFERROR(__xludf.DUMMYFUNCTION("IMPORTRANGE(""https://docs.google.com/spreadsheets/d/1IYY_tgx_IHuhSq3AJ5eI5OnqOPBNLWSHKh2a30DoXe8/edit?usp=sharing"",""ชุมพร!I359"")"),103036.0)</f>
        <v>103036</v>
      </c>
      <c r="J464" s="301">
        <f>IFERROR(__xludf.DUMMYFUNCTION("IMPORTRANGE(""https://docs.google.com/spreadsheets/d/1IYY_tgx_IHuhSq3AJ5eI5OnqOPBNLWSHKh2a30DoXe8/edit?usp=sharing"",""ชุมพร!J359"")"),0.0)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IFERROR(__xludf.DUMMYFUNCTION("IMPORTRANGE(""https://docs.google.com/spreadsheets/d/1IYY_tgx_IHuhSq3AJ5eI5OnqOPBNLWSHKh2a30DoXe8/edit?usp=sharing"",""ชุมพร!I360"")"),103036.0)</f>
        <v>103036</v>
      </c>
      <c r="J465" s="453">
        <f>IFERROR(__xludf.DUMMYFUNCTION("IMPORTRANGE(""https://docs.google.com/spreadsheets/d/1IYY_tgx_IHuhSq3AJ5eI5OnqOPBNLWSHKh2a30DoXe8/edit?usp=sharing"",""ชุมพร!J360"")"),79847.0)</f>
        <v>79847</v>
      </c>
      <c r="K465" s="236">
        <f t="shared" si="118"/>
        <v>77.49427385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IFERROR(__xludf.DUMMYFUNCTION("IMPORTRANGE(""https://docs.google.com/spreadsheets/d/1IYY_tgx_IHuhSq3AJ5eI5OnqOPBNLWSHKh2a30DoXe8/edit?usp=sharing"",""ชุมพร!I361"")"),10641.0)</f>
        <v>10641</v>
      </c>
      <c r="J466" s="453">
        <f>IFERROR(__xludf.DUMMYFUNCTION("IMPORTRANGE(""https://docs.google.com/spreadsheets/d/1IYY_tgx_IHuhSq3AJ5eI5OnqOPBNLWSHKh2a30DoXe8/edit?usp=sharing"",""ชุมพร!J361"")"),7286.0)</f>
        <v>7286</v>
      </c>
      <c r="K466" s="236">
        <f t="shared" si="118"/>
        <v>68.47100836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IFERROR(__xludf.DUMMYFUNCTION("IMPORTRANGE(""https://docs.google.com/spreadsheets/d/1IYY_tgx_IHuhSq3AJ5eI5OnqOPBNLWSHKh2a30DoXe8/edit?usp=sharing"",""ชุมพร!I362"")"),0.0)</f>
        <v>0</v>
      </c>
      <c r="J467" s="223">
        <f>IFERROR(__xludf.DUMMYFUNCTION("IMPORTRANGE(""https://docs.google.com/spreadsheets/d/1IYY_tgx_IHuhSq3AJ5eI5OnqOPBNLWSHKh2a30DoXe8/edit?usp=sharing"",""ชุมพร!J362"")"),69147.0)</f>
        <v>69147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IFERROR(__xludf.DUMMYFUNCTION("IMPORTRANGE(""https://docs.google.com/spreadsheets/d/1IYY_tgx_IHuhSq3AJ5eI5OnqOPBNLWSHKh2a30DoXe8/edit?usp=sharing"",""ชุมพร!I363"")"),0.0)</f>
        <v>0</v>
      </c>
      <c r="J468" s="223">
        <f>IFERROR(__xludf.DUMMYFUNCTION("IMPORTRANGE(""https://docs.google.com/spreadsheets/d/1IYY_tgx_IHuhSq3AJ5eI5OnqOPBNLWSHKh2a30DoXe8/edit?usp=sharing"",""ชุมพร!J363"")"),6271.0)</f>
        <v>6271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IFERROR(__xludf.DUMMYFUNCTION("IMPORTRANGE(""https://docs.google.com/spreadsheets/d/1IYY_tgx_IHuhSq3AJ5eI5OnqOPBNLWSHKh2a30DoXe8/edit?usp=sharing"",""ชุมพร!I364"")"),0.0)</f>
        <v>0</v>
      </c>
      <c r="J469" s="223">
        <f>IFERROR(__xludf.DUMMYFUNCTION("IMPORTRANGE(""https://docs.google.com/spreadsheets/d/1IYY_tgx_IHuhSq3AJ5eI5OnqOPBNLWSHKh2a30DoXe8/edit?usp=sharing"",""ชุมพร!J364"")"),9240.0)</f>
        <v>9240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IFERROR(__xludf.DUMMYFUNCTION("IMPORTRANGE(""https://docs.google.com/spreadsheets/d/1IYY_tgx_IHuhSq3AJ5eI5OnqOPBNLWSHKh2a30DoXe8/edit?usp=sharing"",""ชุมพร!I365"")"),0.0)</f>
        <v>0</v>
      </c>
      <c r="J470" s="223">
        <f>IFERROR(__xludf.DUMMYFUNCTION("IMPORTRANGE(""https://docs.google.com/spreadsheets/d/1IYY_tgx_IHuhSq3AJ5eI5OnqOPBNLWSHKh2a30DoXe8/edit?usp=sharing"",""ชุมพร!J365"")"),875.0)</f>
        <v>875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IFERROR(__xludf.DUMMYFUNCTION("IMPORTRANGE(""https://docs.google.com/spreadsheets/d/1IYY_tgx_IHuhSq3AJ5eI5OnqOPBNLWSHKh2a30DoXe8/edit?usp=sharing"",""ชุมพร!I366"")"),0.0)</f>
        <v>0</v>
      </c>
      <c r="J471" s="223">
        <f>IFERROR(__xludf.DUMMYFUNCTION("IMPORTRANGE(""https://docs.google.com/spreadsheets/d/1IYY_tgx_IHuhSq3AJ5eI5OnqOPBNLWSHKh2a30DoXe8/edit?usp=sharing"",""ชุมพร!J366"")"),1460.0)</f>
        <v>1460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IFERROR(__xludf.DUMMYFUNCTION("IMPORTRANGE(""https://docs.google.com/spreadsheets/d/1IYY_tgx_IHuhSq3AJ5eI5OnqOPBNLWSHKh2a30DoXe8/edit?usp=sharing"",""ชุมพร!I367"")"),0.0)</f>
        <v>0</v>
      </c>
      <c r="J472" s="223">
        <f>IFERROR(__xludf.DUMMYFUNCTION("IMPORTRANGE(""https://docs.google.com/spreadsheets/d/1IYY_tgx_IHuhSq3AJ5eI5OnqOPBNLWSHKh2a30DoXe8/edit?usp=sharing"",""ชุมพร!J367"")"),140.0)</f>
        <v>140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IFERROR(__xludf.DUMMYFUNCTION("IMPORTRANGE(""https://docs.google.com/spreadsheets/d/1IYY_tgx_IHuhSq3AJ5eI5OnqOPBNLWSHKh2a30DoXe8/edit?usp=sharing"",""ชุมพร!I368"")"),103036.0)</f>
        <v>103036</v>
      </c>
      <c r="J473" s="453">
        <f>IFERROR(__xludf.DUMMYFUNCTION("IMPORTRANGE(""https://docs.google.com/spreadsheets/d/1IYY_tgx_IHuhSq3AJ5eI5OnqOPBNLWSHKh2a30DoXe8/edit?usp=sharing"",""ชุมพร!J368"")"),0.0)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IFERROR(__xludf.DUMMYFUNCTION("IMPORTRANGE(""https://docs.google.com/spreadsheets/d/1IYY_tgx_IHuhSq3AJ5eI5OnqOPBNLWSHKh2a30DoXe8/edit?usp=sharing"",""ชุมพร!I369"")"),10641.0)</f>
        <v>10641</v>
      </c>
      <c r="J474" s="453">
        <f>IFERROR(__xludf.DUMMYFUNCTION("IMPORTRANGE(""https://docs.google.com/spreadsheets/d/1IYY_tgx_IHuhSq3AJ5eI5OnqOPBNLWSHKh2a30DoXe8/edit?usp=sharing"",""ชุมพร!J369"")"),0.0)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IFERROR(__xludf.DUMMYFUNCTION("IMPORTRANGE(""https://docs.google.com/spreadsheets/d/1IYY_tgx_IHuhSq3AJ5eI5OnqOPBNLWSHKh2a30DoXe8/edit?usp=sharing"",""ชุมพร!I370"")"),0.0)</f>
        <v>0</v>
      </c>
      <c r="J475" s="223">
        <f>IFERROR(__xludf.DUMMYFUNCTION("IMPORTRANGE(""https://docs.google.com/spreadsheets/d/1IYY_tgx_IHuhSq3AJ5eI5OnqOPBNLWSHKh2a30DoXe8/edit?usp=sharing"",""ชุมพร!J370"")"),0.0)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IFERROR(__xludf.DUMMYFUNCTION("IMPORTRANGE(""https://docs.google.com/spreadsheets/d/1IYY_tgx_IHuhSq3AJ5eI5OnqOPBNLWSHKh2a30DoXe8/edit?usp=sharing"",""ชุมพร!I371"")"),0.0)</f>
        <v>0</v>
      </c>
      <c r="J476" s="223">
        <f>IFERROR(__xludf.DUMMYFUNCTION("IMPORTRANGE(""https://docs.google.com/spreadsheets/d/1IYY_tgx_IHuhSq3AJ5eI5OnqOPBNLWSHKh2a30DoXe8/edit?usp=sharing"",""ชุมพร!J371"")"),0.0)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IFERROR(__xludf.DUMMYFUNCTION("IMPORTRANGE(""https://docs.google.com/spreadsheets/d/1IYY_tgx_IHuhSq3AJ5eI5OnqOPBNLWSHKh2a30DoXe8/edit?usp=sharing"",""ชุมพร!I372"")"),0.0)</f>
        <v>0</v>
      </c>
      <c r="J477" s="223">
        <f>IFERROR(__xludf.DUMMYFUNCTION("IMPORTRANGE(""https://docs.google.com/spreadsheets/d/1IYY_tgx_IHuhSq3AJ5eI5OnqOPBNLWSHKh2a30DoXe8/edit?usp=sharing"",""ชุมพร!J372"")"),0.0)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IFERROR(__xludf.DUMMYFUNCTION("IMPORTRANGE(""https://docs.google.com/spreadsheets/d/1IYY_tgx_IHuhSq3AJ5eI5OnqOPBNLWSHKh2a30DoXe8/edit?usp=sharing"",""ชุมพร!I373"")"),0.0)</f>
        <v>0</v>
      </c>
      <c r="J478" s="223">
        <f>IFERROR(__xludf.DUMMYFUNCTION("IMPORTRANGE(""https://docs.google.com/spreadsheets/d/1IYY_tgx_IHuhSq3AJ5eI5OnqOPBNLWSHKh2a30DoXe8/edit?usp=sharing"",""ชุมพร!J373"")"),0.0)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IFERROR(__xludf.DUMMYFUNCTION("IMPORTRANGE(""https://docs.google.com/spreadsheets/d/1IYY_tgx_IHuhSq3AJ5eI5OnqOPBNLWSHKh2a30DoXe8/edit?usp=sharing"",""ชุมพร!I374"")"),0.0)</f>
        <v>0</v>
      </c>
      <c r="J479" s="223">
        <f>IFERROR(__xludf.DUMMYFUNCTION("IMPORTRANGE(""https://docs.google.com/spreadsheets/d/1IYY_tgx_IHuhSq3AJ5eI5OnqOPBNLWSHKh2a30DoXe8/edit?usp=sharing"",""ชุมพร!J374"")"),0.0)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IFERROR(__xludf.DUMMYFUNCTION("IMPORTRANGE(""https://docs.google.com/spreadsheets/d/1IYY_tgx_IHuhSq3AJ5eI5OnqOPBNLWSHKh2a30DoXe8/edit?usp=sharing"",""ชุมพร!I375"")"),0.0)</f>
        <v>0</v>
      </c>
      <c r="J480" s="223">
        <f>IFERROR(__xludf.DUMMYFUNCTION("IMPORTRANGE(""https://docs.google.com/spreadsheets/d/1IYY_tgx_IHuhSq3AJ5eI5OnqOPBNLWSHKh2a30DoXe8/edit?usp=sharing"",""ชุมพร!J375"")"),0.0)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IFERROR(__xludf.DUMMYFUNCTION("IMPORTRANGE(""https://docs.google.com/spreadsheets/d/1IYY_tgx_IHuhSq3AJ5eI5OnqOPBNLWSHKh2a30DoXe8/edit?usp=sharing"",""ชุมพร!I376"")"),103036.0)</f>
        <v>103036</v>
      </c>
      <c r="J481" s="453">
        <f>IFERROR(__xludf.DUMMYFUNCTION("IMPORTRANGE(""https://docs.google.com/spreadsheets/d/1IYY_tgx_IHuhSq3AJ5eI5OnqOPBNLWSHKh2a30DoXe8/edit?usp=sharing"",""ชุมพร!J376"")"),0.0)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IFERROR(__xludf.DUMMYFUNCTION("IMPORTRANGE(""https://docs.google.com/spreadsheets/d/1IYY_tgx_IHuhSq3AJ5eI5OnqOPBNLWSHKh2a30DoXe8/edit?usp=sharing"",""ชุมพร!I377"")"),10641.0)</f>
        <v>10641</v>
      </c>
      <c r="J482" s="453">
        <f>IFERROR(__xludf.DUMMYFUNCTION("IMPORTRANGE(""https://docs.google.com/spreadsheets/d/1IYY_tgx_IHuhSq3AJ5eI5OnqOPBNLWSHKh2a30DoXe8/edit?usp=sharing"",""ชุมพร!J377"")"),0.0)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IFERROR(__xludf.DUMMYFUNCTION("IMPORTRANGE(""https://docs.google.com/spreadsheets/d/1IYY_tgx_IHuhSq3AJ5eI5OnqOPBNLWSHKh2a30DoXe8/edit?usp=sharing"",""ชุมพร!I378"")"),0.0)</f>
        <v>0</v>
      </c>
      <c r="J483" s="223">
        <f>IFERROR(__xludf.DUMMYFUNCTION("IMPORTRANGE(""https://docs.google.com/spreadsheets/d/1IYY_tgx_IHuhSq3AJ5eI5OnqOPBNLWSHKh2a30DoXe8/edit?usp=sharing"",""ชุมพร!J378"")"),0.0)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IFERROR(__xludf.DUMMYFUNCTION("IMPORTRANGE(""https://docs.google.com/spreadsheets/d/1IYY_tgx_IHuhSq3AJ5eI5OnqOPBNLWSHKh2a30DoXe8/edit?usp=sharing"",""ชุมพร!I379"")"),0.0)</f>
        <v>0</v>
      </c>
      <c r="J484" s="223">
        <f>IFERROR(__xludf.DUMMYFUNCTION("IMPORTRANGE(""https://docs.google.com/spreadsheets/d/1IYY_tgx_IHuhSq3AJ5eI5OnqOPBNLWSHKh2a30DoXe8/edit?usp=sharing"",""ชุมพร!J379"")"),0.0)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IFERROR(__xludf.DUMMYFUNCTION("IMPORTRANGE(""https://docs.google.com/spreadsheets/d/1IYY_tgx_IHuhSq3AJ5eI5OnqOPBNLWSHKh2a30DoXe8/edit?usp=sharing"",""ชุมพร!I380"")"),0.0)</f>
        <v>0</v>
      </c>
      <c r="J485" s="223">
        <f>IFERROR(__xludf.DUMMYFUNCTION("IMPORTRANGE(""https://docs.google.com/spreadsheets/d/1IYY_tgx_IHuhSq3AJ5eI5OnqOPBNLWSHKh2a30DoXe8/edit?usp=sharing"",""ชุมพร!J380"")"),0.0)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IFERROR(__xludf.DUMMYFUNCTION("IMPORTRANGE(""https://docs.google.com/spreadsheets/d/1IYY_tgx_IHuhSq3AJ5eI5OnqOPBNLWSHKh2a30DoXe8/edit?usp=sharing"",""ชุมพร!I381"")"),0.0)</f>
        <v>0</v>
      </c>
      <c r="J486" s="223">
        <f>IFERROR(__xludf.DUMMYFUNCTION("IMPORTRANGE(""https://docs.google.com/spreadsheets/d/1IYY_tgx_IHuhSq3AJ5eI5OnqOPBNLWSHKh2a30DoXe8/edit?usp=sharing"",""ชุมพร!J381"")"),0.0)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IFERROR(__xludf.DUMMYFUNCTION("IMPORTRANGE(""https://docs.google.com/spreadsheets/d/1IYY_tgx_IHuhSq3AJ5eI5OnqOPBNLWSHKh2a30DoXe8/edit?usp=sharing"",""ชุมพร!I382"")"),0.0)</f>
        <v>0</v>
      </c>
      <c r="J487" s="453">
        <f>IFERROR(__xludf.DUMMYFUNCTION("IMPORTRANGE(""https://docs.google.com/spreadsheets/d/1IYY_tgx_IHuhSq3AJ5eI5OnqOPBNLWSHKh2a30DoXe8/edit?usp=sharing"",""ชุมพร!J382"")"),0.0)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IFERROR(__xludf.DUMMYFUNCTION("IMPORTRANGE(""https://docs.google.com/spreadsheets/d/1IYY_tgx_IHuhSq3AJ5eI5OnqOPBNLWSHKh2a30DoXe8/edit?usp=sharing"",""ชุมพร!I383"")"),0.0)</f>
        <v>0</v>
      </c>
      <c r="J488" s="453">
        <f>IFERROR(__xludf.DUMMYFUNCTION("IMPORTRANGE(""https://docs.google.com/spreadsheets/d/1IYY_tgx_IHuhSq3AJ5eI5OnqOPBNLWSHKh2a30DoXe8/edit?usp=sharing"",""ชุมพร!J383"")"),0.0)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IFERROR(__xludf.DUMMYFUNCTION("IMPORTRANGE(""https://docs.google.com/spreadsheets/d/1IYY_tgx_IHuhSq3AJ5eI5OnqOPBNLWSHKh2a30DoXe8/edit?usp=sharing"",""ชุมพร!I384"")"),0.0)</f>
        <v>0</v>
      </c>
      <c r="J489" s="223">
        <f>IFERROR(__xludf.DUMMYFUNCTION("IMPORTRANGE(""https://docs.google.com/spreadsheets/d/1IYY_tgx_IHuhSq3AJ5eI5OnqOPBNLWSHKh2a30DoXe8/edit?usp=sharing"",""ชุมพร!J384"")"),0.0)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IFERROR(__xludf.DUMMYFUNCTION("IMPORTRANGE(""https://docs.google.com/spreadsheets/d/1IYY_tgx_IHuhSq3AJ5eI5OnqOPBNLWSHKh2a30DoXe8/edit?usp=sharing"",""ชุมพร!I385"")"),0.0)</f>
        <v>0</v>
      </c>
      <c r="J490" s="223">
        <f>IFERROR(__xludf.DUMMYFUNCTION("IMPORTRANGE(""https://docs.google.com/spreadsheets/d/1IYY_tgx_IHuhSq3AJ5eI5OnqOPBNLWSHKh2a30DoXe8/edit?usp=sharing"",""ชุมพร!J385"")"),0.0)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IFERROR(__xludf.DUMMYFUNCTION("IMPORTRANGE(""https://docs.google.com/spreadsheets/d/1IYY_tgx_IHuhSq3AJ5eI5OnqOPBNLWSHKh2a30DoXe8/edit?usp=sharing"",""ชุมพร!I386"")"),0.0)</f>
        <v>0</v>
      </c>
      <c r="J491" s="223">
        <f>IFERROR(__xludf.DUMMYFUNCTION("IMPORTRANGE(""https://docs.google.com/spreadsheets/d/1IYY_tgx_IHuhSq3AJ5eI5OnqOPBNLWSHKh2a30DoXe8/edit?usp=sharing"",""ชุมพร!J386"")"),0.0)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IFERROR(__xludf.DUMMYFUNCTION("IMPORTRANGE(""https://docs.google.com/spreadsheets/d/1IYY_tgx_IHuhSq3AJ5eI5OnqOPBNLWSHKh2a30DoXe8/edit?usp=sharing"",""ชุมพร!I387"")"),0.0)</f>
        <v>0</v>
      </c>
      <c r="J492" s="223">
        <f>IFERROR(__xludf.DUMMYFUNCTION("IMPORTRANGE(""https://docs.google.com/spreadsheets/d/1IYY_tgx_IHuhSq3AJ5eI5OnqOPBNLWSHKh2a30DoXe8/edit?usp=sharing"",""ชุมพร!J387"")"),0.0)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IFERROR(__xludf.DUMMYFUNCTION("IMPORTRANGE(""https://docs.google.com/spreadsheets/d/1IYY_tgx_IHuhSq3AJ5eI5OnqOPBNLWSHKh2a30DoXe8/edit?usp=sharing"",""ชุมพร!I388"")"),0.0)</f>
        <v>0</v>
      </c>
      <c r="J493" s="223">
        <f>IFERROR(__xludf.DUMMYFUNCTION("IMPORTRANGE(""https://docs.google.com/spreadsheets/d/1IYY_tgx_IHuhSq3AJ5eI5OnqOPBNLWSHKh2a30DoXe8/edit?usp=sharing"",""ชุมพร!J388"")"),0.0)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IFERROR(__xludf.DUMMYFUNCTION("IMPORTRANGE(""https://docs.google.com/spreadsheets/d/1IYY_tgx_IHuhSq3AJ5eI5OnqOPBNLWSHKh2a30DoXe8/edit?usp=sharing"",""ชุมพร!I389"")"),0.0)</f>
        <v>0</v>
      </c>
      <c r="J494" s="469">
        <f>IFERROR(__xludf.DUMMYFUNCTION("IMPORTRANGE(""https://docs.google.com/spreadsheets/d/1IYY_tgx_IHuhSq3AJ5eI5OnqOPBNLWSHKh2a30DoXe8/edit?usp=sharing"",""ชุมพร!J389"")"),0.0)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IFERROR(__xludf.DUMMYFUNCTION("IMPORTRANGE(""https://docs.google.com/spreadsheets/d/1IYY_tgx_IHuhSq3AJ5eI5OnqOPBNLWSHKh2a30DoXe8/edit?usp=sharing"",""ชุมพร!I390"")"),0.0)</f>
        <v>0</v>
      </c>
      <c r="J495" s="469">
        <f>IFERROR(__xludf.DUMMYFUNCTION("IMPORTRANGE(""https://docs.google.com/spreadsheets/d/1IYY_tgx_IHuhSq3AJ5eI5OnqOPBNLWSHKh2a30DoXe8/edit?usp=sharing"",""ชุมพร!J390"")"),0.0)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IFERROR(__xludf.DUMMYFUNCTION("IMPORTRANGE(""https://docs.google.com/spreadsheets/d/1IYY_tgx_IHuhSq3AJ5eI5OnqOPBNLWSHKh2a30DoXe8/edit?usp=sharing"",""ชุมพร!I391"")"),0.0)</f>
        <v>0</v>
      </c>
      <c r="J496" s="469">
        <f>IFERROR(__xludf.DUMMYFUNCTION("IMPORTRANGE(""https://docs.google.com/spreadsheets/d/1IYY_tgx_IHuhSq3AJ5eI5OnqOPBNLWSHKh2a30DoXe8/edit?usp=sharing"",""ชุมพร!J391"")"),0.0)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IFERROR(__xludf.DUMMYFUNCTION("IMPORTRANGE(""https://docs.google.com/spreadsheets/d/1IYY_tgx_IHuhSq3AJ5eI5OnqOPBNLWSHKh2a30DoXe8/edit?usp=sharing"",""ชุมพร!I392"")"),660.0)</f>
        <v>660</v>
      </c>
      <c r="J497" s="476">
        <f>IFERROR(__xludf.DUMMYFUNCTION("IMPORTRANGE(""https://docs.google.com/spreadsheets/d/1IYY_tgx_IHuhSq3AJ5eI5OnqOPBNLWSHKh2a30DoXe8/edit?usp=sharing"",""ชุมพร!J392"")"),0.0)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IFERROR(__xludf.DUMMYFUNCTION("IMPORTRANGE(""https://docs.google.com/spreadsheets/d/1IYY_tgx_IHuhSq3AJ5eI5OnqOPBNLWSHKh2a30DoXe8/edit?usp=sharing"",""ชุมพร!I393"")"),660.0)</f>
        <v>660</v>
      </c>
      <c r="J498" s="453">
        <f>IFERROR(__xludf.DUMMYFUNCTION("IMPORTRANGE(""https://docs.google.com/spreadsheets/d/1IYY_tgx_IHuhSq3AJ5eI5OnqOPBNLWSHKh2a30DoXe8/edit?usp=sharing"",""ชุมพร!J393"")"),0.0)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IFERROR(__xludf.DUMMYFUNCTION("IMPORTRANGE(""https://docs.google.com/spreadsheets/d/1IYY_tgx_IHuhSq3AJ5eI5OnqOPBNLWSHKh2a30DoXe8/edit?usp=sharing"",""ชุมพร!I394"")"),94.0)</f>
        <v>94</v>
      </c>
      <c r="J499" s="453">
        <f>IFERROR(__xludf.DUMMYFUNCTION("IMPORTRANGE(""https://docs.google.com/spreadsheets/d/1IYY_tgx_IHuhSq3AJ5eI5OnqOPBNLWSHKh2a30DoXe8/edit?usp=sharing"",""ชุมพร!J394"")"),0.0)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IFERROR(__xludf.DUMMYFUNCTION("IMPORTRANGE(""https://docs.google.com/spreadsheets/d/1IYY_tgx_IHuhSq3AJ5eI5OnqOPBNLWSHKh2a30DoXe8/edit?usp=sharing"",""ชุมพร!I395"")"),0.0)</f>
        <v>0</v>
      </c>
      <c r="J500" s="195">
        <f>IFERROR(__xludf.DUMMYFUNCTION("IMPORTRANGE(""https://docs.google.com/spreadsheets/d/1IYY_tgx_IHuhSq3AJ5eI5OnqOPBNLWSHKh2a30DoXe8/edit?usp=sharing"",""ชุมพร!J395"")"),0.0)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IFERROR(__xludf.DUMMYFUNCTION("IMPORTRANGE(""https://docs.google.com/spreadsheets/d/1IYY_tgx_IHuhSq3AJ5eI5OnqOPBNLWSHKh2a30DoXe8/edit?usp=sharing"",""ชุมพร!I396"")"),0.0)</f>
        <v>0</v>
      </c>
      <c r="J501" s="195">
        <f>IFERROR(__xludf.DUMMYFUNCTION("IMPORTRANGE(""https://docs.google.com/spreadsheets/d/1IYY_tgx_IHuhSq3AJ5eI5OnqOPBNLWSHKh2a30DoXe8/edit?usp=sharing"",""ชุมพร!J396"")"),0.0)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IFERROR(__xludf.DUMMYFUNCTION("IMPORTRANGE(""https://docs.google.com/spreadsheets/d/1IYY_tgx_IHuhSq3AJ5eI5OnqOPBNLWSHKh2a30DoXe8/edit?usp=sharing"",""ชุมพร!I397"")"),0.0)</f>
        <v>0</v>
      </c>
      <c r="J502" s="223">
        <f>IFERROR(__xludf.DUMMYFUNCTION("IMPORTRANGE(""https://docs.google.com/spreadsheets/d/1IYY_tgx_IHuhSq3AJ5eI5OnqOPBNLWSHKh2a30DoXe8/edit?usp=sharing"",""ชุมพร!J397"")"),0.0)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IFERROR(__xludf.DUMMYFUNCTION("IMPORTRANGE(""https://docs.google.com/spreadsheets/d/1IYY_tgx_IHuhSq3AJ5eI5OnqOPBNLWSHKh2a30DoXe8/edit?usp=sharing"",""ชุมพร!I398"")"),0.0)</f>
        <v>0</v>
      </c>
      <c r="J503" s="232">
        <f>IFERROR(__xludf.DUMMYFUNCTION("IMPORTRANGE(""https://docs.google.com/spreadsheets/d/1IYY_tgx_IHuhSq3AJ5eI5OnqOPBNLWSHKh2a30DoXe8/edit?usp=sharing"",""ชุมพร!J398"")"),0.0)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IFERROR(__xludf.DUMMYFUNCTION("IMPORTRANGE(""https://docs.google.com/spreadsheets/d/1IYY_tgx_IHuhSq3AJ5eI5OnqOPBNLWSHKh2a30DoXe8/edit?usp=sharing"",""ชุมพร!I399"")"),0.0)</f>
        <v>0</v>
      </c>
      <c r="J504" s="223">
        <f>IFERROR(__xludf.DUMMYFUNCTION("IMPORTRANGE(""https://docs.google.com/spreadsheets/d/1IYY_tgx_IHuhSq3AJ5eI5OnqOPBNLWSHKh2a30DoXe8/edit?usp=sharing"",""ชุมพร!J399"")"),0.0)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IFERROR(__xludf.DUMMYFUNCTION("IMPORTRANGE(""https://docs.google.com/spreadsheets/d/1IYY_tgx_IHuhSq3AJ5eI5OnqOPBNLWSHKh2a30DoXe8/edit?usp=sharing"",""ชุมพร!I400"")"),0.0)</f>
        <v>0</v>
      </c>
      <c r="J505" s="232">
        <f>IFERROR(__xludf.DUMMYFUNCTION("IMPORTRANGE(""https://docs.google.com/spreadsheets/d/1IYY_tgx_IHuhSq3AJ5eI5OnqOPBNLWSHKh2a30DoXe8/edit?usp=sharing"",""ชุมพร!J400"")"),0.0)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IFERROR(__xludf.DUMMYFUNCTION("IMPORTRANGE(""https://docs.google.com/spreadsheets/d/1IYY_tgx_IHuhSq3AJ5eI5OnqOPBNLWSHKh2a30DoXe8/edit?usp=sharing"",""ชุมพร!I401"")"),0.0)</f>
        <v>0</v>
      </c>
      <c r="J506" s="223">
        <f>IFERROR(__xludf.DUMMYFUNCTION("IMPORTRANGE(""https://docs.google.com/spreadsheets/d/1IYY_tgx_IHuhSq3AJ5eI5OnqOPBNLWSHKh2a30DoXe8/edit?usp=sharing"",""ชุมพร!J401"")"),0.0)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IFERROR(__xludf.DUMMYFUNCTION("IMPORTRANGE(""https://docs.google.com/spreadsheets/d/1IYY_tgx_IHuhSq3AJ5eI5OnqOPBNLWSHKh2a30DoXe8/edit?usp=sharing"",""ชุมพร!I402"")"),0.0)</f>
        <v>0</v>
      </c>
      <c r="J507" s="232">
        <f>IFERROR(__xludf.DUMMYFUNCTION("IMPORTRANGE(""https://docs.google.com/spreadsheets/d/1IYY_tgx_IHuhSq3AJ5eI5OnqOPBNLWSHKh2a30DoXe8/edit?usp=sharing"",""ชุมพร!J402"")"),0.0)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IFERROR(__xludf.DUMMYFUNCTION("IMPORTRANGE(""https://docs.google.com/spreadsheets/d/1IYY_tgx_IHuhSq3AJ5eI5OnqOPBNLWSHKh2a30DoXe8/edit?usp=sharing"",""ชุมพร!I403"")"),0.0)</f>
        <v>0</v>
      </c>
      <c r="J508" s="195">
        <f>IFERROR(__xludf.DUMMYFUNCTION("IMPORTRANGE(""https://docs.google.com/spreadsheets/d/1IYY_tgx_IHuhSq3AJ5eI5OnqOPBNLWSHKh2a30DoXe8/edit?usp=sharing"",""ชุมพร!J403"")"),0.0)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IFERROR(__xludf.DUMMYFUNCTION("IMPORTRANGE(""https://docs.google.com/spreadsheets/d/1IYY_tgx_IHuhSq3AJ5eI5OnqOPBNLWSHKh2a30DoXe8/edit?usp=sharing"",""ชุมพร!I404"")"),0.0)</f>
        <v>0</v>
      </c>
      <c r="J509" s="195">
        <f>IFERROR(__xludf.DUMMYFUNCTION("IMPORTRANGE(""https://docs.google.com/spreadsheets/d/1IYY_tgx_IHuhSq3AJ5eI5OnqOPBNLWSHKh2a30DoXe8/edit?usp=sharing"",""ชุมพร!J404"")"),0.0)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IFERROR(__xludf.DUMMYFUNCTION("IMPORTRANGE(""https://docs.google.com/spreadsheets/d/1IYY_tgx_IHuhSq3AJ5eI5OnqOPBNLWSHKh2a30DoXe8/edit?usp=sharing"",""ชุมพร!I405"")"),0.0)</f>
        <v>0</v>
      </c>
      <c r="J510" s="232">
        <f>IFERROR(__xludf.DUMMYFUNCTION("IMPORTRANGE(""https://docs.google.com/spreadsheets/d/1IYY_tgx_IHuhSq3AJ5eI5OnqOPBNLWSHKh2a30DoXe8/edit?usp=sharing"",""ชุมพร!J405"")"),0.0)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IFERROR(__xludf.DUMMYFUNCTION("IMPORTRANGE(""https://docs.google.com/spreadsheets/d/1IYY_tgx_IHuhSq3AJ5eI5OnqOPBNLWSHKh2a30DoXe8/edit?usp=sharing"",""ชุมพร!I406"")"),0.0)</f>
        <v>0</v>
      </c>
      <c r="J511" s="232">
        <f>IFERROR(__xludf.DUMMYFUNCTION("IMPORTRANGE(""https://docs.google.com/spreadsheets/d/1IYY_tgx_IHuhSq3AJ5eI5OnqOPBNLWSHKh2a30DoXe8/edit?usp=sharing"",""ชุมพร!J406"")"),0.0)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IFERROR(__xludf.DUMMYFUNCTION("IMPORTRANGE(""https://docs.google.com/spreadsheets/d/1IYY_tgx_IHuhSq3AJ5eI5OnqOPBNLWSHKh2a30DoXe8/edit?usp=sharing"",""ชุมพร!I407"")"),0.0)</f>
        <v>0</v>
      </c>
      <c r="J512" s="232">
        <f>IFERROR(__xludf.DUMMYFUNCTION("IMPORTRANGE(""https://docs.google.com/spreadsheets/d/1IYY_tgx_IHuhSq3AJ5eI5OnqOPBNLWSHKh2a30DoXe8/edit?usp=sharing"",""ชุมพร!J407"")"),0.0)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IFERROR(__xludf.DUMMYFUNCTION("IMPORTRANGE(""https://docs.google.com/spreadsheets/d/1IYY_tgx_IHuhSq3AJ5eI5OnqOPBNLWSHKh2a30DoXe8/edit?usp=sharing"",""ชุมพร!I408"")"),0.0)</f>
        <v>0</v>
      </c>
      <c r="J513" s="232">
        <f>IFERROR(__xludf.DUMMYFUNCTION("IMPORTRANGE(""https://docs.google.com/spreadsheets/d/1IYY_tgx_IHuhSq3AJ5eI5OnqOPBNLWSHKh2a30DoXe8/edit?usp=sharing"",""ชุมพร!J408"")"),0.0)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IFERROR(__xludf.DUMMYFUNCTION("IMPORTRANGE(""https://docs.google.com/spreadsheets/d/1IYY_tgx_IHuhSq3AJ5eI5OnqOPBNLWSHKh2a30DoXe8/edit?usp=sharing"",""ชุมพร!I409"")"),0.0)</f>
        <v>0</v>
      </c>
      <c r="J514" s="232">
        <f>IFERROR(__xludf.DUMMYFUNCTION("IMPORTRANGE(""https://docs.google.com/spreadsheets/d/1IYY_tgx_IHuhSq3AJ5eI5OnqOPBNLWSHKh2a30DoXe8/edit?usp=sharing"",""ชุมพร!J409"")"),0.0)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IFERROR(__xludf.DUMMYFUNCTION("IMPORTRANGE(""https://docs.google.com/spreadsheets/d/1IYY_tgx_IHuhSq3AJ5eI5OnqOPBNLWSHKh2a30DoXe8/edit?usp=sharing"",""ชุมพร!I410"")"),0.0)</f>
        <v>0</v>
      </c>
      <c r="J515" s="232">
        <f>IFERROR(__xludf.DUMMYFUNCTION("IMPORTRANGE(""https://docs.google.com/spreadsheets/d/1IYY_tgx_IHuhSq3AJ5eI5OnqOPBNLWSHKh2a30DoXe8/edit?usp=sharing"",""ชุมพร!J410"")"),0.0)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IFERROR(__xludf.DUMMYFUNCTION("IMPORTRANGE(""https://docs.google.com/spreadsheets/d/1IYY_tgx_IHuhSq3AJ5eI5OnqOPBNLWSHKh2a30DoXe8/edit?usp=sharing"",""ชุมพร!I411"")"),0.0)</f>
        <v>0</v>
      </c>
      <c r="J516" s="301">
        <f>IFERROR(__xludf.DUMMYFUNCTION("IMPORTRANGE(""https://docs.google.com/spreadsheets/d/1IYY_tgx_IHuhSq3AJ5eI5OnqOPBNLWSHKh2a30DoXe8/edit?usp=sharing"",""ชุมพร!J411"")"),0.0)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IFERROR(__xludf.DUMMYFUNCTION("IMPORTRANGE(""https://docs.google.com/spreadsheets/d/1IYY_tgx_IHuhSq3AJ5eI5OnqOPBNLWSHKh2a30DoXe8/edit?usp=sharing"",""ชุมพร!I412"")"),0.0)</f>
        <v>0</v>
      </c>
      <c r="J517" s="317">
        <f>IFERROR(__xludf.DUMMYFUNCTION("IMPORTRANGE(""https://docs.google.com/spreadsheets/d/1IYY_tgx_IHuhSq3AJ5eI5OnqOPBNLWSHKh2a30DoXe8/edit?usp=sharing"",""ชุมพร!J412"")"),0.0)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IFERROR(__xludf.DUMMYFUNCTION("IMPORTRANGE(""https://docs.google.com/spreadsheets/d/1IYY_tgx_IHuhSq3AJ5eI5OnqOPBNLWSHKh2a30DoXe8/edit?usp=sharing"",""ชุมพร!I413"")"),0.0)</f>
        <v>0</v>
      </c>
      <c r="J518" s="317">
        <f>IFERROR(__xludf.DUMMYFUNCTION("IMPORTRANGE(""https://docs.google.com/spreadsheets/d/1IYY_tgx_IHuhSq3AJ5eI5OnqOPBNLWSHKh2a30DoXe8/edit?usp=sharing"",""ชุมพร!J413"")"),0.0)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IFERROR(__xludf.DUMMYFUNCTION("IMPORTRANGE(""https://docs.google.com/spreadsheets/d/1IYY_tgx_IHuhSq3AJ5eI5OnqOPBNLWSHKh2a30DoXe8/edit?usp=sharing"",""ชุมพร!I414"")"),0.0)</f>
        <v>0</v>
      </c>
      <c r="J519" s="222">
        <f>IFERROR(__xludf.DUMMYFUNCTION("IMPORTRANGE(""https://docs.google.com/spreadsheets/d/1IYY_tgx_IHuhSq3AJ5eI5OnqOPBNLWSHKh2a30DoXe8/edit?usp=sharing"",""ชุมพร!J414"")"),0.0)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IFERROR(__xludf.DUMMYFUNCTION("IMPORTRANGE(""https://docs.google.com/spreadsheets/d/1IYY_tgx_IHuhSq3AJ5eI5OnqOPBNLWSHKh2a30DoXe8/edit?usp=sharing"",""ชุมพร!I415"")"),0.0)</f>
        <v>0</v>
      </c>
      <c r="J520" s="222">
        <f>IFERROR(__xludf.DUMMYFUNCTION("IMPORTRANGE(""https://docs.google.com/spreadsheets/d/1IYY_tgx_IHuhSq3AJ5eI5OnqOPBNLWSHKh2a30DoXe8/edit?usp=sharing"",""ชุมพร!J415"")"),0.0)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IFERROR(__xludf.DUMMYFUNCTION("IMPORTRANGE(""https://docs.google.com/spreadsheets/d/1IYY_tgx_IHuhSq3AJ5eI5OnqOPBNLWSHKh2a30DoXe8/edit?usp=sharing"",""ชุมพร!I416"")"),0.0)</f>
        <v>0</v>
      </c>
      <c r="J521" s="222">
        <f>IFERROR(__xludf.DUMMYFUNCTION("IMPORTRANGE(""https://docs.google.com/spreadsheets/d/1IYY_tgx_IHuhSq3AJ5eI5OnqOPBNLWSHKh2a30DoXe8/edit?usp=sharing"",""ชุมพร!J416"")"),0.0)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IFERROR(__xludf.DUMMYFUNCTION("IMPORTRANGE(""https://docs.google.com/spreadsheets/d/1IYY_tgx_IHuhSq3AJ5eI5OnqOPBNLWSHKh2a30DoXe8/edit?usp=sharing"",""ชุมพร!I417"")"),0.0)</f>
        <v>0</v>
      </c>
      <c r="J522" s="222">
        <f>IFERROR(__xludf.DUMMYFUNCTION("IMPORTRANGE(""https://docs.google.com/spreadsheets/d/1IYY_tgx_IHuhSq3AJ5eI5OnqOPBNLWSHKh2a30DoXe8/edit?usp=sharing"",""ชุมพร!J417"")"),0.0)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IFERROR(__xludf.DUMMYFUNCTION("IMPORTRANGE(""https://docs.google.com/spreadsheets/d/1IYY_tgx_IHuhSq3AJ5eI5OnqOPBNLWSHKh2a30DoXe8/edit?usp=sharing"",""ชุมพร!I418"")"),0.0)</f>
        <v>0</v>
      </c>
      <c r="J523" s="222">
        <f>IFERROR(__xludf.DUMMYFUNCTION("IMPORTRANGE(""https://docs.google.com/spreadsheets/d/1IYY_tgx_IHuhSq3AJ5eI5OnqOPBNLWSHKh2a30DoXe8/edit?usp=sharing"",""ชุมพร!J418"")"),0.0)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IFERROR(__xludf.DUMMYFUNCTION("IMPORTRANGE(""https://docs.google.com/spreadsheets/d/1IYY_tgx_IHuhSq3AJ5eI5OnqOPBNLWSHKh2a30DoXe8/edit?usp=sharing"",""ชุมพร!I419"")"),0.0)</f>
        <v>0</v>
      </c>
      <c r="J524" s="222">
        <f>IFERROR(__xludf.DUMMYFUNCTION("IMPORTRANGE(""https://docs.google.com/spreadsheets/d/1IYY_tgx_IHuhSq3AJ5eI5OnqOPBNLWSHKh2a30DoXe8/edit?usp=sharing"",""ชุมพร!J419"")"),0.0)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IFERROR(__xludf.DUMMYFUNCTION("IMPORTRANGE(""https://docs.google.com/spreadsheets/d/1IYY_tgx_IHuhSq3AJ5eI5OnqOPBNLWSHKh2a30DoXe8/edit?usp=sharing"",""ชุมพร!I420"")"),0.0)</f>
        <v>0</v>
      </c>
      <c r="J525" s="317">
        <f>IFERROR(__xludf.DUMMYFUNCTION("IMPORTRANGE(""https://docs.google.com/spreadsheets/d/1IYY_tgx_IHuhSq3AJ5eI5OnqOPBNLWSHKh2a30DoXe8/edit?usp=sharing"",""ชุมพร!J420"")"),0.0)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IFERROR(__xludf.DUMMYFUNCTION("IMPORTRANGE(""https://docs.google.com/spreadsheets/d/1IYY_tgx_IHuhSq3AJ5eI5OnqOPBNLWSHKh2a30DoXe8/edit?usp=sharing"",""ชุมพร!I421"")"),0.0)</f>
        <v>0</v>
      </c>
      <c r="J526" s="317">
        <f>IFERROR(__xludf.DUMMYFUNCTION("IMPORTRANGE(""https://docs.google.com/spreadsheets/d/1IYY_tgx_IHuhSq3AJ5eI5OnqOPBNLWSHKh2a30DoXe8/edit?usp=sharing"",""ชุมพร!J421"")"),0.0)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IFERROR(__xludf.DUMMYFUNCTION("IMPORTRANGE(""https://docs.google.com/spreadsheets/d/1IYY_tgx_IHuhSq3AJ5eI5OnqOPBNLWSHKh2a30DoXe8/edit?usp=sharing"",""ชุมพร!I422"")"),0.0)</f>
        <v>0</v>
      </c>
      <c r="J527" s="232">
        <f>IFERROR(__xludf.DUMMYFUNCTION("IMPORTRANGE(""https://docs.google.com/spreadsheets/d/1IYY_tgx_IHuhSq3AJ5eI5OnqOPBNLWSHKh2a30DoXe8/edit?usp=sharing"",""ชุมพร!J422"")"),0.0)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IFERROR(__xludf.DUMMYFUNCTION("IMPORTRANGE(""https://docs.google.com/spreadsheets/d/1IYY_tgx_IHuhSq3AJ5eI5OnqOPBNLWSHKh2a30DoXe8/edit?usp=sharing"",""ชุมพร!I423"")"),0.0)</f>
        <v>0</v>
      </c>
      <c r="J528" s="232">
        <f>IFERROR(__xludf.DUMMYFUNCTION("IMPORTRANGE(""https://docs.google.com/spreadsheets/d/1IYY_tgx_IHuhSq3AJ5eI5OnqOPBNLWSHKh2a30DoXe8/edit?usp=sharing"",""ชุมพร!J423"")"),0.0)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IFERROR(__xludf.DUMMYFUNCTION("IMPORTRANGE(""https://docs.google.com/spreadsheets/d/1IYY_tgx_IHuhSq3AJ5eI5OnqOPBNLWSHKh2a30DoXe8/edit?usp=sharing"",""ชุมพร!I424"")"),0.0)</f>
        <v>0</v>
      </c>
      <c r="J529" s="232">
        <f>IFERROR(__xludf.DUMMYFUNCTION("IMPORTRANGE(""https://docs.google.com/spreadsheets/d/1IYY_tgx_IHuhSq3AJ5eI5OnqOPBNLWSHKh2a30DoXe8/edit?usp=sharing"",""ชุมพร!J424"")"),0.0)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IFERROR(__xludf.DUMMYFUNCTION("IMPORTRANGE(""https://docs.google.com/spreadsheets/d/1IYY_tgx_IHuhSq3AJ5eI5OnqOPBNLWSHKh2a30DoXe8/edit?usp=sharing"",""ชุมพร!I425"")"),0.0)</f>
        <v>0</v>
      </c>
      <c r="J530" s="232">
        <f>IFERROR(__xludf.DUMMYFUNCTION("IMPORTRANGE(""https://docs.google.com/spreadsheets/d/1IYY_tgx_IHuhSq3AJ5eI5OnqOPBNLWSHKh2a30DoXe8/edit?usp=sharing"",""ชุมพร!J425"")"),0.0)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IFERROR(__xludf.DUMMYFUNCTION("IMPORTRANGE(""https://docs.google.com/spreadsheets/d/1IYY_tgx_IHuhSq3AJ5eI5OnqOPBNLWSHKh2a30DoXe8/edit?usp=sharing"",""ชุมพร!I426"")"),0.0)</f>
        <v>0</v>
      </c>
      <c r="J531" s="232">
        <f>IFERROR(__xludf.DUMMYFUNCTION("IMPORTRANGE(""https://docs.google.com/spreadsheets/d/1IYY_tgx_IHuhSq3AJ5eI5OnqOPBNLWSHKh2a30DoXe8/edit?usp=sharing"",""ชุมพร!J426"")"),0.0)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IFERROR(__xludf.DUMMYFUNCTION("IMPORTRANGE(""https://docs.google.com/spreadsheets/d/1IYY_tgx_IHuhSq3AJ5eI5OnqOPBNLWSHKh2a30DoXe8/edit?usp=sharing"",""ชุมพร!I427"")"),0.0)</f>
        <v>0</v>
      </c>
      <c r="J532" s="499">
        <f>IFERROR(__xludf.DUMMYFUNCTION("IMPORTRANGE(""https://docs.google.com/spreadsheets/d/1IYY_tgx_IHuhSq3AJ5eI5OnqOPBNLWSHKh2a30DoXe8/edit?usp=sharing"",""ชุมพร!J427"")"),0.0)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IFERROR(__xludf.DUMMYFUNCTION("IMPORTRANGE(""https://docs.google.com/spreadsheets/d/1IYY_tgx_IHuhSq3AJ5eI5OnqOPBNLWSHKh2a30DoXe8/edit?usp=sharing"",""ชุมพร!I428"")"),26.0)</f>
        <v>26</v>
      </c>
      <c r="J533" s="443">
        <f>IFERROR(__xludf.DUMMYFUNCTION("IMPORTRANGE(""https://docs.google.com/spreadsheets/d/1IYY_tgx_IHuhSq3AJ5eI5OnqOPBNLWSHKh2a30DoXe8/edit?usp=sharing"",""ชุมพร!J428"")"),0.0)</f>
        <v>0</v>
      </c>
      <c r="K533" s="444">
        <f>IF(I533&gt;0,J533*100/I533,0)</f>
        <v>0</v>
      </c>
      <c r="L533" s="445">
        <f>IFERROR(__xludf.DUMMYFUNCTION("IMPORTRANGE(""https://docs.google.com/spreadsheets/d/1IYY_tgx_IHuhSq3AJ5eI5OnqOPBNLWSHKh2a30DoXe8/edit?usp=sharing"",""ชุมพร!L428"")"),37740.0)</f>
        <v>37740</v>
      </c>
      <c r="M533" s="445"/>
      <c r="N533" s="445">
        <f>IFERROR(__xludf.DUMMYFUNCTION("IMPORTRANGE(""https://docs.google.com/spreadsheets/d/1IYY_tgx_IHuhSq3AJ5eI5OnqOPBNLWSHKh2a30DoXe8/edit?usp=sharing"",""ชุมพร!M428"")"),0.0)</f>
        <v>0</v>
      </c>
      <c r="O533" s="445">
        <f t="shared" ref="O533:O537" si="119">+IF(L533&gt;0,N533*100/L533,0)</f>
        <v>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IFERROR(__xludf.DUMMYFUNCTION("IMPORTRANGE(""https://docs.google.com/spreadsheets/d/1IYY_tgx_IHuhSq3AJ5eI5OnqOPBNLWSHKh2a30DoXe8/edit?usp=sharing"",""ชุมพร!L429"")"),0.0)</f>
        <v>0</v>
      </c>
      <c r="M534" s="197"/>
      <c r="N534" s="203">
        <f>IFERROR(__xludf.DUMMYFUNCTION("IMPORTRANGE(""https://docs.google.com/spreadsheets/d/1IYY_tgx_IHuhSq3AJ5eI5OnqOPBNLWSHKh2a30DoXe8/edit?usp=sharing"",""ชุมพร!M429"")"),0.0)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IFERROR(__xludf.DUMMYFUNCTION("IMPORTRANGE(""https://docs.google.com/spreadsheets/d/1IYY_tgx_IHuhSq3AJ5eI5OnqOPBNLWSHKh2a30DoXe8/edit?usp=sharing"",""ชุมพร!L430"")"),37740.0)</f>
        <v>37740</v>
      </c>
      <c r="M535" s="198"/>
      <c r="N535" s="203">
        <f>IFERROR(__xludf.DUMMYFUNCTION("IMPORTRANGE(""https://docs.google.com/spreadsheets/d/1IYY_tgx_IHuhSq3AJ5eI5OnqOPBNLWSHKh2a30DoXe8/edit?usp=sharing"",""ชุมพร!M430"")"),0.0)</f>
        <v>0</v>
      </c>
      <c r="O535" s="203">
        <f t="shared" si="119"/>
        <v>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IFERROR(__xludf.DUMMYFUNCTION("IMPORTRANGE(""https://docs.google.com/spreadsheets/d/1IYY_tgx_IHuhSq3AJ5eI5OnqOPBNLWSHKh2a30DoXe8/edit?usp=sharing"",""ชุมพร!L431"")"),0.0)</f>
        <v>0</v>
      </c>
      <c r="M536" s="203"/>
      <c r="N536" s="203">
        <f>IFERROR(__xludf.DUMMYFUNCTION("IMPORTRANGE(""https://docs.google.com/spreadsheets/d/1IYY_tgx_IHuhSq3AJ5eI5OnqOPBNLWSHKh2a30DoXe8/edit?usp=sharing"",""ชุมพร!M431"")"),0.0)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IFERROR(__xludf.DUMMYFUNCTION("IMPORTRANGE(""https://docs.google.com/spreadsheets/d/1IYY_tgx_IHuhSq3AJ5eI5OnqOPBNLWSHKh2a30DoXe8/edit?usp=sharing"",""ชุมพร!L432"")"),37740.0)</f>
        <v>37740</v>
      </c>
      <c r="M537" s="203"/>
      <c r="N537" s="203">
        <f>IFERROR(__xludf.DUMMYFUNCTION("IMPORTRANGE(""https://docs.google.com/spreadsheets/d/1IYY_tgx_IHuhSq3AJ5eI5OnqOPBNLWSHKh2a30DoXe8/edit?usp=sharing"",""ชุมพร!M432"")"),0.0)</f>
        <v>0</v>
      </c>
      <c r="O537" s="203">
        <f t="shared" si="119"/>
        <v>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IFERROR(__xludf.DUMMYFUNCTION("IMPORTRANGE(""https://docs.google.com/spreadsheets/d/1IYY_tgx_IHuhSq3AJ5eI5OnqOPBNLWSHKh2a30DoXe8/edit?usp=sharing"",""ชุมพร!M433"")"),0.0)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IFERROR(__xludf.DUMMYFUNCTION("IMPORTRANGE(""https://docs.google.com/spreadsheets/d/1IYY_tgx_IHuhSq3AJ5eI5OnqOPBNLWSHKh2a30DoXe8/edit?usp=sharing"",""ชุมพร!M434"")"),0.0)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IFERROR(__xludf.DUMMYFUNCTION("IMPORTRANGE(""https://docs.google.com/spreadsheets/d/1IYY_tgx_IHuhSq3AJ5eI5OnqOPBNLWSHKh2a30DoXe8/edit?usp=sharing"",""ชุมพร!M435"")"),0.0)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IFERROR(__xludf.DUMMYFUNCTION("IMPORTRANGE(""https://docs.google.com/spreadsheets/d/1IYY_tgx_IHuhSq3AJ5eI5OnqOPBNLWSHKh2a30DoXe8/edit?usp=sharing"",""ชุมพร!M436"")"),0.0)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IFERROR(__xludf.DUMMYFUNCTION("IMPORTRANGE(""https://docs.google.com/spreadsheets/d/1IYY_tgx_IHuhSq3AJ5eI5OnqOPBNLWSHKh2a30DoXe8/edit?usp=sharing"",""ชุมพร!J438"")"),0.0)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IFERROR(__xludf.DUMMYFUNCTION("IMPORTRANGE(""https://docs.google.com/spreadsheets/d/1IYY_tgx_IHuhSq3AJ5eI5OnqOPBNLWSHKh2a30DoXe8/edit?usp=sharing"",""ชุมพร!J439"")"),1.0)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IFERROR(__xludf.DUMMYFUNCTION("IMPORTRANGE(""https://docs.google.com/spreadsheets/d/1IYY_tgx_IHuhSq3AJ5eI5OnqOPBNLWSHKh2a30DoXe8/edit?usp=sharing"",""ชุมพร!J440"")"),1.0)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IFERROR(__xludf.DUMMYFUNCTION("IMPORTRANGE(""https://docs.google.com/spreadsheets/d/1IYY_tgx_IHuhSq3AJ5eI5OnqOPBNLWSHKh2a30DoXe8/edit?usp=sharing"",""ชุมพร!J441"")"),1.0)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IFERROR(__xludf.DUMMYFUNCTION("IMPORTRANGE(""https://docs.google.com/spreadsheets/d/1IYY_tgx_IHuhSq3AJ5eI5OnqOPBNLWSHKh2a30DoXe8/edit?usp=sharing"",""ชุมพร!I442"")"),26.0)</f>
        <v>26</v>
      </c>
      <c r="J547" s="223">
        <f>IFERROR(__xludf.DUMMYFUNCTION("IMPORTRANGE(""https://docs.google.com/spreadsheets/d/1IYY_tgx_IHuhSq3AJ5eI5OnqOPBNLWSHKh2a30DoXe8/edit?usp=sharing"",""ชุมพร!J442"")"),0.0)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IFERROR(__xludf.DUMMYFUNCTION("IMPORTRANGE(""https://docs.google.com/spreadsheets/d/1IYY_tgx_IHuhSq3AJ5eI5OnqOPBNLWSHKh2a30DoXe8/edit?usp=sharing"",""ชุมพร!J166"")"),0.0)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IFERROR(__xludf.DUMMYFUNCTION("IMPORTRANGE(""https://docs.google.com/spreadsheets/d/1IYY_tgx_IHuhSq3AJ5eI5OnqOPBNLWSHKh2a30DoXe8/edit?usp=sharing"",""ชุมพร!J444"")"),0.0)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IFERROR(__xludf.DUMMYFUNCTION("IMPORTRANGE(""https://docs.google.com/spreadsheets/d/1IYY_tgx_IHuhSq3AJ5eI5OnqOPBNLWSHKh2a30DoXe8/edit?usp=sharing"",""ชุมพร!J445"")"),0.0)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IFERROR(__xludf.DUMMYFUNCTION("IMPORTRANGE(""https://docs.google.com/spreadsheets/d/1IYY_tgx_IHuhSq3AJ5eI5OnqOPBNLWSHKh2a30DoXe8/edit?usp=sharing"",""ชุมพร!I446"")"),0.0)</f>
        <v>0</v>
      </c>
      <c r="J551" s="443">
        <f>IFERROR(__xludf.DUMMYFUNCTION("IMPORTRANGE(""https://docs.google.com/spreadsheets/d/1IYY_tgx_IHuhSq3AJ5eI5OnqOPBNLWSHKh2a30DoXe8/edit?usp=sharing"",""ชุมพร!J446"")"),0.0)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IFERROR(__xludf.DUMMYFUNCTION("IMPORTRANGE(""https://docs.google.com/spreadsheets/d/1IYY_tgx_IHuhSq3AJ5eI5OnqOPBNLWSHKh2a30DoXe8/edit?usp=sharing"",""ชุมพร!L446"")"),0.0)</f>
        <v>0</v>
      </c>
      <c r="M551" s="445"/>
      <c r="N551" s="445">
        <f>IFERROR(__xludf.DUMMYFUNCTION("IMPORTRANGE(""https://docs.google.com/spreadsheets/d/1IYY_tgx_IHuhSq3AJ5eI5OnqOPBNLWSHKh2a30DoXe8/edit?usp=sharing"",""ชุมพร!M446"")"),0.0)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IFERROR(__xludf.DUMMYFUNCTION("IMPORTRANGE(""https://docs.google.com/spreadsheets/d/1IYY_tgx_IHuhSq3AJ5eI5OnqOPBNLWSHKh2a30DoXe8/edit?usp=sharing"",""ชุมพร!L447"")"),0.0)</f>
        <v>0</v>
      </c>
      <c r="M552" s="197"/>
      <c r="N552" s="203">
        <f>IFERROR(__xludf.DUMMYFUNCTION("IMPORTRANGE(""https://docs.google.com/spreadsheets/d/1IYY_tgx_IHuhSq3AJ5eI5OnqOPBNLWSHKh2a30DoXe8/edit?usp=sharing"",""ชุมพร!M447"")"),0.0)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IFERROR(__xludf.DUMMYFUNCTION("IMPORTRANGE(""https://docs.google.com/spreadsheets/d/1IYY_tgx_IHuhSq3AJ5eI5OnqOPBNLWSHKh2a30DoXe8/edit?usp=sharing"",""ชุมพร!L448"")"),0.0)</f>
        <v>0</v>
      </c>
      <c r="M553" s="198"/>
      <c r="N553" s="203">
        <f>IFERROR(__xludf.DUMMYFUNCTION("IMPORTRANGE(""https://docs.google.com/spreadsheets/d/1IYY_tgx_IHuhSq3AJ5eI5OnqOPBNLWSHKh2a30DoXe8/edit?usp=sharing"",""ชุมพร!M448"")"),0.0)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IFERROR(__xludf.DUMMYFUNCTION("IMPORTRANGE(""https://docs.google.com/spreadsheets/d/1IYY_tgx_IHuhSq3AJ5eI5OnqOPBNLWSHKh2a30DoXe8/edit?usp=sharing"",""ชุมพร!L449"")"),0.0)</f>
        <v>0</v>
      </c>
      <c r="M554" s="203"/>
      <c r="N554" s="203">
        <f>IFERROR(__xludf.DUMMYFUNCTION("IMPORTRANGE(""https://docs.google.com/spreadsheets/d/1IYY_tgx_IHuhSq3AJ5eI5OnqOPBNLWSHKh2a30DoXe8/edit?usp=sharing"",""ชุมพร!M449"")"),0.0)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IFERROR(__xludf.DUMMYFUNCTION("IMPORTRANGE(""https://docs.google.com/spreadsheets/d/1IYY_tgx_IHuhSq3AJ5eI5OnqOPBNLWSHKh2a30DoXe8/edit?usp=sharing"",""ชุมพร!L450"")"),0.0)</f>
        <v>0</v>
      </c>
      <c r="M555" s="203"/>
      <c r="N555" s="203">
        <f>IFERROR(__xludf.DUMMYFUNCTION("IMPORTRANGE(""https://docs.google.com/spreadsheets/d/1IYY_tgx_IHuhSq3AJ5eI5OnqOPBNLWSHKh2a30DoXe8/edit?usp=sharing"",""ชุมพร!M450"")"),0.0)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IFERROR(__xludf.DUMMYFUNCTION("IMPORTRANGE(""https://docs.google.com/spreadsheets/d/1IYY_tgx_IHuhSq3AJ5eI5OnqOPBNLWSHKh2a30DoXe8/edit?usp=sharing"",""ชุมพร!M451"")"),0.0)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IFERROR(__xludf.DUMMYFUNCTION("IMPORTRANGE(""https://docs.google.com/spreadsheets/d/1IYY_tgx_IHuhSq3AJ5eI5OnqOPBNLWSHKh2a30DoXe8/edit?usp=sharing"",""ชุมพร!M452"")"),0.0)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IFERROR(__xludf.DUMMYFUNCTION("IMPORTRANGE(""https://docs.google.com/spreadsheets/d/1IYY_tgx_IHuhSq3AJ5eI5OnqOPBNLWSHKh2a30DoXe8/edit?usp=sharing"",""ชุมพร!M453"")"),0.0)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IFERROR(__xludf.DUMMYFUNCTION("IMPORTRANGE(""https://docs.google.com/spreadsheets/d/1IYY_tgx_IHuhSq3AJ5eI5OnqOPBNLWSHKh2a30DoXe8/edit?usp=sharing"",""ชุมพร!M454"")"),0.0)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IFERROR(__xludf.DUMMYFUNCTION("IMPORTRANGE(""https://docs.google.com/spreadsheets/d/1IYY_tgx_IHuhSq3AJ5eI5OnqOPBNLWSHKh2a30DoXe8/edit?usp=sharing"",""ชุมพร!I455"")"),0.0)</f>
        <v>0</v>
      </c>
      <c r="J560" s="195">
        <f>IFERROR(__xludf.DUMMYFUNCTION("IMPORTRANGE(""https://docs.google.com/spreadsheets/d/1IYY_tgx_IHuhSq3AJ5eI5OnqOPBNLWSHKh2a30DoXe8/edit?usp=sharing"",""ชุมพร!J455"")"),0.0)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IFERROR(__xludf.DUMMYFUNCTION("IMPORTRANGE(""https://docs.google.com/spreadsheets/d/1IYY_tgx_IHuhSq3AJ5eI5OnqOPBNLWSHKh2a30DoXe8/edit?usp=sharing"",""ชุมพร!I456"")"),0.0)</f>
        <v>0</v>
      </c>
      <c r="J561" s="238">
        <f>IFERROR(__xludf.DUMMYFUNCTION("IMPORTRANGE(""https://docs.google.com/spreadsheets/d/1IYY_tgx_IHuhSq3AJ5eI5OnqOPBNLWSHKh2a30DoXe8/edit?usp=sharing"",""ชุมพร!J456"")"),0.0)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IFERROR(__xludf.DUMMYFUNCTION("IMPORTRANGE(""https://docs.google.com/spreadsheets/d/1IYY_tgx_IHuhSq3AJ5eI5OnqOPBNLWSHKh2a30DoXe8/edit?usp=sharing"",""ชุมพร!I457"")"),"")</f>
        <v/>
      </c>
      <c r="J562" s="238" t="str">
        <f>IFERROR(__xludf.DUMMYFUNCTION("IMPORTRANGE(""https://docs.google.com/spreadsheets/d/1IYY_tgx_IHuhSq3AJ5eI5OnqOPBNLWSHKh2a30DoXe8/edit?usp=sharing"",""ชุมพร!J457"")"),"")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IFERROR(__xludf.DUMMYFUNCTION("IMPORTRANGE(""https://docs.google.com/spreadsheets/d/1IYY_tgx_IHuhSq3AJ5eI5OnqOPBNLWSHKh2a30DoXe8/edit?usp=sharing"",""ชุมพร!I458"")"),"")</f>
        <v/>
      </c>
      <c r="J563" s="222" t="str">
        <f>IFERROR(__xludf.DUMMYFUNCTION("IMPORTRANGE(""https://docs.google.com/spreadsheets/d/1IYY_tgx_IHuhSq3AJ5eI5OnqOPBNLWSHKh2a30DoXe8/edit?usp=sharing"",""ชุมพร!J458"")"),"")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IFERROR(__xludf.DUMMYFUNCTION("IMPORTRANGE(""https://docs.google.com/spreadsheets/d/1IYY_tgx_IHuhSq3AJ5eI5OnqOPBNLWSHKh2a30DoXe8/edit?usp=sharing"",""ชุมพร!I459"")"),1500.0)</f>
        <v>1500</v>
      </c>
      <c r="J564" s="404">
        <f>IFERROR(__xludf.DUMMYFUNCTION("IMPORTRANGE(""https://docs.google.com/spreadsheets/d/1IYY_tgx_IHuhSq3AJ5eI5OnqOPBNLWSHKh2a30DoXe8/edit?usp=sharing"",""ชุมพร!J459"")"),2366.0)</f>
        <v>2366</v>
      </c>
      <c r="K564" s="405">
        <f t="shared" si="122"/>
        <v>157.7333333</v>
      </c>
      <c r="L564" s="406">
        <f>IFERROR(__xludf.DUMMYFUNCTION("IMPORTRANGE(""https://docs.google.com/spreadsheets/d/1IYY_tgx_IHuhSq3AJ5eI5OnqOPBNLWSHKh2a30DoXe8/edit?usp=sharing"",""ชุมพร!L459"")"),136000.0)</f>
        <v>136000</v>
      </c>
      <c r="M564" s="406"/>
      <c r="N564" s="406">
        <f>IFERROR(__xludf.DUMMYFUNCTION("IMPORTRANGE(""https://docs.google.com/spreadsheets/d/1IYY_tgx_IHuhSq3AJ5eI5OnqOPBNLWSHKh2a30DoXe8/edit?usp=sharing"",""ชุมพร!M459"")"),19441.0)</f>
        <v>19441</v>
      </c>
      <c r="O564" s="406">
        <f t="shared" ref="O564:O568" si="123">+IF(L564&gt;0,N564*100/L564,0)</f>
        <v>14.29485294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IFERROR(__xludf.DUMMYFUNCTION("IMPORTRANGE(""https://docs.google.com/spreadsheets/d/1IYY_tgx_IHuhSq3AJ5eI5OnqOPBNLWSHKh2a30DoXe8/edit?usp=sharing"",""ชุมพร!L460"")"),0.0)</f>
        <v>0</v>
      </c>
      <c r="M565" s="197"/>
      <c r="N565" s="203">
        <f>IFERROR(__xludf.DUMMYFUNCTION("IMPORTRANGE(""https://docs.google.com/spreadsheets/d/1IYY_tgx_IHuhSq3AJ5eI5OnqOPBNLWSHKh2a30DoXe8/edit?usp=sharing"",""ชุมพร!M460"")"),0.0)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IFERROR(__xludf.DUMMYFUNCTION("IMPORTRANGE(""https://docs.google.com/spreadsheets/d/1IYY_tgx_IHuhSq3AJ5eI5OnqOPBNLWSHKh2a30DoXe8/edit?usp=sharing"",""ชุมพร!L461"")"),136000.0)</f>
        <v>136000</v>
      </c>
      <c r="M566" s="198"/>
      <c r="N566" s="203">
        <f>IFERROR(__xludf.DUMMYFUNCTION("IMPORTRANGE(""https://docs.google.com/spreadsheets/d/1IYY_tgx_IHuhSq3AJ5eI5OnqOPBNLWSHKh2a30DoXe8/edit?usp=sharing"",""ชุมพร!M461"")"),19441.0)</f>
        <v>19441</v>
      </c>
      <c r="O566" s="203">
        <f t="shared" si="123"/>
        <v>14.29485294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IFERROR(__xludf.DUMMYFUNCTION("IMPORTRANGE(""https://docs.google.com/spreadsheets/d/1IYY_tgx_IHuhSq3AJ5eI5OnqOPBNLWSHKh2a30DoXe8/edit?usp=sharing"",""ชุมพร!L462"")"),0.0)</f>
        <v>0</v>
      </c>
      <c r="M567" s="203"/>
      <c r="N567" s="203">
        <f>IFERROR(__xludf.DUMMYFUNCTION("IMPORTRANGE(""https://docs.google.com/spreadsheets/d/1IYY_tgx_IHuhSq3AJ5eI5OnqOPBNLWSHKh2a30DoXe8/edit?usp=sharing"",""ชุมพร!M462"")"),0.0)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IFERROR(__xludf.DUMMYFUNCTION("IMPORTRANGE(""https://docs.google.com/spreadsheets/d/1IYY_tgx_IHuhSq3AJ5eI5OnqOPBNLWSHKh2a30DoXe8/edit?usp=sharing"",""ชุมพร!L463"")"),136000.0)</f>
        <v>136000</v>
      </c>
      <c r="M568" s="203"/>
      <c r="N568" s="203">
        <f>IFERROR(__xludf.DUMMYFUNCTION("IMPORTRANGE(""https://docs.google.com/spreadsheets/d/1IYY_tgx_IHuhSq3AJ5eI5OnqOPBNLWSHKh2a30DoXe8/edit?usp=sharing"",""ชุมพร!M463"")"),19441.0)</f>
        <v>19441</v>
      </c>
      <c r="O568" s="203">
        <f t="shared" si="123"/>
        <v>14.29485294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IFERROR(__xludf.DUMMYFUNCTION("IMPORTRANGE(""https://docs.google.com/spreadsheets/d/1IYY_tgx_IHuhSq3AJ5eI5OnqOPBNLWSHKh2a30DoXe8/edit?usp=sharing"",""ชุมพร!M464"")"),0.0)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IFERROR(__xludf.DUMMYFUNCTION("IMPORTRANGE(""https://docs.google.com/spreadsheets/d/1IYY_tgx_IHuhSq3AJ5eI5OnqOPBNLWSHKh2a30DoXe8/edit?usp=sharing"",""ชุมพร!M465"")"),0.0)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IFERROR(__xludf.DUMMYFUNCTION("IMPORTRANGE(""https://docs.google.com/spreadsheets/d/1IYY_tgx_IHuhSq3AJ5eI5OnqOPBNLWSHKh2a30DoXe8/edit?usp=sharing"",""ชุมพร!M466"")"),19441.0)</f>
        <v>19441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IFERROR(__xludf.DUMMYFUNCTION("IMPORTRANGE(""https://docs.google.com/spreadsheets/d/1IYY_tgx_IHuhSq3AJ5eI5OnqOPBNLWSHKh2a30DoXe8/edit?usp=sharing"",""ชุมพร!M467"")"),0.0)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IFERROR(__xludf.DUMMYFUNCTION("IMPORTRANGE(""https://docs.google.com/spreadsheets/d/1IYY_tgx_IHuhSq3AJ5eI5OnqOPBNLWSHKh2a30DoXe8/edit?usp=sharing"",""ชุมพร!I468"")"),1500.0)</f>
        <v>1500</v>
      </c>
      <c r="J573" s="453">
        <f>IFERROR(__xludf.DUMMYFUNCTION("IMPORTRANGE(""https://docs.google.com/spreadsheets/d/1IYY_tgx_IHuhSq3AJ5eI5OnqOPBNLWSHKh2a30DoXe8/edit?usp=sharing"",""ชุมพร!J468"")"),2366.0)</f>
        <v>2366</v>
      </c>
      <c r="K573" s="236">
        <f>IF(I573&gt;0,J573*100/I573,0)</f>
        <v>157.7333333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IFERROR(__xludf.DUMMYFUNCTION("IMPORTRANGE(""https://docs.google.com/spreadsheets/d/1IYY_tgx_IHuhSq3AJ5eI5OnqOPBNLWSHKh2a30DoXe8/edit?usp=sharing"",""ชุมพร!I470"")"),0.0)</f>
        <v>0</v>
      </c>
      <c r="J575" s="232">
        <f>IFERROR(__xludf.DUMMYFUNCTION("IMPORTRANGE(""https://docs.google.com/spreadsheets/d/1IYY_tgx_IHuhSq3AJ5eI5OnqOPBNLWSHKh2a30DoXe8/edit?usp=sharing"",""ชุมพร!J470"")"),0.0)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IFERROR(__xludf.DUMMYFUNCTION("IMPORTRANGE(""https://docs.google.com/spreadsheets/d/1IYY_tgx_IHuhSq3AJ5eI5OnqOPBNLWSHKh2a30DoXe8/edit?usp=sharing"",""ชุมพร!I471"")"),0.0)</f>
        <v>0</v>
      </c>
      <c r="J576" s="232">
        <f>IFERROR(__xludf.DUMMYFUNCTION("IMPORTRANGE(""https://docs.google.com/spreadsheets/d/1IYY_tgx_IHuhSq3AJ5eI5OnqOPBNLWSHKh2a30DoXe8/edit?usp=sharing"",""ชุมพร!J471"")"),0.0)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IFERROR(__xludf.DUMMYFUNCTION("IMPORTRANGE(""https://docs.google.com/spreadsheets/d/1IYY_tgx_IHuhSq3AJ5eI5OnqOPBNLWSHKh2a30DoXe8/edit?usp=sharing"",""ชุมพร!I472"")"),0.0)</f>
        <v>0</v>
      </c>
      <c r="J577" s="223">
        <f>IFERROR(__xludf.DUMMYFUNCTION("IMPORTRANGE(""https://docs.google.com/spreadsheets/d/1IYY_tgx_IHuhSq3AJ5eI5OnqOPBNLWSHKh2a30DoXe8/edit?usp=sharing"",""ชุมพร!J472"")"),2366.0)</f>
        <v>2366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IFERROR(__xludf.DUMMYFUNCTION("IMPORTRANGE(""https://docs.google.com/spreadsheets/d/1IYY_tgx_IHuhSq3AJ5eI5OnqOPBNLWSHKh2a30DoXe8/edit?usp=sharing"",""ชุมพร!I473"")"),0.0)</f>
        <v>0</v>
      </c>
      <c r="J578" s="232">
        <f>IFERROR(__xludf.DUMMYFUNCTION("IMPORTRANGE(""https://docs.google.com/spreadsheets/d/1IYY_tgx_IHuhSq3AJ5eI5OnqOPBNLWSHKh2a30DoXe8/edit?usp=sharing"",""ชุมพร!J473"")"),0.0)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IFERROR(__xludf.DUMMYFUNCTION("IMPORTRANGE(""https://docs.google.com/spreadsheets/d/1IYY_tgx_IHuhSq3AJ5eI5OnqOPBNLWSHKh2a30DoXe8/edit?usp=sharing"",""ชุมพร!I474"")"),0.0)</f>
        <v>0</v>
      </c>
      <c r="J579" s="232">
        <f>IFERROR(__xludf.DUMMYFUNCTION("IMPORTRANGE(""https://docs.google.com/spreadsheets/d/1IYY_tgx_IHuhSq3AJ5eI5OnqOPBNLWSHKh2a30DoXe8/edit?usp=sharing"",""ชุมพร!J474"")"),0.0)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IFERROR(__xludf.DUMMYFUNCTION("IMPORTRANGE(""https://docs.google.com/spreadsheets/d/1IYY_tgx_IHuhSq3AJ5eI5OnqOPBNLWSHKh2a30DoXe8/edit?usp=sharing"",""ชุมพร!I475"")"),0.0)</f>
        <v>0</v>
      </c>
      <c r="J580" s="404">
        <f>IFERROR(__xludf.DUMMYFUNCTION("IMPORTRANGE(""https://docs.google.com/spreadsheets/d/1IYY_tgx_IHuhSq3AJ5eI5OnqOPBNLWSHKh2a30DoXe8/edit?usp=sharing"",""ชุมพร!J475"")"),0.0)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IFERROR(__xludf.DUMMYFUNCTION("IMPORTRANGE(""https://docs.google.com/spreadsheets/d/1IYY_tgx_IHuhSq3AJ5eI5OnqOPBNLWSHKh2a30DoXe8/edit?usp=sharing"",""ชุมพร!L475"")"),0.0)</f>
        <v>0</v>
      </c>
      <c r="M580" s="406"/>
      <c r="N580" s="406">
        <f>IFERROR(__xludf.DUMMYFUNCTION("IMPORTRANGE(""https://docs.google.com/spreadsheets/d/1IYY_tgx_IHuhSq3AJ5eI5OnqOPBNLWSHKh2a30DoXe8/edit?usp=sharing"",""ชุมพร!M475"")"),0.0)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IFERROR(__xludf.DUMMYFUNCTION("IMPORTRANGE(""https://docs.google.com/spreadsheets/d/1IYY_tgx_IHuhSq3AJ5eI5OnqOPBNLWSHKh2a30DoXe8/edit?usp=sharing"",""ชุมพร!L476"")"),0.0)</f>
        <v>0</v>
      </c>
      <c r="M581" s="197"/>
      <c r="N581" s="203">
        <f>IFERROR(__xludf.DUMMYFUNCTION("IMPORTRANGE(""https://docs.google.com/spreadsheets/d/1IYY_tgx_IHuhSq3AJ5eI5OnqOPBNLWSHKh2a30DoXe8/edit?usp=sharing"",""ชุมพร!M476"")"),0.0)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IFERROR(__xludf.DUMMYFUNCTION("IMPORTRANGE(""https://docs.google.com/spreadsheets/d/1IYY_tgx_IHuhSq3AJ5eI5OnqOPBNLWSHKh2a30DoXe8/edit?usp=sharing"",""ชุมพร!L477"")"),0.0)</f>
        <v>0</v>
      </c>
      <c r="M582" s="198"/>
      <c r="N582" s="203">
        <f>IFERROR(__xludf.DUMMYFUNCTION("IMPORTRANGE(""https://docs.google.com/spreadsheets/d/1IYY_tgx_IHuhSq3AJ5eI5OnqOPBNLWSHKh2a30DoXe8/edit?usp=sharing"",""ชุมพร!M477"")"),0.0)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IFERROR(__xludf.DUMMYFUNCTION("IMPORTRANGE(""https://docs.google.com/spreadsheets/d/1IYY_tgx_IHuhSq3AJ5eI5OnqOPBNLWSHKh2a30DoXe8/edit?usp=sharing"",""ชุมพร!L478"")"),0.0)</f>
        <v>0</v>
      </c>
      <c r="M583" s="203"/>
      <c r="N583" s="203">
        <f>IFERROR(__xludf.DUMMYFUNCTION("IMPORTRANGE(""https://docs.google.com/spreadsheets/d/1IYY_tgx_IHuhSq3AJ5eI5OnqOPBNLWSHKh2a30DoXe8/edit?usp=sharing"",""ชุมพร!M478"")"),0.0)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IFERROR(__xludf.DUMMYFUNCTION("IMPORTRANGE(""https://docs.google.com/spreadsheets/d/1IYY_tgx_IHuhSq3AJ5eI5OnqOPBNLWSHKh2a30DoXe8/edit?usp=sharing"",""ชุมพร!L479"")"),0.0)</f>
        <v>0</v>
      </c>
      <c r="M584" s="203"/>
      <c r="N584" s="203">
        <f>IFERROR(__xludf.DUMMYFUNCTION("IMPORTRANGE(""https://docs.google.com/spreadsheets/d/1IYY_tgx_IHuhSq3AJ5eI5OnqOPBNLWSHKh2a30DoXe8/edit?usp=sharing"",""ชุมพร!M479"")"),0.0)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IFERROR(__xludf.DUMMYFUNCTION("IMPORTRANGE(""https://docs.google.com/spreadsheets/d/1IYY_tgx_IHuhSq3AJ5eI5OnqOPBNLWSHKh2a30DoXe8/edit?usp=sharing"",""ชุมพร!M480"")"),0.0)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IFERROR(__xludf.DUMMYFUNCTION("IMPORTRANGE(""https://docs.google.com/spreadsheets/d/1IYY_tgx_IHuhSq3AJ5eI5OnqOPBNLWSHKh2a30DoXe8/edit?usp=sharing"",""ชุมพร!M481"")"),0.0)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IFERROR(__xludf.DUMMYFUNCTION("IMPORTRANGE(""https://docs.google.com/spreadsheets/d/1IYY_tgx_IHuhSq3AJ5eI5OnqOPBNLWSHKh2a30DoXe8/edit?usp=sharing"",""ชุมพร!M482"")"),0.0)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IFERROR(__xludf.DUMMYFUNCTION("IMPORTRANGE(""https://docs.google.com/spreadsheets/d/1IYY_tgx_IHuhSq3AJ5eI5OnqOPBNLWSHKh2a30DoXe8/edit?usp=sharing"",""ชุมพร!M483"")"),0.0)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IFERROR(__xludf.DUMMYFUNCTION("IMPORTRANGE(""https://docs.google.com/spreadsheets/d/1IYY_tgx_IHuhSq3AJ5eI5OnqOPBNLWSHKh2a30DoXe8/edit?usp=sharing"",""ชุมพร!I484"")"),0.0)</f>
        <v>0</v>
      </c>
      <c r="J589" s="222">
        <f>IFERROR(__xludf.DUMMYFUNCTION("IMPORTRANGE(""https://docs.google.com/spreadsheets/d/1IYY_tgx_IHuhSq3AJ5eI5OnqOPBNLWSHKh2a30DoXe8/edit?usp=sharing"",""ชุมพร!J484"")"),0.0)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IFERROR(__xludf.DUMMYFUNCTION("IMPORTRANGE(""https://docs.google.com/spreadsheets/d/1IYY_tgx_IHuhSq3AJ5eI5OnqOPBNLWSHKh2a30DoXe8/edit?usp=sharing"",""ชุมพร!I485"")"),0.0)</f>
        <v>0</v>
      </c>
      <c r="J590" s="222">
        <f>IFERROR(__xludf.DUMMYFUNCTION("IMPORTRANGE(""https://docs.google.com/spreadsheets/d/1IYY_tgx_IHuhSq3AJ5eI5OnqOPBNLWSHKh2a30DoXe8/edit?usp=sharing"",""ชุมพร!J485"")"),0.0)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IFERROR(__xludf.DUMMYFUNCTION("IMPORTRANGE(""https://docs.google.com/spreadsheets/d/1IYY_tgx_IHuhSq3AJ5eI5OnqOPBNLWSHKh2a30DoXe8/edit?usp=sharing"",""ชุมพร!I486"")"),0.0)</f>
        <v>0</v>
      </c>
      <c r="J591" s="222">
        <f>IFERROR(__xludf.DUMMYFUNCTION("IMPORTRANGE(""https://docs.google.com/spreadsheets/d/1IYY_tgx_IHuhSq3AJ5eI5OnqOPBNLWSHKh2a30DoXe8/edit?usp=sharing"",""ชุมพร!J486"")"),0.0)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IFERROR(__xludf.DUMMYFUNCTION("IMPORTRANGE(""https://docs.google.com/spreadsheets/d/1IYY_tgx_IHuhSq3AJ5eI5OnqOPBNLWSHKh2a30DoXe8/edit?usp=sharing"",""ชุมพร!I487"")"),0.0)</f>
        <v>0</v>
      </c>
      <c r="J592" s="222">
        <f>IFERROR(__xludf.DUMMYFUNCTION("IMPORTRANGE(""https://docs.google.com/spreadsheets/d/1IYY_tgx_IHuhSq3AJ5eI5OnqOPBNLWSHKh2a30DoXe8/edit?usp=sharing"",""ชุมพร!J487"")"),0.0)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IFERROR(__xludf.DUMMYFUNCTION("IMPORTRANGE(""https://docs.google.com/spreadsheets/d/1IYY_tgx_IHuhSq3AJ5eI5OnqOPBNLWSHKh2a30DoXe8/edit?usp=sharing"",""ชุมพร!I488"")"),0.0)</f>
        <v>0</v>
      </c>
      <c r="J593" s="222">
        <f>IFERROR(__xludf.DUMMYFUNCTION("IMPORTRANGE(""https://docs.google.com/spreadsheets/d/1IYY_tgx_IHuhSq3AJ5eI5OnqOPBNLWSHKh2a30DoXe8/edit?usp=sharing"",""ชุมพร!J488"")"),0.0)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IFERROR(__xludf.DUMMYFUNCTION("IMPORTRANGE(""https://docs.google.com/spreadsheets/d/1IYY_tgx_IHuhSq3AJ5eI5OnqOPBNLWSHKh2a30DoXe8/edit?usp=sharing"",""ชุมพร!I489"")"),0.0)</f>
        <v>0</v>
      </c>
      <c r="J594" s="222">
        <f>IFERROR(__xludf.DUMMYFUNCTION("IMPORTRANGE(""https://docs.google.com/spreadsheets/d/1IYY_tgx_IHuhSq3AJ5eI5OnqOPBNLWSHKh2a30DoXe8/edit?usp=sharing"",""ชุมพร!J489"")"),0.0)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IFERROR(__xludf.DUMMYFUNCTION("IMPORTRANGE(""https://docs.google.com/spreadsheets/d/1IYY_tgx_IHuhSq3AJ5eI5OnqOPBNLWSHKh2a30DoXe8/edit?usp=sharing"",""ชุมพร!I490"")"),0.0)</f>
        <v>0</v>
      </c>
      <c r="J595" s="222">
        <f>IFERROR(__xludf.DUMMYFUNCTION("IMPORTRANGE(""https://docs.google.com/spreadsheets/d/1IYY_tgx_IHuhSq3AJ5eI5OnqOPBNLWSHKh2a30DoXe8/edit?usp=sharing"",""ชุมพร!J490"")"),0.0)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IFERROR(__xludf.DUMMYFUNCTION("IMPORTRANGE(""https://docs.google.com/spreadsheets/d/1IYY_tgx_IHuhSq3AJ5eI5OnqOPBNLWSHKh2a30DoXe8/edit?usp=sharing"",""ชุมพร!I491"")"),0.0)</f>
        <v>0</v>
      </c>
      <c r="J596" s="275">
        <f>IFERROR(__xludf.DUMMYFUNCTION("IMPORTRANGE(""https://docs.google.com/spreadsheets/d/1IYY_tgx_IHuhSq3AJ5eI5OnqOPBNLWSHKh2a30DoXe8/edit?usp=sharing"",""ชุมพร!J491"")"),0.0)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IFERROR(__xludf.DUMMYFUNCTION("IMPORTRANGE(""https://docs.google.com/spreadsheets/d/1IYY_tgx_IHuhSq3AJ5eI5OnqOPBNLWSHKh2a30DoXe8/edit?usp=sharing"",""ชุมพร!I492"")"),100.0)</f>
        <v>100</v>
      </c>
      <c r="J597" s="520">
        <f>IFERROR(__xludf.DUMMYFUNCTION("IMPORTRANGE(""https://docs.google.com/spreadsheets/d/1IYY_tgx_IHuhSq3AJ5eI5OnqOPBNLWSHKh2a30DoXe8/edit?usp=sharing"",""ชุมพร!J492"")"),0.0)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IFERROR(__xludf.DUMMYFUNCTION("IMPORTRANGE(""https://docs.google.com/spreadsheets/d/1IYY_tgx_IHuhSq3AJ5eI5OnqOPBNLWSHKh2a30DoXe8/edit?usp=sharing"",""ชุมพร!L492"")"),12900.0)</f>
        <v>12900</v>
      </c>
      <c r="M597" s="445"/>
      <c r="N597" s="445">
        <f>IFERROR(__xludf.DUMMYFUNCTION("IMPORTRANGE(""https://docs.google.com/spreadsheets/d/1IYY_tgx_IHuhSq3AJ5eI5OnqOPBNLWSHKh2a30DoXe8/edit?usp=sharing"",""ชุมพร!M492"")"),3200.0)</f>
        <v>3200</v>
      </c>
      <c r="O597" s="445">
        <f t="shared" ref="O597:O601" si="127">+IF(L597&gt;0,N597*100/L597,0)</f>
        <v>24.80620155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IFERROR(__xludf.DUMMYFUNCTION("IMPORTRANGE(""https://docs.google.com/spreadsheets/d/1IYY_tgx_IHuhSq3AJ5eI5OnqOPBNLWSHKh2a30DoXe8/edit?usp=sharing"",""ชุมพร!L493"")"),0.0)</f>
        <v>0</v>
      </c>
      <c r="M598" s="197"/>
      <c r="N598" s="203">
        <f>IFERROR(__xludf.DUMMYFUNCTION("IMPORTRANGE(""https://docs.google.com/spreadsheets/d/1IYY_tgx_IHuhSq3AJ5eI5OnqOPBNLWSHKh2a30DoXe8/edit?usp=sharing"",""ชุมพร!M493"")"),0.0)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IFERROR(__xludf.DUMMYFUNCTION("IMPORTRANGE(""https://docs.google.com/spreadsheets/d/1IYY_tgx_IHuhSq3AJ5eI5OnqOPBNLWSHKh2a30DoXe8/edit?usp=sharing"",""ชุมพร!L494"")"),12900.0)</f>
        <v>12900</v>
      </c>
      <c r="M599" s="198"/>
      <c r="N599" s="203">
        <f>IFERROR(__xludf.DUMMYFUNCTION("IMPORTRANGE(""https://docs.google.com/spreadsheets/d/1IYY_tgx_IHuhSq3AJ5eI5OnqOPBNLWSHKh2a30DoXe8/edit?usp=sharing"",""ชุมพร!M494"")"),3200.0)</f>
        <v>3200</v>
      </c>
      <c r="O599" s="203">
        <f t="shared" si="127"/>
        <v>24.80620155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IFERROR(__xludf.DUMMYFUNCTION("IMPORTRANGE(""https://docs.google.com/spreadsheets/d/1IYY_tgx_IHuhSq3AJ5eI5OnqOPBNLWSHKh2a30DoXe8/edit?usp=sharing"",""ชุมพร!L495"")"),0.0)</f>
        <v>0</v>
      </c>
      <c r="M600" s="203"/>
      <c r="N600" s="203">
        <f>IFERROR(__xludf.DUMMYFUNCTION("IMPORTRANGE(""https://docs.google.com/spreadsheets/d/1IYY_tgx_IHuhSq3AJ5eI5OnqOPBNLWSHKh2a30DoXe8/edit?usp=sharing"",""ชุมพร!M495"")"),0.0)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IFERROR(__xludf.DUMMYFUNCTION("IMPORTRANGE(""https://docs.google.com/spreadsheets/d/1IYY_tgx_IHuhSq3AJ5eI5OnqOPBNLWSHKh2a30DoXe8/edit?usp=sharing"",""ชุมพร!L496"")"),12900.0)</f>
        <v>12900</v>
      </c>
      <c r="M601" s="203"/>
      <c r="N601" s="203">
        <f>IFERROR(__xludf.DUMMYFUNCTION("IMPORTRANGE(""https://docs.google.com/spreadsheets/d/1IYY_tgx_IHuhSq3AJ5eI5OnqOPBNLWSHKh2a30DoXe8/edit?usp=sharing"",""ชุมพร!M496"")"),3200.0)</f>
        <v>3200</v>
      </c>
      <c r="O601" s="203">
        <f t="shared" si="127"/>
        <v>24.80620155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IFERROR(__xludf.DUMMYFUNCTION("IMPORTRANGE(""https://docs.google.com/spreadsheets/d/1IYY_tgx_IHuhSq3AJ5eI5OnqOPBNLWSHKh2a30DoXe8/edit?usp=sharing"",""ชุมพร!M497"")"),0.0)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IFERROR(__xludf.DUMMYFUNCTION("IMPORTRANGE(""https://docs.google.com/spreadsheets/d/1IYY_tgx_IHuhSq3AJ5eI5OnqOPBNLWSHKh2a30DoXe8/edit?usp=sharing"",""ชุมพร!M498"")"),0.0)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IFERROR(__xludf.DUMMYFUNCTION("IMPORTRANGE(""https://docs.google.com/spreadsheets/d/1IYY_tgx_IHuhSq3AJ5eI5OnqOPBNLWSHKh2a30DoXe8/edit?usp=sharing"",""ชุมพร!M499"")"),0.0)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IFERROR(__xludf.DUMMYFUNCTION("IMPORTRANGE(""https://docs.google.com/spreadsheets/d/1IYY_tgx_IHuhSq3AJ5eI5OnqOPBNLWSHKh2a30DoXe8/edit?usp=sharing"",""ชุมพร!M500"")"),3200.0)</f>
        <v>3200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IFERROR(__xludf.DUMMYFUNCTION("IMPORTRANGE(""https://docs.google.com/spreadsheets/d/1IYY_tgx_IHuhSq3AJ5eI5OnqOPBNLWSHKh2a30DoXe8/edit?usp=sharing"",""ชุมพร!J502"")"),0.0)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IFERROR(__xludf.DUMMYFUNCTION("IMPORTRANGE(""https://docs.google.com/spreadsheets/d/1IYY_tgx_IHuhSq3AJ5eI5OnqOPBNLWSHKh2a30DoXe8/edit?usp=sharing"",""ชุมพร!J503"")"),1.0)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IFERROR(__xludf.DUMMYFUNCTION("IMPORTRANGE(""https://docs.google.com/spreadsheets/d/1IYY_tgx_IHuhSq3AJ5eI5OnqOPBNLWSHKh2a30DoXe8/edit?usp=sharing"",""ชุมพร!J166"")"),0.0)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IFERROR(__xludf.DUMMYFUNCTION("IMPORTRANGE(""https://docs.google.com/spreadsheets/d/1IYY_tgx_IHuhSq3AJ5eI5OnqOPBNLWSHKh2a30DoXe8/edit?usp=sharing"",""ชุมพร!J166"")"),0.0)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IFERROR(__xludf.DUMMYFUNCTION("IMPORTRANGE(""https://docs.google.com/spreadsheets/d/1IYY_tgx_IHuhSq3AJ5eI5OnqOPBNLWSHKh2a30DoXe8/edit?usp=sharing"",""ชุมพร!I506"")"),100.0)</f>
        <v>100</v>
      </c>
      <c r="J611" s="195">
        <f>IFERROR(__xludf.DUMMYFUNCTION("IMPORTRANGE(""https://docs.google.com/spreadsheets/d/1IYY_tgx_IHuhSq3AJ5eI5OnqOPBNLWSHKh2a30DoXe8/edit?usp=sharing"",""ชุมพร!J506"")"),0.0)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IFERROR(__xludf.DUMMYFUNCTION("IMPORTRANGE(""https://docs.google.com/spreadsheets/d/1IYY_tgx_IHuhSq3AJ5eI5OnqOPBNLWSHKh2a30DoXe8/edit?usp=sharing"",""ชุมพร!I507"")"),0.0)</f>
        <v>0</v>
      </c>
      <c r="J612" s="232">
        <f>IFERROR(__xludf.DUMMYFUNCTION("IMPORTRANGE(""https://docs.google.com/spreadsheets/d/1IYY_tgx_IHuhSq3AJ5eI5OnqOPBNLWSHKh2a30DoXe8/edit?usp=sharing"",""ชุมพร!J507"")"),0.0)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IFERROR(__xludf.DUMMYFUNCTION("IMPORTRANGE(""https://docs.google.com/spreadsheets/d/1IYY_tgx_IHuhSq3AJ5eI5OnqOPBNLWSHKh2a30DoXe8/edit?usp=sharing"",""ชุมพร!I508"")"),0.0)</f>
        <v>0</v>
      </c>
      <c r="J613" s="232">
        <f>IFERROR(__xludf.DUMMYFUNCTION("IMPORTRANGE(""https://docs.google.com/spreadsheets/d/1IYY_tgx_IHuhSq3AJ5eI5OnqOPBNLWSHKh2a30DoXe8/edit?usp=sharing"",""ชุมพร!J508"")"),0.0)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IFERROR(__xludf.DUMMYFUNCTION("IMPORTRANGE(""https://docs.google.com/spreadsheets/d/1IYY_tgx_IHuhSq3AJ5eI5OnqOPBNLWSHKh2a30DoXe8/edit?usp=sharing"",""ชุมพร!I509"")"),0.0)</f>
        <v>0</v>
      </c>
      <c r="J614" s="232">
        <f>IFERROR(__xludf.DUMMYFUNCTION("IMPORTRANGE(""https://docs.google.com/spreadsheets/d/1IYY_tgx_IHuhSq3AJ5eI5OnqOPBNLWSHKh2a30DoXe8/edit?usp=sharing"",""ชุมพร!J509"")"),0.0)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IFERROR(__xludf.DUMMYFUNCTION("IMPORTRANGE(""https://docs.google.com/spreadsheets/d/1IYY_tgx_IHuhSq3AJ5eI5OnqOPBNLWSHKh2a30DoXe8/edit?usp=sharing"",""ชุมพร!I510"")"),0.0)</f>
        <v>0</v>
      </c>
      <c r="J615" s="232">
        <f>IFERROR(__xludf.DUMMYFUNCTION("IMPORTRANGE(""https://docs.google.com/spreadsheets/d/1IYY_tgx_IHuhSq3AJ5eI5OnqOPBNLWSHKh2a30DoXe8/edit?usp=sharing"",""ชุมพร!J510"")"),0.0)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IFERROR(__xludf.DUMMYFUNCTION("IMPORTRANGE(""https://docs.google.com/spreadsheets/d/1IYY_tgx_IHuhSq3AJ5eI5OnqOPBNLWSHKh2a30DoXe8/edit?usp=sharing"",""ชุมพร!I511"")"),0.0)</f>
        <v>0</v>
      </c>
      <c r="J616" s="232">
        <f>IFERROR(__xludf.DUMMYFUNCTION("IMPORTRANGE(""https://docs.google.com/spreadsheets/d/1IYY_tgx_IHuhSq3AJ5eI5OnqOPBNLWSHKh2a30DoXe8/edit?usp=sharing"",""ชุมพร!J511"")"),0.0)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IFERROR(__xludf.DUMMYFUNCTION("IMPORTRANGE(""https://docs.google.com/spreadsheets/d/1IYY_tgx_IHuhSq3AJ5eI5OnqOPBNLWSHKh2a30DoXe8/edit?usp=sharing"",""ชุมพร!I512"")"),0.0)</f>
        <v>0</v>
      </c>
      <c r="J617" s="222">
        <f>IFERROR(__xludf.DUMMYFUNCTION("IMPORTRANGE(""https://docs.google.com/spreadsheets/d/1IYY_tgx_IHuhSq3AJ5eI5OnqOPBNLWSHKh2a30DoXe8/edit?usp=sharing"",""ชุมพร!J512"")"),0.0)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IFERROR(__xludf.DUMMYFUNCTION("IMPORTRANGE(""https://docs.google.com/spreadsheets/d/1IYY_tgx_IHuhSq3AJ5eI5OnqOPBNLWSHKh2a30DoXe8/edit?usp=sharing"",""ชุมพร!I513"")"),0.0)</f>
        <v>0</v>
      </c>
      <c r="J618" s="223">
        <f>IFERROR(__xludf.DUMMYFUNCTION("IMPORTRANGE(""https://docs.google.com/spreadsheets/d/1IYY_tgx_IHuhSq3AJ5eI5OnqOPBNLWSHKh2a30DoXe8/edit?usp=sharing"",""ชุมพร!J513"")"),0.0)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IFERROR(__xludf.DUMMYFUNCTION("IMPORTRANGE(""https://docs.google.com/spreadsheets/d/1IYY_tgx_IHuhSq3AJ5eI5OnqOPBNLWSHKh2a30DoXe8/edit?usp=sharing"",""ชุมพร!I514"")"),0.0)</f>
        <v>0</v>
      </c>
      <c r="J619" s="223">
        <f>IFERROR(__xludf.DUMMYFUNCTION("IMPORTRANGE(""https://docs.google.com/spreadsheets/d/1IYY_tgx_IHuhSq3AJ5eI5OnqOPBNLWSHKh2a30DoXe8/edit?usp=sharing"",""ชุมพร!J514"")"),0.0)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IFERROR(__xludf.DUMMYFUNCTION("IMPORTRANGE(""https://docs.google.com/spreadsheets/d/1IYY_tgx_IHuhSq3AJ5eI5OnqOPBNLWSHKh2a30DoXe8/edit?usp=sharing"",""ชุมพร!I515"")"),0.0)</f>
        <v>0</v>
      </c>
      <c r="J620" s="237">
        <f>IFERROR(__xludf.DUMMYFUNCTION("IMPORTRANGE(""https://docs.google.com/spreadsheets/d/1IYY_tgx_IHuhSq3AJ5eI5OnqOPBNLWSHKh2a30DoXe8/edit?usp=sharing"",""ชุมพร!J515"")"),0.0)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IFERROR(__xludf.DUMMYFUNCTION("IMPORTRANGE(""https://docs.google.com/spreadsheets/d/1IYY_tgx_IHuhSq3AJ5eI5OnqOPBNLWSHKh2a30DoXe8/edit?usp=sharing"",""ชุมพร!I516"")"),0.0)</f>
        <v>0</v>
      </c>
      <c r="J621" s="237">
        <f>IFERROR(__xludf.DUMMYFUNCTION("IMPORTRANGE(""https://docs.google.com/spreadsheets/d/1IYY_tgx_IHuhSq3AJ5eI5OnqOPBNLWSHKh2a30DoXe8/edit?usp=sharing"",""ชุมพร!J516"")"),0.0)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IFERROR(__xludf.DUMMYFUNCTION("IMPORTRANGE(""https://docs.google.com/spreadsheets/d/1IYY_tgx_IHuhSq3AJ5eI5OnqOPBNLWSHKh2a30DoXe8/edit?usp=sharing"",""ชุมพร!I517"")"),0.0)</f>
        <v>0</v>
      </c>
      <c r="J622" s="223">
        <f>IFERROR(__xludf.DUMMYFUNCTION("IMPORTRANGE(""https://docs.google.com/spreadsheets/d/1IYY_tgx_IHuhSq3AJ5eI5OnqOPBNLWSHKh2a30DoXe8/edit?usp=sharing"",""ชุมพร!J517"")"),0.0)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IFERROR(__xludf.DUMMYFUNCTION("IMPORTRANGE(""https://docs.google.com/spreadsheets/d/1IYY_tgx_IHuhSq3AJ5eI5OnqOPBNLWSHKh2a30DoXe8/edit?usp=sharing"",""ชุมพร!I518"")"),0.0)</f>
        <v>0</v>
      </c>
      <c r="J623" s="223">
        <f>IFERROR(__xludf.DUMMYFUNCTION("IMPORTRANGE(""https://docs.google.com/spreadsheets/d/1IYY_tgx_IHuhSq3AJ5eI5OnqOPBNLWSHKh2a30DoXe8/edit?usp=sharing"",""ชุมพร!J518"")"),0.0)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IFERROR(__xludf.DUMMYFUNCTION("IMPORTRANGE(""https://docs.google.com/spreadsheets/d/1IYY_tgx_IHuhSq3AJ5eI5OnqOPBNLWSHKh2a30DoXe8/edit?usp=sharing"",""ชุมพร!I519"")"),0.0)</f>
        <v>0</v>
      </c>
      <c r="J624" s="222">
        <f>IFERROR(__xludf.DUMMYFUNCTION("IMPORTRANGE(""https://docs.google.com/spreadsheets/d/1IYY_tgx_IHuhSq3AJ5eI5OnqOPBNLWSHKh2a30DoXe8/edit?usp=sharing"",""ชุมพร!J519"")"),0.0)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IFERROR(__xludf.DUMMYFUNCTION("IMPORTRANGE(""https://docs.google.com/spreadsheets/d/1IYY_tgx_IHuhSq3AJ5eI5OnqOPBNLWSHKh2a30DoXe8/edit?usp=sharing"",""ชุมพร!I520"")"),0.0)</f>
        <v>0</v>
      </c>
      <c r="J625" s="223">
        <f>IFERROR(__xludf.DUMMYFUNCTION("IMPORTRANGE(""https://docs.google.com/spreadsheets/d/1IYY_tgx_IHuhSq3AJ5eI5OnqOPBNLWSHKh2a30DoXe8/edit?usp=sharing"",""ชุมพร!J520"")"),0.0)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IFERROR(__xludf.DUMMYFUNCTION("IMPORTRANGE(""https://docs.google.com/spreadsheets/d/1IYY_tgx_IHuhSq3AJ5eI5OnqOPBNLWSHKh2a30DoXe8/edit?usp=sharing"",""ชุมพร!I521"")"),0.0)</f>
        <v>0</v>
      </c>
      <c r="J626" s="223">
        <f>IFERROR(__xludf.DUMMYFUNCTION("IMPORTRANGE(""https://docs.google.com/spreadsheets/d/1IYY_tgx_IHuhSq3AJ5eI5OnqOPBNLWSHKh2a30DoXe8/edit?usp=sharing"",""ชุมพร!J521"")"),0.0)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IFERROR(__xludf.DUMMYFUNCTION("IMPORTRANGE(""https://docs.google.com/spreadsheets/d/1IYY_tgx_IHuhSq3AJ5eI5OnqOPBNLWSHKh2a30DoXe8/edit?usp=sharing"",""ชุมพร!I523"")"),996730.61)</f>
        <v>996730.61</v>
      </c>
      <c r="J628" s="374">
        <f>IFERROR(__xludf.DUMMYFUNCTION("IMPORTRANGE(""https://docs.google.com/spreadsheets/d/1IYY_tgx_IHuhSq3AJ5eI5OnqOPBNLWSHKh2a30DoXe8/edit?usp=sharing"",""ชุมพร!J523"")"),0.0)</f>
        <v>0</v>
      </c>
      <c r="K628" s="375">
        <f t="shared" ref="K628:K635" si="130">IF(I628&gt;0,J628*100/I628,0)</f>
        <v>0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IFERROR(__xludf.DUMMYFUNCTION("IMPORTRANGE(""https://docs.google.com/spreadsheets/d/1IYY_tgx_IHuhSq3AJ5eI5OnqOPBNLWSHKh2a30DoXe8/edit?usp=sharing"",""ชุมพร!I524"")"),100.0)</f>
        <v>100</v>
      </c>
      <c r="J629" s="374">
        <f>IFERROR(__xludf.DUMMYFUNCTION("IMPORTRANGE(""https://docs.google.com/spreadsheets/d/1IYY_tgx_IHuhSq3AJ5eI5OnqOPBNLWSHKh2a30DoXe8/edit?usp=sharing"",""ชุมพร!J524"")"),0.0)</f>
        <v>0</v>
      </c>
      <c r="K629" s="375">
        <f t="shared" si="130"/>
        <v>0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IFERROR(__xludf.DUMMYFUNCTION("IMPORTRANGE(""https://docs.google.com/spreadsheets/d/1IYY_tgx_IHuhSq3AJ5eI5OnqOPBNLWSHKh2a30DoXe8/edit?usp=sharing"",""ชุมพร!I525"")"),670056.96)</f>
        <v>670056.96</v>
      </c>
      <c r="J630" s="374">
        <f>IFERROR(__xludf.DUMMYFUNCTION("IMPORTRANGE(""https://docs.google.com/spreadsheets/d/1IYY_tgx_IHuhSq3AJ5eI5OnqOPBNLWSHKh2a30DoXe8/edit?usp=sharing"",""ชุมพร!J525"")"),416972.11)</f>
        <v>416972.11</v>
      </c>
      <c r="K630" s="375">
        <f t="shared" si="130"/>
        <v>62.22935286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IFERROR(__xludf.DUMMYFUNCTION("IMPORTRANGE(""https://docs.google.com/spreadsheets/d/1IYY_tgx_IHuhSq3AJ5eI5OnqOPBNLWSHKh2a30DoXe8/edit?usp=sharing"",""ชุมพร!I526"")"),27.0)</f>
        <v>27</v>
      </c>
      <c r="J631" s="374">
        <f>IFERROR(__xludf.DUMMYFUNCTION("IMPORTRANGE(""https://docs.google.com/spreadsheets/d/1IYY_tgx_IHuhSq3AJ5eI5OnqOPBNLWSHKh2a30DoXe8/edit?usp=sharing"",""ชุมพร!J526"")"),18.0)</f>
        <v>18</v>
      </c>
      <c r="K631" s="375">
        <f t="shared" si="130"/>
        <v>66.66666667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IFERROR(__xludf.DUMMYFUNCTION("IMPORTRANGE(""https://docs.google.com/spreadsheets/d/1IYY_tgx_IHuhSq3AJ5eI5OnqOPBNLWSHKh2a30DoXe8/edit?usp=sharing"",""ชุมพร!I527"")"),0.0)</f>
        <v>0</v>
      </c>
      <c r="J632" s="374">
        <f>IFERROR(__xludf.DUMMYFUNCTION("IMPORTRANGE(""https://docs.google.com/spreadsheets/d/1IYY_tgx_IHuhSq3AJ5eI5OnqOPBNLWSHKh2a30DoXe8/edit?usp=sharing"",""ชุมพร!J527"")"),0.0)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IFERROR(__xludf.DUMMYFUNCTION("IMPORTRANGE(""https://docs.google.com/spreadsheets/d/1IYY_tgx_IHuhSq3AJ5eI5OnqOPBNLWSHKh2a30DoXe8/edit?usp=sharing"",""ชุมพร!I528"")"),0.0)</f>
        <v>0</v>
      </c>
      <c r="J633" s="374">
        <f>IFERROR(__xludf.DUMMYFUNCTION("IMPORTRANGE(""https://docs.google.com/spreadsheets/d/1IYY_tgx_IHuhSq3AJ5eI5OnqOPBNLWSHKh2a30DoXe8/edit?usp=sharing"",""ชุมพร!J528"")"),0.0)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IFERROR(__xludf.DUMMYFUNCTION("IMPORTRANGE(""https://docs.google.com/spreadsheets/d/1IYY_tgx_IHuhSq3AJ5eI5OnqOPBNLWSHKh2a30DoXe8/edit?usp=sharing"",""ชุมพร!I529"")"),450000.0)</f>
        <v>450000</v>
      </c>
      <c r="J634" s="374">
        <f>IFERROR(__xludf.DUMMYFUNCTION("IMPORTRANGE(""https://docs.google.com/spreadsheets/d/1IYY_tgx_IHuhSq3AJ5eI5OnqOPBNLWSHKh2a30DoXe8/edit?usp=sharing"",""ชุมพร!J529"")"),0.0)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IFERROR(__xludf.DUMMYFUNCTION("IMPORTRANGE(""https://docs.google.com/spreadsheets/d/1IYY_tgx_IHuhSq3AJ5eI5OnqOPBNLWSHKh2a30DoXe8/edit?usp=sharing"",""ชุมพร!I530"")"),15.0)</f>
        <v>15</v>
      </c>
      <c r="J635" s="544">
        <f>IFERROR(__xludf.DUMMYFUNCTION("IMPORTRANGE(""https://docs.google.com/spreadsheets/d/1IYY_tgx_IHuhSq3AJ5eI5OnqOPBNLWSHKh2a30DoXe8/edit?usp=sharing"",""ชุมพร!J530"")"),0.0)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243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3840373</v>
      </c>
      <c r="M8" s="41">
        <f t="shared" si="1"/>
        <v>1280105</v>
      </c>
      <c r="N8" s="41">
        <f t="shared" si="1"/>
        <v>1151127.98</v>
      </c>
      <c r="O8" s="40">
        <f t="shared" ref="O8:O16" si="3">IF(L8&gt;0,N8*100/L8,0)</f>
        <v>29.97437957</v>
      </c>
      <c r="P8" s="40">
        <f t="shared" ref="P8:P16" si="4">IF(M8&gt;0,N8*100/M8,0)</f>
        <v>89.92449682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3840373</v>
      </c>
      <c r="M10" s="48">
        <f t="shared" si="5"/>
        <v>1280105</v>
      </c>
      <c r="N10" s="48">
        <f t="shared" si="5"/>
        <v>1151127.98</v>
      </c>
      <c r="O10" s="47">
        <f t="shared" si="3"/>
        <v>29.97437957</v>
      </c>
      <c r="P10" s="47">
        <f t="shared" si="4"/>
        <v>89.92449682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3596773</v>
      </c>
      <c r="M12" s="58">
        <f t="shared" si="7"/>
        <v>1280105</v>
      </c>
      <c r="N12" s="58">
        <f t="shared" si="7"/>
        <v>907527.98</v>
      </c>
      <c r="O12" s="58">
        <f t="shared" si="3"/>
        <v>25.231728</v>
      </c>
      <c r="P12" s="58">
        <f t="shared" si="4"/>
        <v>70.89480785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1786300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1810473</v>
      </c>
      <c r="M14" s="58">
        <f t="shared" si="9"/>
        <v>0</v>
      </c>
      <c r="N14" s="58">
        <f t="shared" si="9"/>
        <v>194475.98</v>
      </c>
      <c r="O14" s="61">
        <f t="shared" si="3"/>
        <v>10.74172219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243600</v>
      </c>
      <c r="M16" s="58">
        <f t="shared" si="11"/>
        <v>0</v>
      </c>
      <c r="N16" s="58">
        <f t="shared" si="11"/>
        <v>243600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2653275</v>
      </c>
      <c r="M18" s="41">
        <f t="shared" si="12"/>
        <v>1280105</v>
      </c>
      <c r="N18" s="41">
        <f t="shared" si="12"/>
        <v>956652</v>
      </c>
      <c r="O18" s="40">
        <f t="shared" ref="O18:O20" si="14">IF(L18&gt;0,N18*100/L18,0)</f>
        <v>36.0555163</v>
      </c>
      <c r="P18" s="40">
        <f t="shared" ref="P18:P26" si="15">IF(M18&gt;0,N18*100/M18,0)</f>
        <v>74.73230712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2653275</v>
      </c>
      <c r="M20" s="48">
        <f t="shared" si="16"/>
        <v>1280105</v>
      </c>
      <c r="N20" s="48">
        <f t="shared" si="16"/>
        <v>956652</v>
      </c>
      <c r="O20" s="47">
        <f t="shared" si="14"/>
        <v>36.0555163</v>
      </c>
      <c r="P20" s="47">
        <f t="shared" si="15"/>
        <v>74.73230712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2409675</v>
      </c>
      <c r="M22" s="62">
        <f t="shared" si="18"/>
        <v>1280105</v>
      </c>
      <c r="N22" s="61">
        <f t="shared" si="18"/>
        <v>713052</v>
      </c>
      <c r="O22" s="61">
        <f t="shared" si="19"/>
        <v>29.59121043</v>
      </c>
      <c r="P22" s="61">
        <f t="shared" si="15"/>
        <v>55.70261814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1786300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623375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243600</v>
      </c>
      <c r="M26" s="70">
        <f t="shared" si="23"/>
        <v>0</v>
      </c>
      <c r="N26" s="70">
        <f t="shared" si="23"/>
        <v>243600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1187098</v>
      </c>
      <c r="M28" s="41">
        <f t="shared" si="24"/>
        <v>0</v>
      </c>
      <c r="N28" s="41">
        <f t="shared" si="24"/>
        <v>194475.98</v>
      </c>
      <c r="O28" s="40">
        <f t="shared" ref="O28:O30" si="26">IF(L28&gt;0,N28*100/L28,0)</f>
        <v>16.38247053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1187098</v>
      </c>
      <c r="M30" s="48">
        <f t="shared" si="28"/>
        <v>0</v>
      </c>
      <c r="N30" s="48">
        <f t="shared" si="28"/>
        <v>194475.98</v>
      </c>
      <c r="O30" s="47">
        <f t="shared" si="26"/>
        <v>16.38247053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1187098</v>
      </c>
      <c r="M32" s="61">
        <f t="shared" si="30"/>
        <v>0</v>
      </c>
      <c r="N32" s="61">
        <f t="shared" si="30"/>
        <v>194475.98</v>
      </c>
      <c r="O32" s="61">
        <f t="shared" si="31"/>
        <v>16.38247053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1187098</v>
      </c>
      <c r="M34" s="61">
        <f t="shared" si="33"/>
        <v>0</v>
      </c>
      <c r="N34" s="61">
        <f t="shared" si="33"/>
        <v>194475.98</v>
      </c>
      <c r="O34" s="61">
        <f t="shared" si="31"/>
        <v>16.38247053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2653275</v>
      </c>
      <c r="M37" s="75">
        <f t="shared" si="34"/>
        <v>1280105</v>
      </c>
      <c r="N37" s="75">
        <f t="shared" si="34"/>
        <v>956652</v>
      </c>
      <c r="O37" s="76">
        <f t="shared" si="31"/>
        <v>36.0555163</v>
      </c>
      <c r="P37" s="76">
        <f t="shared" si="27"/>
        <v>74.73230712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726100</v>
      </c>
      <c r="M41" s="102">
        <f t="shared" si="35"/>
        <v>363000</v>
      </c>
      <c r="N41" s="102">
        <f t="shared" si="35"/>
        <v>265673</v>
      </c>
      <c r="O41" s="101">
        <f t="shared" ref="O41:O43" si="37">IF(L41&gt;0,N41*100/L41,0)</f>
        <v>36.58903732</v>
      </c>
      <c r="P41" s="101">
        <f t="shared" ref="P41:P43" si="38">IF(M41&gt;0,N41*100/M41,0)</f>
        <v>73.18815427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726100</v>
      </c>
      <c r="M43" s="102">
        <f t="shared" si="39"/>
        <v>363000</v>
      </c>
      <c r="N43" s="102">
        <f t="shared" si="39"/>
        <v>265673</v>
      </c>
      <c r="O43" s="101">
        <f t="shared" si="37"/>
        <v>36.58903732</v>
      </c>
      <c r="P43" s="101">
        <f t="shared" si="38"/>
        <v>73.18815427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726100</v>
      </c>
      <c r="M45" s="115">
        <f>IFERROR(__xludf.DUMMYFUNCTION("IMPORTRANGE(""https://docs.google.com/spreadsheets/d/1Yj_ptqi66GCucihVvJfMjLAmec39IyEx_6qawtMGysU/edit?usp=sharing"",""สบก!Q83"")"),363000.0)</f>
        <v>363000</v>
      </c>
      <c r="N45" s="115">
        <f>IFERROR(__xludf.DUMMYFUNCTION("IMPORTRANGE(""https://docs.google.com/spreadsheets/d/1Yj_ptqi66GCucihVvJfMjLAmec39IyEx_6qawtMGysU/edit?usp=sharing"",""สบก!R83"")"),265673.0)</f>
        <v>265673</v>
      </c>
      <c r="O45" s="116">
        <f>IF(L45&gt;0,N45*100/L45,0)</f>
        <v>36.58903732</v>
      </c>
      <c r="P45" s="116">
        <f>IF(M45&gt;0,N45*100/M45,0)</f>
        <v>73.18815427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IFERROR(__xludf.DUMMYFUNCTION("IMPORTRANGE(""https://docs.google.com/spreadsheets/d/1Yj_ptqi66GCucihVvJfMjLAmec39IyEx_6qawtMGysU/edit?usp=sharing"",""สบก!M83"")"),726100.0)</f>
        <v>726100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IFERROR(__xludf.DUMMYFUNCTION("IMPORTRANGE(""https://docs.google.com/spreadsheets/d/1Yj_ptqi66GCucihVvJfMjLAmec39IyEx_6qawtMGysU/edit?usp=sharing"",""สบก!N83"")"),0.0)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IFERROR(__xludf.DUMMYFUNCTION("IMPORTRANGE(""https://docs.google.com/spreadsheets/d/1Yj_ptqi66GCucihVvJfMjLAmec39IyEx_6qawtMGysU/edit?usp=sharing"",""สบก!O83"")"),0.0)</f>
        <v>0</v>
      </c>
      <c r="M49" s="125"/>
      <c r="N49" s="115">
        <f>IFERROR(__xludf.DUMMYFUNCTION("IMPORTRANGE(""https://docs.google.com/spreadsheets/d/1Yj_ptqi66GCucihVvJfMjLAmec39IyEx_6qawtMGysU/edit?usp=sharing"",""สบก!S83"")"),0.0)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340000</v>
      </c>
      <c r="M53" s="151">
        <f t="shared" si="40"/>
        <v>179000</v>
      </c>
      <c r="N53" s="151">
        <f t="shared" si="40"/>
        <v>130623</v>
      </c>
      <c r="O53" s="150">
        <f t="shared" ref="O53:O55" si="42">IF(L53&gt;0,N53*100/L53,0)</f>
        <v>38.41852941</v>
      </c>
      <c r="P53" s="150">
        <f t="shared" ref="P53:P55" si="43">IF(M53&gt;0,N53*100/M53,0)</f>
        <v>72.97374302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340000</v>
      </c>
      <c r="M55" s="151">
        <f t="shared" si="44"/>
        <v>179000</v>
      </c>
      <c r="N55" s="151">
        <f t="shared" si="44"/>
        <v>130623</v>
      </c>
      <c r="O55" s="150">
        <f t="shared" si="42"/>
        <v>38.41852941</v>
      </c>
      <c r="P55" s="150">
        <f t="shared" si="43"/>
        <v>72.97374302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340000</v>
      </c>
      <c r="M57" s="115">
        <f>IFERROR(__xludf.DUMMYFUNCTION("IMPORTRANGE(""https://docs.google.com/spreadsheets/d/1Yj_ptqi66GCucihVvJfMjLAmec39IyEx_6qawtMGysU/edit?usp=sharing"",""สบก!Z83"")"),179000.0)</f>
        <v>179000</v>
      </c>
      <c r="N57" s="115">
        <f>IFERROR(__xludf.DUMMYFUNCTION("IMPORTRANGE(""https://docs.google.com/spreadsheets/d/1Yj_ptqi66GCucihVvJfMjLAmec39IyEx_6qawtMGysU/edit?usp=sharing"",""สบก!AA83"")"),130623.0)</f>
        <v>130623</v>
      </c>
      <c r="O57" s="116">
        <f>IF(L57&gt;0,N57*100/L57,0)</f>
        <v>38.41852941</v>
      </c>
      <c r="P57" s="116">
        <f>IF(M57&gt;0,N57*100/M57,0)</f>
        <v>72.97374302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IFERROR(__xludf.DUMMYFUNCTION("IMPORTRANGE(""https://docs.google.com/spreadsheets/d/1Yj_ptqi66GCucihVvJfMjLAmec39IyEx_6qawtMGysU/edit?usp=sharing"",""สบก!V83"")"),340000.0)</f>
        <v>340000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IFERROR(__xludf.DUMMYFUNCTION("IMPORTRANGE(""https://docs.google.com/spreadsheets/d/1Yj_ptqi66GCucihVvJfMjLAmec39IyEx_6qawtMGysU/edit?usp=sharing"",""สบก!W83"")"),0.0)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IFERROR(__xludf.DUMMYFUNCTION("IMPORTRANGE(""https://docs.google.com/spreadsheets/d/1Yj_ptqi66GCucihVvJfMjLAmec39IyEx_6qawtMGysU/edit?usp=sharing"",""สบก!X83"")"),0.0)</f>
        <v>0</v>
      </c>
      <c r="M61" s="125"/>
      <c r="N61" s="115">
        <f>IFERROR(__xludf.DUMMYFUNCTION("IMPORTRANGE(""https://docs.google.com/spreadsheets/d/1Yj_ptqi66GCucihVvJfMjLAmec39IyEx_6qawtMGysU/edit?usp=sharing"",""สบก!AB83"")"),0.0)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IFERROR(__xludf.DUMMYFUNCTION("IMPORTRANGE(""https://docs.google.com/spreadsheets/d/1IYY_tgx_IHuhSq3AJ5eI5OnqOPBNLWSHKh2a30DoXe8/edit?usp=sharing"",""ตรัง!I9"")"),0.0)</f>
        <v>0</v>
      </c>
      <c r="J64" s="172">
        <f>IFERROR(__xludf.DUMMYFUNCTION("IMPORTRANGE(""https://docs.google.com/spreadsheets/d/1IYY_tgx_IHuhSq3AJ5eI5OnqOPBNLWSHKh2a30DoXe8/edit?usp=sharing"",""ตรัง!J9"")"),0.0)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IFERROR(__xludf.DUMMYFUNCTION("IMPORTRANGE(""https://docs.google.com/spreadsheets/d/1IYY_tgx_IHuhSq3AJ5eI5OnqOPBNLWSHKh2a30DoXe8/edit?usp=sharing"",""ตรัง!I10"")"),0.0)</f>
        <v>0</v>
      </c>
      <c r="J65" s="172">
        <f>IFERROR(__xludf.DUMMYFUNCTION("IMPORTRANGE(""https://docs.google.com/spreadsheets/d/1IYY_tgx_IHuhSq3AJ5eI5OnqOPBNLWSHKh2a30DoXe8/edit?usp=sharing"",""ตรัง!J10"")"),0.0)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IFERROR(__xludf.DUMMYFUNCTION("IMPORTRANGE(""https://docs.google.com/spreadsheets/d/1Yj_ptqi66GCucihVvJfMjLAmec39IyEx_6qawtMGysU/edit?usp=sharing"",""สบก!AI83"")"),0.0)</f>
        <v>0</v>
      </c>
      <c r="N70" s="202">
        <f>IFERROR(__xludf.DUMMYFUNCTION("IMPORTRANGE(""https://docs.google.com/spreadsheets/d/1Yj_ptqi66GCucihVvJfMjLAmec39IyEx_6qawtMGysU/edit?usp=sharing"",""สบก!AJ83"")"),0.0)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IFERROR(__xludf.DUMMYFUNCTION("IMPORTRANGE(""https://docs.google.com/spreadsheets/d/1Yj_ptqi66GCucihVvJfMjLAmec39IyEx_6qawtMGysU/edit?usp=sharing"",""สบก!AE83"")"),0.0)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IFERROR(__xludf.DUMMYFUNCTION("IMPORTRANGE(""https://docs.google.com/spreadsheets/d/1Yj_ptqi66GCucihVvJfMjLAmec39IyEx_6qawtMGysU/edit?usp=sharing"",""สบก!AF83"")"),0.0)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IFERROR(__xludf.DUMMYFUNCTION("IMPORTRANGE(""https://docs.google.com/spreadsheets/d/1Yj_ptqi66GCucihVvJfMjLAmec39IyEx_6qawtMGysU/edit?usp=sharing"",""สบก!AG83"")"),0.0)</f>
        <v>0</v>
      </c>
      <c r="M74" s="125"/>
      <c r="N74" s="115">
        <f>IFERROR(__xludf.DUMMYFUNCTION("IMPORTRANGE(""https://docs.google.com/spreadsheets/d/1Yj_ptqi66GCucihVvJfMjLAmec39IyEx_6qawtMGysU/edit?usp=sharing"",""สบก!AK83"")"),0.0)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IFERROR(__xludf.DUMMYFUNCTION("IMPORTRANGE(""https://docs.google.com/spreadsheets/d/1IYY_tgx_IHuhSq3AJ5eI5OnqOPBNLWSHKh2a30DoXe8/edit?usp=sharing"",""ตรัง!J16"")"),0.0)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IFERROR(__xludf.DUMMYFUNCTION("IMPORTRANGE(""https://docs.google.com/spreadsheets/d/1IYY_tgx_IHuhSq3AJ5eI5OnqOPBNLWSHKh2a30DoXe8/edit?usp=sharing"",""ตรัง!J17"")"),0.0)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IFERROR(__xludf.DUMMYFUNCTION("IMPORTRANGE(""https://docs.google.com/spreadsheets/d/1IYY_tgx_IHuhSq3AJ5eI5OnqOPBNLWSHKh2a30DoXe8/edit?usp=sharing"",""ตรัง!J18"")"),0.0)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IFERROR(__xludf.DUMMYFUNCTION("IMPORTRANGE(""https://docs.google.com/spreadsheets/d/1IYY_tgx_IHuhSq3AJ5eI5OnqOPBNLWSHKh2a30DoXe8/edit?usp=sharing"",""ตรัง!J19"")"),0.0)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IFERROR(__xludf.DUMMYFUNCTION("IMPORTRANGE(""https://docs.google.com/spreadsheets/d/1IYY_tgx_IHuhSq3AJ5eI5OnqOPBNLWSHKh2a30DoXe8/edit?usp=sharing"",""ตรัง!I20"")"),0.0)</f>
        <v>0</v>
      </c>
      <c r="J80" s="235">
        <f>IFERROR(__xludf.DUMMYFUNCTION("IMPORTRANGE(""https://docs.google.com/spreadsheets/d/1IYY_tgx_IHuhSq3AJ5eI5OnqOPBNLWSHKh2a30DoXe8/edit?usp=sharing"",""ตรัง!J20"")"),0.0)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IFERROR(__xludf.DUMMYFUNCTION("IMPORTRANGE(""https://docs.google.com/spreadsheets/d/1IYY_tgx_IHuhSq3AJ5eI5OnqOPBNLWSHKh2a30DoXe8/edit?usp=sharing"",""ตรัง!I21"")"),0.0)</f>
        <v>0</v>
      </c>
      <c r="J81" s="235">
        <f>IFERROR(__xludf.DUMMYFUNCTION("IMPORTRANGE(""https://docs.google.com/spreadsheets/d/1IYY_tgx_IHuhSq3AJ5eI5OnqOPBNLWSHKh2a30DoXe8/edit?usp=sharing"",""ตรัง!J21"")"),0.0)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IFERROR(__xludf.DUMMYFUNCTION("IMPORTRANGE(""https://docs.google.com/spreadsheets/d/1IYY_tgx_IHuhSq3AJ5eI5OnqOPBNLWSHKh2a30DoXe8/edit?usp=sharing"",""ตรัง!I22"")"),0.0)</f>
        <v>0</v>
      </c>
      <c r="J82" s="238">
        <f>IFERROR(__xludf.DUMMYFUNCTION("IMPORTRANGE(""https://docs.google.com/spreadsheets/d/1IYY_tgx_IHuhSq3AJ5eI5OnqOPBNLWSHKh2a30DoXe8/edit?usp=sharing"",""ตรัง!J22"")"),0.0)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IFERROR(__xludf.DUMMYFUNCTION("IMPORTRANGE(""https://docs.google.com/spreadsheets/d/1IYY_tgx_IHuhSq3AJ5eI5OnqOPBNLWSHKh2a30DoXe8/edit?usp=sharing"",""ตรัง!I23"")"),0.0)</f>
        <v>0</v>
      </c>
      <c r="J83" s="238">
        <f>IFERROR(__xludf.DUMMYFUNCTION("IMPORTRANGE(""https://docs.google.com/spreadsheets/d/1IYY_tgx_IHuhSq3AJ5eI5OnqOPBNLWSHKh2a30DoXe8/edit?usp=sharing"",""ตรัง!J23"")"),0.0)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IFERROR(__xludf.DUMMYFUNCTION("IMPORTRANGE(""https://docs.google.com/spreadsheets/d/1IYY_tgx_IHuhSq3AJ5eI5OnqOPBNLWSHKh2a30DoXe8/edit?usp=sharing"",""ตรัง!I24"")"),0.0)</f>
        <v>0</v>
      </c>
      <c r="J84" s="223">
        <f>IFERROR(__xludf.DUMMYFUNCTION("IMPORTRANGE(""https://docs.google.com/spreadsheets/d/1IYY_tgx_IHuhSq3AJ5eI5OnqOPBNLWSHKh2a30DoXe8/edit?usp=sharing"",""ตรัง!J24"")"),0.0)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IFERROR(__xludf.DUMMYFUNCTION("IMPORTRANGE(""https://docs.google.com/spreadsheets/d/1IYY_tgx_IHuhSq3AJ5eI5OnqOPBNLWSHKh2a30DoXe8/edit?usp=sharing"",""ตรัง!I25"")"),0.0)</f>
        <v>0</v>
      </c>
      <c r="J85" s="223">
        <f>IFERROR(__xludf.DUMMYFUNCTION("IMPORTRANGE(""https://docs.google.com/spreadsheets/d/1IYY_tgx_IHuhSq3AJ5eI5OnqOPBNLWSHKh2a30DoXe8/edit?usp=sharing"",""ตรัง!J25"")"),0.0)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IFERROR(__xludf.DUMMYFUNCTION("IMPORTRANGE(""https://docs.google.com/spreadsheets/d/1IYY_tgx_IHuhSq3AJ5eI5OnqOPBNLWSHKh2a30DoXe8/edit?usp=sharing"",""ตรัง!I26"")"),0.0)</f>
        <v>0</v>
      </c>
      <c r="J86" s="238">
        <f>IFERROR(__xludf.DUMMYFUNCTION("IMPORTRANGE(""https://docs.google.com/spreadsheets/d/1IYY_tgx_IHuhSq3AJ5eI5OnqOPBNLWSHKh2a30DoXe8/edit?usp=sharing"",""ตรัง!J26"")"),0.0)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IFERROR(__xludf.DUMMYFUNCTION("IMPORTRANGE(""https://docs.google.com/spreadsheets/d/1IYY_tgx_IHuhSq3AJ5eI5OnqOPBNLWSHKh2a30DoXe8/edit?usp=sharing"",""ตรัง!I27"")"),0.0)</f>
        <v>0</v>
      </c>
      <c r="J87" s="238">
        <f>IFERROR(__xludf.DUMMYFUNCTION("IMPORTRANGE(""https://docs.google.com/spreadsheets/d/1IYY_tgx_IHuhSq3AJ5eI5OnqOPBNLWSHKh2a30DoXe8/edit?usp=sharing"",""ตรัง!J27"")"),0.0)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IFERROR(__xludf.DUMMYFUNCTION("IMPORTRANGE(""https://docs.google.com/spreadsheets/d/1IYY_tgx_IHuhSq3AJ5eI5OnqOPBNLWSHKh2a30DoXe8/edit?usp=sharing"",""ตรัง!I28"")"),0.0)</f>
        <v>0</v>
      </c>
      <c r="J88" s="238">
        <f>IFERROR(__xludf.DUMMYFUNCTION("IMPORTRANGE(""https://docs.google.com/spreadsheets/d/1IYY_tgx_IHuhSq3AJ5eI5OnqOPBNLWSHKh2a30DoXe8/edit?usp=sharing"",""ตรัง!J28"")"),0.0)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IFERROR(__xludf.DUMMYFUNCTION("IMPORTRANGE(""https://docs.google.com/spreadsheets/d/1IYY_tgx_IHuhSq3AJ5eI5OnqOPBNLWSHKh2a30DoXe8/edit?usp=sharing"",""ตรัง!J29"")"),0.0)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IFERROR(__xludf.DUMMYFUNCTION("IMPORTRANGE(""https://docs.google.com/spreadsheets/d/1IYY_tgx_IHuhSq3AJ5eI5OnqOPBNLWSHKh2a30DoXe8/edit?usp=sharing"",""ตรัง!J30"")"),0.0)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IFERROR(__xludf.DUMMYFUNCTION("IMPORTRANGE(""https://docs.google.com/spreadsheets/d/1IYY_tgx_IHuhSq3AJ5eI5OnqOPBNLWSHKh2a30DoXe8/edit?usp=sharing"",""ตรัง!I32"")"),4.0)</f>
        <v>4</v>
      </c>
      <c r="J92" s="172">
        <f>IFERROR(__xludf.DUMMYFUNCTION("IMPORTRANGE(""https://docs.google.com/spreadsheets/d/1IYY_tgx_IHuhSq3AJ5eI5OnqOPBNLWSHKh2a30DoXe8/edit?usp=sharing"",""ตรัง!J32"")"),0.0)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IFERROR(__xludf.DUMMYFUNCTION("IMPORTRANGE(""https://docs.google.com/spreadsheets/d/1IYY_tgx_IHuhSq3AJ5eI5OnqOPBNLWSHKh2a30DoXe8/edit?usp=sharing"",""ตรัง!I33"")"),1.0)</f>
        <v>1</v>
      </c>
      <c r="J93" s="172">
        <f>IFERROR(__xludf.DUMMYFUNCTION("IMPORTRANGE(""https://docs.google.com/spreadsheets/d/1IYY_tgx_IHuhSq3AJ5eI5OnqOPBNLWSHKh2a30DoXe8/edit?usp=sharing"",""ตรัง!J33"")"),0.0)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98880</v>
      </c>
      <c r="O94" s="182">
        <f t="shared" ref="O94:O96" si="55">IF(L94&gt;0,N94*100/L94,0)</f>
        <v>46.0979021</v>
      </c>
      <c r="P94" s="182">
        <f t="shared" ref="P94:P96" si="56">IF(M94&gt;0,N94*100/M94,0)</f>
        <v>143.8673069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98880</v>
      </c>
      <c r="O96" s="187">
        <f t="shared" si="55"/>
        <v>46.0979021</v>
      </c>
      <c r="P96" s="187">
        <f t="shared" si="56"/>
        <v>143.8673069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IFERROR(__xludf.DUMMYFUNCTION("IMPORTRANGE(""https://docs.google.com/spreadsheets/d/1Yj_ptqi66GCucihVvJfMjLAmec39IyEx_6qawtMGysU/edit?usp=sharing"",""สบก!AR83"")"),68730.0)</f>
        <v>68730</v>
      </c>
      <c r="N98" s="202">
        <f>IFERROR(__xludf.DUMMYFUNCTION("IMPORTRANGE(""https://docs.google.com/spreadsheets/d/1Yj_ptqi66GCucihVvJfMjLAmec39IyEx_6qawtMGysU/edit?usp=sharing"",""สบก!AS83"")"),6480.0)</f>
        <v>6480</v>
      </c>
      <c r="O98" s="203">
        <f>IF(L98&gt;0,N98*100/L98,0)</f>
        <v>5.307125307</v>
      </c>
      <c r="P98" s="203">
        <f>IF(M98&gt;0,N98*100/M98,0)</f>
        <v>9.428197294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IFERROR(__xludf.DUMMYFUNCTION("IMPORTRANGE(""https://docs.google.com/spreadsheets/d/1Yj_ptqi66GCucihVvJfMjLAmec39IyEx_6qawtMGysU/edit?usp=sharing"",""สบก!AN83"")"),0.0)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IFERROR(__xludf.DUMMYFUNCTION("IMPORTRANGE(""https://docs.google.com/spreadsheets/d/1Yj_ptqi66GCucihVvJfMjLAmec39IyEx_6qawtMGysU/edit?usp=sharing"",""สบก!AO83"")"),122100.0)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IFERROR(__xludf.DUMMYFUNCTION("IMPORTRANGE(""https://docs.google.com/spreadsheets/d/1Yj_ptqi66GCucihVvJfMjLAmec39IyEx_6qawtMGysU/edit?usp=sharing"",""สบก!AP83"")"),92400.0)</f>
        <v>92400</v>
      </c>
      <c r="M102" s="125"/>
      <c r="N102" s="115">
        <f>IFERROR(__xludf.DUMMYFUNCTION("IMPORTRANGE(""https://docs.google.com/spreadsheets/d/1Yj_ptqi66GCucihVvJfMjLAmec39IyEx_6qawtMGysU/edit?usp=sharing"",""สบก!AT83"")"),92400.0)</f>
        <v>92400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IFERROR(__xludf.DUMMYFUNCTION("IMPORTRANGE(""https://docs.google.com/spreadsheets/d/1IYY_tgx_IHuhSq3AJ5eI5OnqOPBNLWSHKh2a30DoXe8/edit?usp=sharing"",""ตรัง!J39"")"),0.0)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IFERROR(__xludf.DUMMYFUNCTION("IMPORTRANGE(""https://docs.google.com/spreadsheets/d/1IYY_tgx_IHuhSq3AJ5eI5OnqOPBNLWSHKh2a30DoXe8/edit?usp=sharing"",""ตรัง!J40"")"),1.0)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IFERROR(__xludf.DUMMYFUNCTION("IMPORTRANGE(""https://docs.google.com/spreadsheets/d/1IYY_tgx_IHuhSq3AJ5eI5OnqOPBNLWSHKh2a30DoXe8/edit?usp=sharing"",""ตรัง!J41"")"),1.0)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IFERROR(__xludf.DUMMYFUNCTION("IMPORTRANGE(""https://docs.google.com/spreadsheets/d/1IYY_tgx_IHuhSq3AJ5eI5OnqOPBNLWSHKh2a30DoXe8/edit?usp=sharing"",""ตรัง!J42"")"),0.0)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IFERROR(__xludf.DUMMYFUNCTION("IMPORTRANGE(""https://docs.google.com/spreadsheets/d/1IYY_tgx_IHuhSq3AJ5eI5OnqOPBNLWSHKh2a30DoXe8/edit?usp=sharing"",""ตรัง!I43"")"),1.0)</f>
        <v>1</v>
      </c>
      <c r="J108" s="238">
        <f>IFERROR(__xludf.DUMMYFUNCTION("IMPORTRANGE(""https://docs.google.com/spreadsheets/d/1IYY_tgx_IHuhSq3AJ5eI5OnqOPBNLWSHKh2a30DoXe8/edit?usp=sharing"",""ตรัง!J43"")"),0.0)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IFERROR(__xludf.DUMMYFUNCTION("IMPORTRANGE(""https://docs.google.com/spreadsheets/d/1IYY_tgx_IHuhSq3AJ5eI5OnqOPBNLWSHKh2a30DoXe8/edit?usp=sharing"",""ตรัง!I44"")"),4.0)</f>
        <v>4</v>
      </c>
      <c r="J109" s="238">
        <f>IFERROR(__xludf.DUMMYFUNCTION("IMPORTRANGE(""https://docs.google.com/spreadsheets/d/1IYY_tgx_IHuhSq3AJ5eI5OnqOPBNLWSHKh2a30DoXe8/edit?usp=sharing"",""ตรัง!J44"")"),0.0)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IFERROR(__xludf.DUMMYFUNCTION("IMPORTRANGE(""https://docs.google.com/spreadsheets/d/1IYY_tgx_IHuhSq3AJ5eI5OnqOPBNLWSHKh2a30DoXe8/edit?usp=sharing"",""ตรัง!I45"")"),4.0)</f>
        <v>4</v>
      </c>
      <c r="J110" s="238">
        <f>IFERROR(__xludf.DUMMYFUNCTION("IMPORTRANGE(""https://docs.google.com/spreadsheets/d/1IYY_tgx_IHuhSq3AJ5eI5OnqOPBNLWSHKh2a30DoXe8/edit?usp=sharing"",""ตรัง!J45"")"),0.0)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IFERROR(__xludf.DUMMYFUNCTION("IMPORTRANGE(""https://docs.google.com/spreadsheets/d/1IYY_tgx_IHuhSq3AJ5eI5OnqOPBNLWSHKh2a30DoXe8/edit?usp=sharing"",""ตรัง!I46"")"),4.0)</f>
        <v>4</v>
      </c>
      <c r="J111" s="238">
        <f>IFERROR(__xludf.DUMMYFUNCTION("IMPORTRANGE(""https://docs.google.com/spreadsheets/d/1IYY_tgx_IHuhSq3AJ5eI5OnqOPBNLWSHKh2a30DoXe8/edit?usp=sharing"",""ตรัง!J46"")"),0.0)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IFERROR(__xludf.DUMMYFUNCTION("IMPORTRANGE(""https://docs.google.com/spreadsheets/d/1IYY_tgx_IHuhSq3AJ5eI5OnqOPBNLWSHKh2a30DoXe8/edit?usp=sharing"",""ตรัง!I47"")"),4.0)</f>
        <v>4</v>
      </c>
      <c r="J112" s="238">
        <f>IFERROR(__xludf.DUMMYFUNCTION("IMPORTRANGE(""https://docs.google.com/spreadsheets/d/1IYY_tgx_IHuhSq3AJ5eI5OnqOPBNLWSHKh2a30DoXe8/edit?usp=sharing"",""ตรัง!J47"")"),0.0)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IFERROR(__xludf.DUMMYFUNCTION("IMPORTRANGE(""https://docs.google.com/spreadsheets/d/1IYY_tgx_IHuhSq3AJ5eI5OnqOPBNLWSHKh2a30DoXe8/edit?usp=sharing"",""ตรัง!I48"")"),1.0)</f>
        <v>1</v>
      </c>
      <c r="J113" s="238">
        <f>IFERROR(__xludf.DUMMYFUNCTION("IMPORTRANGE(""https://docs.google.com/spreadsheets/d/1IYY_tgx_IHuhSq3AJ5eI5OnqOPBNLWSHKh2a30DoXe8/edit?usp=sharing"",""ตรัง!J48"")"),0.0)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IFERROR(__xludf.DUMMYFUNCTION("IMPORTRANGE(""https://docs.google.com/spreadsheets/d/1IYY_tgx_IHuhSq3AJ5eI5OnqOPBNLWSHKh2a30DoXe8/edit?usp=sharing"",""ตรัง!J49"")"),0.0)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IFERROR(__xludf.DUMMYFUNCTION("IMPORTRANGE(""https://docs.google.com/spreadsheets/d/1IYY_tgx_IHuhSq3AJ5eI5OnqOPBNLWSHKh2a30DoXe8/edit?usp=sharing"",""ตรัง!J50"")"),0.0)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IFERROR(__xludf.DUMMYFUNCTION("IMPORTRANGE(""https://docs.google.com/spreadsheets/d/1IYY_tgx_IHuhSq3AJ5eI5OnqOPBNLWSHKh2a30DoXe8/edit?usp=sharing"",""ตรัง!I52"")"),0.0)</f>
        <v>0</v>
      </c>
      <c r="J117" s="172">
        <f>IFERROR(__xludf.DUMMYFUNCTION("IMPORTRANGE(""https://docs.google.com/spreadsheets/d/1IYY_tgx_IHuhSq3AJ5eI5OnqOPBNLWSHKh2a30DoXe8/edit?usp=sharing"",""ตรัง!J52"")"),0.0)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IFERROR(__xludf.DUMMYFUNCTION("IMPORTRANGE(""https://docs.google.com/spreadsheets/d/1Yj_ptqi66GCucihVvJfMjLAmec39IyEx_6qawtMGysU/edit?usp=sharing"",""สบก!BA83"")"),0.0)</f>
        <v>0</v>
      </c>
      <c r="N122" s="202">
        <f>IFERROR(__xludf.DUMMYFUNCTION("IMPORTRANGE(""https://docs.google.com/spreadsheets/d/1Yj_ptqi66GCucihVvJfMjLAmec39IyEx_6qawtMGysU/edit?usp=sharing"",""สบก!BB83"")"),0.0)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IFERROR(__xludf.DUMMYFUNCTION("IMPORTRANGE(""https://docs.google.com/spreadsheets/d/1Yj_ptqi66GCucihVvJfMjLAmec39IyEx_6qawtMGysU/edit?usp=sharing"",""สบก!AW83"")"),0.0)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IFERROR(__xludf.DUMMYFUNCTION("IMPORTRANGE(""https://docs.google.com/spreadsheets/d/1Yj_ptqi66GCucihVvJfMjLAmec39IyEx_6qawtMGysU/edit?usp=sharing"",""สบก!AX83"")"),0.0)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IFERROR(__xludf.DUMMYFUNCTION("IMPORTRANGE(""https://docs.google.com/spreadsheets/d/1Yj_ptqi66GCucihVvJfMjLAmec39IyEx_6qawtMGysU/edit?usp=sharing"",""สบก!AY83"")"),0.0)</f>
        <v>0</v>
      </c>
      <c r="M126" s="125"/>
      <c r="N126" s="115">
        <f>IFERROR(__xludf.DUMMYFUNCTION("IMPORTRANGE(""https://docs.google.com/spreadsheets/d/1Yj_ptqi66GCucihVvJfMjLAmec39IyEx_6qawtMGysU/edit?usp=sharing"",""สบก!BC83"")"),0.0)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IFERROR(__xludf.DUMMYFUNCTION("IMPORTRANGE(""https://docs.google.com/spreadsheets/d/1IYY_tgx_IHuhSq3AJ5eI5OnqOPBNLWSHKh2a30DoXe8/edit?usp=sharing"",""ตรัง!J58"")"),0.0)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IFERROR(__xludf.DUMMYFUNCTION("IMPORTRANGE(""https://docs.google.com/spreadsheets/d/1IYY_tgx_IHuhSq3AJ5eI5OnqOPBNLWSHKh2a30DoXe8/edit?usp=sharing"",""ตรัง!J59"")"),0.0)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IFERROR(__xludf.DUMMYFUNCTION("IMPORTRANGE(""https://docs.google.com/spreadsheets/d/1IYY_tgx_IHuhSq3AJ5eI5OnqOPBNLWSHKh2a30DoXe8/edit?usp=sharing"",""ตรัง!J60"")"),0.0)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IFERROR(__xludf.DUMMYFUNCTION("IMPORTRANGE(""https://docs.google.com/spreadsheets/d/1IYY_tgx_IHuhSq3AJ5eI5OnqOPBNLWSHKh2a30DoXe8/edit?usp=sharing"",""ตรัง!J61"")"),0.0)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IFERROR(__xludf.DUMMYFUNCTION("IMPORTRANGE(""https://docs.google.com/spreadsheets/d/1IYY_tgx_IHuhSq3AJ5eI5OnqOPBNLWSHKh2a30DoXe8/edit?usp=sharing"",""ตรัง!I62"")"),0.0)</f>
        <v>0</v>
      </c>
      <c r="J132" s="238">
        <f>IFERROR(__xludf.DUMMYFUNCTION("IMPORTRANGE(""https://docs.google.com/spreadsheets/d/1IYY_tgx_IHuhSq3AJ5eI5OnqOPBNLWSHKh2a30DoXe8/edit?usp=sharing"",""ตรัง!J62"")"),0.0)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IFERROR(__xludf.DUMMYFUNCTION("IMPORTRANGE(""https://docs.google.com/spreadsheets/d/1IYY_tgx_IHuhSq3AJ5eI5OnqOPBNLWSHKh2a30DoXe8/edit?usp=sharing"",""ตรัง!I63"")"),0.0)</f>
        <v>0</v>
      </c>
      <c r="J133" s="238">
        <f>IFERROR(__xludf.DUMMYFUNCTION("IMPORTRANGE(""https://docs.google.com/spreadsheets/d/1IYY_tgx_IHuhSq3AJ5eI5OnqOPBNLWSHKh2a30DoXe8/edit?usp=sharing"",""ตรัง!J63"")"),0.0)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IFERROR(__xludf.DUMMYFUNCTION("IMPORTRANGE(""https://docs.google.com/spreadsheets/d/1IYY_tgx_IHuhSq3AJ5eI5OnqOPBNLWSHKh2a30DoXe8/edit?usp=sharing"",""ตรัง!J64"")"),0.0)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IFERROR(__xludf.DUMMYFUNCTION("IMPORTRANGE(""https://docs.google.com/spreadsheets/d/1IYY_tgx_IHuhSq3AJ5eI5OnqOPBNLWSHKh2a30DoXe8/edit?usp=sharing"",""ตรัง!J65"")"),0.0)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IFERROR(__xludf.DUMMYFUNCTION("IMPORTRANGE(""https://docs.google.com/spreadsheets/d/1IYY_tgx_IHuhSq3AJ5eI5OnqOPBNLWSHKh2a30DoXe8/edit?usp=sharing"",""ตรัง!I68"")"),15.0)</f>
        <v>15</v>
      </c>
      <c r="J138" s="301">
        <f>IFERROR(__xludf.DUMMYFUNCTION("IMPORTRANGE(""https://docs.google.com/spreadsheets/d/1IYY_tgx_IHuhSq3AJ5eI5OnqOPBNLWSHKh2a30DoXe8/edit?usp=sharing"",""ตรัง!J68"")"),0.0)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389400</v>
      </c>
      <c r="M140" s="183">
        <f t="shared" si="65"/>
        <v>212450</v>
      </c>
      <c r="N140" s="183">
        <f t="shared" si="65"/>
        <v>116917</v>
      </c>
      <c r="O140" s="182">
        <f t="shared" ref="O140:O142" si="67">IF(L140&gt;0,N140*100/L140,0)</f>
        <v>30.02491012</v>
      </c>
      <c r="P140" s="182">
        <f t="shared" ref="P140:P142" si="68">IF(M140&gt;0,N140*100/M140,0)</f>
        <v>55.03271358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389400</v>
      </c>
      <c r="M142" s="188">
        <f t="shared" si="69"/>
        <v>212450</v>
      </c>
      <c r="N142" s="188">
        <f t="shared" si="69"/>
        <v>116917</v>
      </c>
      <c r="O142" s="187">
        <f t="shared" si="67"/>
        <v>30.02491012</v>
      </c>
      <c r="P142" s="187">
        <f t="shared" si="68"/>
        <v>55.03271358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389400</v>
      </c>
      <c r="M144" s="201">
        <f>IFERROR(__xludf.DUMMYFUNCTION("IMPORTRANGE(""https://docs.google.com/spreadsheets/d/1Yj_ptqi66GCucihVvJfMjLAmec39IyEx_6qawtMGysU/edit?usp=sharing"",""สบก!BJ83"")"),212450.0)</f>
        <v>212450</v>
      </c>
      <c r="N144" s="202">
        <f>IFERROR(__xludf.DUMMYFUNCTION("IMPORTRANGE(""https://docs.google.com/spreadsheets/d/1Yj_ptqi66GCucihVvJfMjLAmec39IyEx_6qawtMGysU/edit?usp=sharing"",""สบก!BK83"")"),116917.0)</f>
        <v>116917</v>
      </c>
      <c r="O144" s="203">
        <f>IF(L144&gt;0,N144*100/L144,0)</f>
        <v>30.02491012</v>
      </c>
      <c r="P144" s="203">
        <f>IF(M144&gt;0,N144*100/M144,0)</f>
        <v>55.03271358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IFERROR(__xludf.DUMMYFUNCTION("IMPORTRANGE(""https://docs.google.com/spreadsheets/d/1Yj_ptqi66GCucihVvJfMjLAmec39IyEx_6qawtMGysU/edit?usp=sharing"",""สบก!BF83"")"),331400.0)</f>
        <v>331400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IFERROR(__xludf.DUMMYFUNCTION("IMPORTRANGE(""https://docs.google.com/spreadsheets/d/1Yj_ptqi66GCucihVvJfMjLAmec39IyEx_6qawtMGysU/edit?usp=sharing"",""สบก!BG83"")"),58000.0)</f>
        <v>58000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IFERROR(__xludf.DUMMYFUNCTION("IMPORTRANGE(""https://docs.google.com/spreadsheets/d/1Yj_ptqi66GCucihVvJfMjLAmec39IyEx_6qawtMGysU/edit?usp=sharing"",""สบก!BH83"")"),0.0)</f>
        <v>0</v>
      </c>
      <c r="M148" s="125"/>
      <c r="N148" s="115">
        <f>IFERROR(__xludf.DUMMYFUNCTION("IMPORTRANGE(""https://docs.google.com/spreadsheets/d/1Yj_ptqi66GCucihVvJfMjLAmec39IyEx_6qawtMGysU/edit?usp=sharing"",""สบก!BL83"")"),0.0)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IFERROR(__xludf.DUMMYFUNCTION("IMPORTRANGE(""https://docs.google.com/spreadsheets/d/1IYY_tgx_IHuhSq3AJ5eI5OnqOPBNLWSHKh2a30DoXe8/edit?usp=sharing"",""ตรัง!I74"")"),4.0)</f>
        <v>4</v>
      </c>
      <c r="J149" s="309">
        <f>IFERROR(__xludf.DUMMYFUNCTION("IMPORTRANGE(""https://docs.google.com/spreadsheets/d/1IYY_tgx_IHuhSq3AJ5eI5OnqOPBNLWSHKh2a30DoXe8/edit?usp=sharing"",""ตรัง!J74"")"),1.0)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IFERROR(__xludf.DUMMYFUNCTION("IMPORTRANGE(""https://docs.google.com/spreadsheets/d/1IYY_tgx_IHuhSq3AJ5eI5OnqOPBNLWSHKh2a30DoXe8/edit?usp=sharing"",""ตรัง!J79"")"),0.0)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IFERROR(__xludf.DUMMYFUNCTION("IMPORTRANGE(""https://docs.google.com/spreadsheets/d/1IYY_tgx_IHuhSq3AJ5eI5OnqOPBNLWSHKh2a30DoXe8/edit?usp=sharing"",""ตรัง!J80"")"),1.0)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IFERROR(__xludf.DUMMYFUNCTION("IMPORTRANGE(""https://docs.google.com/spreadsheets/d/1IYY_tgx_IHuhSq3AJ5eI5OnqOPBNLWSHKh2a30DoXe8/edit?usp=sharing"",""ตรัง!J81"")"),1.0)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IFERROR(__xludf.DUMMYFUNCTION("IMPORTRANGE(""https://docs.google.com/spreadsheets/d/1IYY_tgx_IHuhSq3AJ5eI5OnqOPBNLWSHKh2a30DoXe8/edit?usp=sharing"",""ตรัง!J82"")"),1.0)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IFERROR(__xludf.DUMMYFUNCTION("IMPORTRANGE(""https://docs.google.com/spreadsheets/d/1IYY_tgx_IHuhSq3AJ5eI5OnqOPBNLWSHKh2a30DoXe8/edit?usp=sharing"",""ตรัง!I83"")"),4.0)</f>
        <v>4</v>
      </c>
      <c r="J158" s="223">
        <f>IFERROR(__xludf.DUMMYFUNCTION("IMPORTRANGE(""https://docs.google.com/spreadsheets/d/1IYY_tgx_IHuhSq3AJ5eI5OnqOPBNLWSHKh2a30DoXe8/edit?usp=sharing"",""ตรัง!J83"")"),1.0)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IFERROR(__xludf.DUMMYFUNCTION("IMPORTRANGE(""https://docs.google.com/spreadsheets/d/1IYY_tgx_IHuhSq3AJ5eI5OnqOPBNLWSHKh2a30DoXe8/edit?usp=sharing"",""ตรัง!J84"")"),22.0)</f>
        <v>22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IFERROR(__xludf.DUMMYFUNCTION("IMPORTRANGE(""https://docs.google.com/spreadsheets/d/1IYY_tgx_IHuhSq3AJ5eI5OnqOPBNLWSHKh2a30DoXe8/edit?usp=sharing"",""ตรัง!J85"")"),22.0)</f>
        <v>22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IFERROR(__xludf.DUMMYFUNCTION("IMPORTRANGE(""https://docs.google.com/spreadsheets/d/1IYY_tgx_IHuhSq3AJ5eI5OnqOPBNLWSHKh2a30DoXe8/edit?usp=sharing"",""ตรัง!J86"")"),0.0)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IFERROR(__xludf.DUMMYFUNCTION("IMPORTRANGE(""https://docs.google.com/spreadsheets/d/1IYY_tgx_IHuhSq3AJ5eI5OnqOPBNLWSHKh2a30DoXe8/edit?usp=sharing"",""ตรัง!J87"")"),0.0)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IFERROR(__xludf.DUMMYFUNCTION("IMPORTRANGE(""https://docs.google.com/spreadsheets/d/1IYY_tgx_IHuhSq3AJ5eI5OnqOPBNLWSHKh2a30DoXe8/edit?usp=sharing"",""ตรัง!J88"")"),0.0)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IFERROR(__xludf.DUMMYFUNCTION("IMPORTRANGE(""https://docs.google.com/spreadsheets/d/1IYY_tgx_IHuhSq3AJ5eI5OnqOPBNLWSHKh2a30DoXe8/edit?usp=sharing"",""ตรัง!I89"")"),2.0)</f>
        <v>2</v>
      </c>
      <c r="J164" s="317">
        <f>IFERROR(__xludf.DUMMYFUNCTION("IMPORTRANGE(""https://docs.google.com/spreadsheets/d/1IYY_tgx_IHuhSq3AJ5eI5OnqOPBNLWSHKh2a30DoXe8/edit?usp=sharing"",""ตรัง!J89"")"),0.0)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IFERROR(__xludf.DUMMYFUNCTION("IMPORTRANGE(""https://docs.google.com/spreadsheets/d/1IYY_tgx_IHuhSq3AJ5eI5OnqOPBNLWSHKh2a30DoXe8/edit?usp=sharing"",""ตรัง!J94"")"),0.0)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IFERROR(__xludf.DUMMYFUNCTION("IMPORTRANGE(""https://docs.google.com/spreadsheets/d/1IYY_tgx_IHuhSq3AJ5eI5OnqOPBNLWSHKh2a30DoXe8/edit?usp=sharing"",""ตรัง!J95"")"),1.0)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IFERROR(__xludf.DUMMYFUNCTION("IMPORTRANGE(""https://docs.google.com/spreadsheets/d/1IYY_tgx_IHuhSq3AJ5eI5OnqOPBNLWSHKh2a30DoXe8/edit?usp=sharing"",""ตรัง!J96"")"),1.0)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IFERROR(__xludf.DUMMYFUNCTION("IMPORTRANGE(""https://docs.google.com/spreadsheets/d/1IYY_tgx_IHuhSq3AJ5eI5OnqOPBNLWSHKh2a30DoXe8/edit?usp=sharing"",""ตรัง!J97"")"),0.0)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IFERROR(__xludf.DUMMYFUNCTION("IMPORTRANGE(""https://docs.google.com/spreadsheets/d/1IYY_tgx_IHuhSq3AJ5eI5OnqOPBNLWSHKh2a30DoXe8/edit?usp=sharing"",""ตรัง!I98"")"),2.0)</f>
        <v>2</v>
      </c>
      <c r="J173" s="223">
        <f>IFERROR(__xludf.DUMMYFUNCTION("IMPORTRANGE(""https://docs.google.com/spreadsheets/d/1IYY_tgx_IHuhSq3AJ5eI5OnqOPBNLWSHKh2a30DoXe8/edit?usp=sharing"",""ตรัง!J98"")"),0.0)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IFERROR(__xludf.DUMMYFUNCTION("IMPORTRANGE(""https://docs.google.com/spreadsheets/d/1IYY_tgx_IHuhSq3AJ5eI5OnqOPBNLWSHKh2a30DoXe8/edit?usp=sharing"",""ตรัง!J99"")"),0.0)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IFERROR(__xludf.DUMMYFUNCTION("IMPORTRANGE(""https://docs.google.com/spreadsheets/d/1IYY_tgx_IHuhSq3AJ5eI5OnqOPBNLWSHKh2a30DoXe8/edit?usp=sharing"",""ตรัง!J100"")"),0.0)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IFERROR(__xludf.DUMMYFUNCTION("IMPORTRANGE(""https://docs.google.com/spreadsheets/d/1IYY_tgx_IHuhSq3AJ5eI5OnqOPBNLWSHKh2a30DoXe8/edit?usp=sharing"",""ตรัง!I101"")"),0.0)</f>
        <v>0</v>
      </c>
      <c r="J176" s="317">
        <f>IFERROR(__xludf.DUMMYFUNCTION("IMPORTRANGE(""https://docs.google.com/spreadsheets/d/1IYY_tgx_IHuhSq3AJ5eI5OnqOPBNLWSHKh2a30DoXe8/edit?usp=sharing"",""ตรัง!J101"")"),0.0)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IFERROR(__xludf.DUMMYFUNCTION("IMPORTRANGE(""https://docs.google.com/spreadsheets/d/1IYY_tgx_IHuhSq3AJ5eI5OnqOPBNLWSHKh2a30DoXe8/edit?usp=sharing"",""ตรัง!J106"")"),0.0)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IFERROR(__xludf.DUMMYFUNCTION("IMPORTRANGE(""https://docs.google.com/spreadsheets/d/1IYY_tgx_IHuhSq3AJ5eI5OnqOPBNLWSHKh2a30DoXe8/edit?usp=sharing"",""ตรัง!J107"")"),0.0)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IFERROR(__xludf.DUMMYFUNCTION("IMPORTRANGE(""https://docs.google.com/spreadsheets/d/1IYY_tgx_IHuhSq3AJ5eI5OnqOPBNLWSHKh2a30DoXe8/edit?usp=sharing"",""ตรัง!J108"")"),0.0)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IFERROR(__xludf.DUMMYFUNCTION("IMPORTRANGE(""https://docs.google.com/spreadsheets/d/1IYY_tgx_IHuhSq3AJ5eI5OnqOPBNLWSHKh2a30DoXe8/edit?usp=sharing"",""ตรัง!J109"")"),0.0)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IFERROR(__xludf.DUMMYFUNCTION("IMPORTRANGE(""https://docs.google.com/spreadsheets/d/1IYY_tgx_IHuhSq3AJ5eI5OnqOPBNLWSHKh2a30DoXe8/edit?usp=sharing"",""ตรัง!I110"")"),0.0)</f>
        <v>0</v>
      </c>
      <c r="J185" s="238">
        <f>IFERROR(__xludf.DUMMYFUNCTION("IMPORTRANGE(""https://docs.google.com/spreadsheets/d/1IYY_tgx_IHuhSq3AJ5eI5OnqOPBNLWSHKh2a30DoXe8/edit?usp=sharing"",""ตรัง!J110"")"),0.0)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IFERROR(__xludf.DUMMYFUNCTION("IMPORTRANGE(""https://docs.google.com/spreadsheets/d/1IYY_tgx_IHuhSq3AJ5eI5OnqOPBNLWSHKh2a30DoXe8/edit?usp=sharing"",""ตรัง!I111"")"),0.0)</f>
        <v>0</v>
      </c>
      <c r="J186" s="238">
        <f>IFERROR(__xludf.DUMMYFUNCTION("IMPORTRANGE(""https://docs.google.com/spreadsheets/d/1IYY_tgx_IHuhSq3AJ5eI5OnqOPBNLWSHKh2a30DoXe8/edit?usp=sharing"",""ตรัง!J111"")"),0.0)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IFERROR(__xludf.DUMMYFUNCTION("IMPORTRANGE(""https://docs.google.com/spreadsheets/d/1IYY_tgx_IHuhSq3AJ5eI5OnqOPBNLWSHKh2a30DoXe8/edit?usp=sharing"",""ตรัง!J112"")"),0.0)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IFERROR(__xludf.DUMMYFUNCTION("IMPORTRANGE(""https://docs.google.com/spreadsheets/d/1IYY_tgx_IHuhSq3AJ5eI5OnqOPBNLWSHKh2a30DoXe8/edit?usp=sharing"",""ตรัง!J113"")"),0.0)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IFERROR(__xludf.DUMMYFUNCTION("IMPORTRANGE(""https://docs.google.com/spreadsheets/d/1IYY_tgx_IHuhSq3AJ5eI5OnqOPBNLWSHKh2a30DoXe8/edit?usp=sharing"",""ตรัง!I114"")"),10000.0)</f>
        <v>10000</v>
      </c>
      <c r="J189" s="317">
        <f>IFERROR(__xludf.DUMMYFUNCTION("IMPORTRANGE(""https://docs.google.com/spreadsheets/d/1IYY_tgx_IHuhSq3AJ5eI5OnqOPBNLWSHKh2a30DoXe8/edit?usp=sharing"",""ตรัง!J114"")"),0.0)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IFERROR(__xludf.DUMMYFUNCTION("IMPORTRANGE(""https://docs.google.com/spreadsheets/d/1IYY_tgx_IHuhSq3AJ5eI5OnqOPBNLWSHKh2a30DoXe8/edit?usp=sharing"",""ตรัง!J119"")"),0.0)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IFERROR(__xludf.DUMMYFUNCTION("IMPORTRANGE(""https://docs.google.com/spreadsheets/d/1IYY_tgx_IHuhSq3AJ5eI5OnqOPBNLWSHKh2a30DoXe8/edit?usp=sharing"",""ตรัง!J120"")"),1.0)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IFERROR(__xludf.DUMMYFUNCTION("IMPORTRANGE(""https://docs.google.com/spreadsheets/d/1IYY_tgx_IHuhSq3AJ5eI5OnqOPBNLWSHKh2a30DoXe8/edit?usp=sharing"",""ตรัง!J121"")"),1.0)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IFERROR(__xludf.DUMMYFUNCTION("IMPORTRANGE(""https://docs.google.com/spreadsheets/d/1IYY_tgx_IHuhSq3AJ5eI5OnqOPBNLWSHKh2a30DoXe8/edit?usp=sharing"",""ตรัง!J122"")"),0.0)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IFERROR(__xludf.DUMMYFUNCTION("IMPORTRANGE(""https://docs.google.com/spreadsheets/d/1IYY_tgx_IHuhSq3AJ5eI5OnqOPBNLWSHKh2a30DoXe8/edit?usp=sharing"",""ตรัง!I124"")"),10000.0)</f>
        <v>10000</v>
      </c>
      <c r="J199" s="223">
        <f>IFERROR(__xludf.DUMMYFUNCTION("IMPORTRANGE(""https://docs.google.com/spreadsheets/d/1IYY_tgx_IHuhSq3AJ5eI5OnqOPBNLWSHKh2a30DoXe8/edit?usp=sharing"",""ตรัง!J124"")"),0.0)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IFERROR(__xludf.DUMMYFUNCTION("IMPORTRANGE(""https://docs.google.com/spreadsheets/d/1IYY_tgx_IHuhSq3AJ5eI5OnqOPBNLWSHKh2a30DoXe8/edit?usp=sharing"",""ตรัง!I125"")"),10000.0)</f>
        <v>10000</v>
      </c>
      <c r="J200" s="223">
        <f>IFERROR(__xludf.DUMMYFUNCTION("IMPORTRANGE(""https://docs.google.com/spreadsheets/d/1IYY_tgx_IHuhSq3AJ5eI5OnqOPBNLWSHKh2a30DoXe8/edit?usp=sharing"",""ตรัง!J125"")"),0.0)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IFERROR(__xludf.DUMMYFUNCTION("IMPORTRANGE(""https://docs.google.com/spreadsheets/d/1IYY_tgx_IHuhSq3AJ5eI5OnqOPBNLWSHKh2a30DoXe8/edit?usp=sharing"",""ตรัง!I126"")"),15.0)</f>
        <v>15</v>
      </c>
      <c r="J201" s="223">
        <f>IFERROR(__xludf.DUMMYFUNCTION("IMPORTRANGE(""https://docs.google.com/spreadsheets/d/1IYY_tgx_IHuhSq3AJ5eI5OnqOPBNLWSHKh2a30DoXe8/edit?usp=sharing"",""ตรัง!J126"")"),0.0)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IFERROR(__xludf.DUMMYFUNCTION("IMPORTRANGE(""https://docs.google.com/spreadsheets/d/1IYY_tgx_IHuhSq3AJ5eI5OnqOPBNLWSHKh2a30DoXe8/edit?usp=sharing"",""ตรัง!J127"")"),0.0)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IFERROR(__xludf.DUMMYFUNCTION("IMPORTRANGE(""https://docs.google.com/spreadsheets/d/1IYY_tgx_IHuhSq3AJ5eI5OnqOPBNLWSHKh2a30DoXe8/edit?usp=sharing"",""ตรัง!J128"")"),0.0)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IFERROR(__xludf.DUMMYFUNCTION("IMPORTRANGE(""https://docs.google.com/spreadsheets/d/1IYY_tgx_IHuhSq3AJ5eI5OnqOPBNLWSHKh2a30DoXe8/edit?usp=sharing"",""ตรัง!I129"")"),0.0)</f>
        <v>0</v>
      </c>
      <c r="J204" s="317">
        <f>IFERROR(__xludf.DUMMYFUNCTION("IMPORTRANGE(""https://docs.google.com/spreadsheets/d/1IYY_tgx_IHuhSq3AJ5eI5OnqOPBNLWSHKh2a30DoXe8/edit?usp=sharing"",""ตรัง!J129"")"),0.0)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IFERROR(__xludf.DUMMYFUNCTION("IMPORTRANGE(""https://docs.google.com/spreadsheets/d/1IYY_tgx_IHuhSq3AJ5eI5OnqOPBNLWSHKh2a30DoXe8/edit?usp=sharing"",""ตรัง!J134"")"),0.0)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IFERROR(__xludf.DUMMYFUNCTION("IMPORTRANGE(""https://docs.google.com/spreadsheets/d/1IYY_tgx_IHuhSq3AJ5eI5OnqOPBNLWSHKh2a30DoXe8/edit?usp=sharing"",""ตรัง!J135"")"),0.0)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IFERROR(__xludf.DUMMYFUNCTION("IMPORTRANGE(""https://docs.google.com/spreadsheets/d/1IYY_tgx_IHuhSq3AJ5eI5OnqOPBNLWSHKh2a30DoXe8/edit?usp=sharing"",""ตรัง!J136"")"),0.0)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IFERROR(__xludf.DUMMYFUNCTION("IMPORTRANGE(""https://docs.google.com/spreadsheets/d/1IYY_tgx_IHuhSq3AJ5eI5OnqOPBNLWSHKh2a30DoXe8/edit?usp=sharing"",""ตรัง!J137"")"),0.0)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IFERROR(__xludf.DUMMYFUNCTION("IMPORTRANGE(""https://docs.google.com/spreadsheets/d/1IYY_tgx_IHuhSq3AJ5eI5OnqOPBNLWSHKh2a30DoXe8/edit?usp=sharing"",""ตรัง!I138"")"),0.0)</f>
        <v>0</v>
      </c>
      <c r="J213" s="238">
        <f>IFERROR(__xludf.DUMMYFUNCTION("IMPORTRANGE(""https://docs.google.com/spreadsheets/d/1IYY_tgx_IHuhSq3AJ5eI5OnqOPBNLWSHKh2a30DoXe8/edit?usp=sharing"",""ตรัง!J138"")"),0.0)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IFERROR(__xludf.DUMMYFUNCTION("IMPORTRANGE(""https://docs.google.com/spreadsheets/d/1IYY_tgx_IHuhSq3AJ5eI5OnqOPBNLWSHKh2a30DoXe8/edit?usp=sharing"",""ตรัง!I140"")"),0.0)</f>
        <v>0</v>
      </c>
      <c r="J215" s="238">
        <f>IFERROR(__xludf.DUMMYFUNCTION("IMPORTRANGE(""https://docs.google.com/spreadsheets/d/1IYY_tgx_IHuhSq3AJ5eI5OnqOPBNLWSHKh2a30DoXe8/edit?usp=sharing"",""ตรัง!J140"")"),0.0)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IFERROR(__xludf.DUMMYFUNCTION("IMPORTRANGE(""https://docs.google.com/spreadsheets/d/1IYY_tgx_IHuhSq3AJ5eI5OnqOPBNLWSHKh2a30DoXe8/edit?usp=sharing"",""ตรัง!I141"")"),0.0)</f>
        <v>0</v>
      </c>
      <c r="J216" s="238">
        <f>IFERROR(__xludf.DUMMYFUNCTION("IMPORTRANGE(""https://docs.google.com/spreadsheets/d/1IYY_tgx_IHuhSq3AJ5eI5OnqOPBNLWSHKh2a30DoXe8/edit?usp=sharing"",""ตรัง!J141"")"),0.0)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IFERROR(__xludf.DUMMYFUNCTION("IMPORTRANGE(""https://docs.google.com/spreadsheets/d/1IYY_tgx_IHuhSq3AJ5eI5OnqOPBNLWSHKh2a30DoXe8/edit?usp=sharing"",""ตรัง!J142"")"),0.0)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IFERROR(__xludf.DUMMYFUNCTION("IMPORTRANGE(""https://docs.google.com/spreadsheets/d/1IYY_tgx_IHuhSq3AJ5eI5OnqOPBNLWSHKh2a30DoXe8/edit?usp=sharing"",""ตรัง!J143"")"),0.0)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IFERROR(__xludf.DUMMYFUNCTION("IMPORTRANGE(""https://docs.google.com/spreadsheets/d/1IYY_tgx_IHuhSq3AJ5eI5OnqOPBNLWSHKh2a30DoXe8/edit?usp=sharing"",""ตรัง!I144"")"),15.0)</f>
        <v>15</v>
      </c>
      <c r="J219" s="301">
        <f>IFERROR(__xludf.DUMMYFUNCTION("IMPORTRANGE(""https://docs.google.com/spreadsheets/d/1IYY_tgx_IHuhSq3AJ5eI5OnqOPBNLWSHKh2a30DoXe8/edit?usp=sharing"",""ตรัง!J144"")"),15.0)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IFERROR(__xludf.DUMMYFUNCTION("IMPORTRANGE(""https://docs.google.com/spreadsheets/d/1Yj_ptqi66GCucihVvJfMjLAmec39IyEx_6qawtMGysU/edit?usp=sharing"",""สบก!BS83"")"),21125.0)</f>
        <v>21125</v>
      </c>
      <c r="N224" s="202">
        <f>IFERROR(__xludf.DUMMYFUNCTION("IMPORTRANGE(""https://docs.google.com/spreadsheets/d/1Yj_ptqi66GCucihVvJfMjLAmec39IyEx_6qawtMGysU/edit?usp=sharing"",""สบก!BT83"")"),21125.0)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IFERROR(__xludf.DUMMYFUNCTION("IMPORTRANGE(""https://docs.google.com/spreadsheets/d/1Yj_ptqi66GCucihVvJfMjLAmec39IyEx_6qawtMGysU/edit?usp=sharing"",""สบก!BO83"")"),0.0)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IFERROR(__xludf.DUMMYFUNCTION("IMPORTRANGE(""https://docs.google.com/spreadsheets/d/1Yj_ptqi66GCucihVvJfMjLAmec39IyEx_6qawtMGysU/edit?usp=sharing"",""สบก!BP83"")"),21125.0)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IFERROR(__xludf.DUMMYFUNCTION("IMPORTRANGE(""https://docs.google.com/spreadsheets/d/1Yj_ptqi66GCucihVvJfMjLAmec39IyEx_6qawtMGysU/edit?usp=sharing"",""สบก!BQ83"")"),0.0)</f>
        <v>0</v>
      </c>
      <c r="M228" s="125"/>
      <c r="N228" s="115">
        <f>IFERROR(__xludf.DUMMYFUNCTION("IMPORTRANGE(""https://docs.google.com/spreadsheets/d/1Yj_ptqi66GCucihVvJfMjLAmec39IyEx_6qawtMGysU/edit?usp=sharing"",""สบก!BU83"")"),0.0)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IFERROR(__xludf.DUMMYFUNCTION("IMPORTRANGE(""https://docs.google.com/spreadsheets/d/1IYY_tgx_IHuhSq3AJ5eI5OnqOPBNLWSHKh2a30DoXe8/edit?usp=sharing"",""ตรัง!I149"")"),15.0)</f>
        <v>15</v>
      </c>
      <c r="J229" s="301">
        <f>IFERROR(__xludf.DUMMYFUNCTION("IMPORTRANGE(""https://docs.google.com/spreadsheets/d/1IYY_tgx_IHuhSq3AJ5eI5OnqOPBNLWSHKh2a30DoXe8/edit?usp=sharing"",""ตรัง!J149"")"),15.0)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IFERROR(__xludf.DUMMYFUNCTION("IMPORTRANGE(""https://docs.google.com/spreadsheets/d/1IYY_tgx_IHuhSq3AJ5eI5OnqOPBNLWSHKh2a30DoXe8/edit?usp=sharing"",""ตรัง!J151"")"),0.0)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IFERROR(__xludf.DUMMYFUNCTION("IMPORTRANGE(""https://docs.google.com/spreadsheets/d/1IYY_tgx_IHuhSq3AJ5eI5OnqOPBNLWSHKh2a30DoXe8/edit?usp=sharing"",""ตรัง!J152"")"),1.0)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IFERROR(__xludf.DUMMYFUNCTION("IMPORTRANGE(""https://docs.google.com/spreadsheets/d/1IYY_tgx_IHuhSq3AJ5eI5OnqOPBNLWSHKh2a30DoXe8/edit?usp=sharing"",""ตรัง!J153"")"),1.0)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IFERROR(__xludf.DUMMYFUNCTION("IMPORTRANGE(""https://docs.google.com/spreadsheets/d/1IYY_tgx_IHuhSq3AJ5eI5OnqOPBNLWSHKh2a30DoXe8/edit?usp=sharing"",""ตรัง!J154"")"),1.0)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IFERROR(__xludf.DUMMYFUNCTION("IMPORTRANGE(""https://docs.google.com/spreadsheets/d/1IYY_tgx_IHuhSq3AJ5eI5OnqOPBNLWSHKh2a30DoXe8/edit?usp=sharing"",""ตรัง!I155"")"),15.0)</f>
        <v>15</v>
      </c>
      <c r="J235" s="223">
        <f>IFERROR(__xludf.DUMMYFUNCTION("IMPORTRANGE(""https://docs.google.com/spreadsheets/d/1IYY_tgx_IHuhSq3AJ5eI5OnqOPBNLWSHKh2a30DoXe8/edit?usp=sharing"",""ตรัง!J155"")"),15.0)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IFERROR(__xludf.DUMMYFUNCTION("IMPORTRANGE(""https://docs.google.com/spreadsheets/d/1IYY_tgx_IHuhSq3AJ5eI5OnqOPBNLWSHKh2a30DoXe8/edit?usp=sharing"",""ตรัง!J156"")"),0.0)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IFERROR(__xludf.DUMMYFUNCTION("IMPORTRANGE(""https://docs.google.com/spreadsheets/d/1IYY_tgx_IHuhSq3AJ5eI5OnqOPBNLWSHKh2a30DoXe8/edit?usp=sharing"",""ตรัง!J157"")"),0.0)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IFERROR(__xludf.DUMMYFUNCTION("IMPORTRANGE(""https://docs.google.com/spreadsheets/d/1IYY_tgx_IHuhSq3AJ5eI5OnqOPBNLWSHKh2a30DoXe8/edit?usp=sharing"",""ตรัง!I158"")"),0.0)</f>
        <v>0</v>
      </c>
      <c r="J238" s="301">
        <f>IFERROR(__xludf.DUMMYFUNCTION("IMPORTRANGE(""https://docs.google.com/spreadsheets/d/1IYY_tgx_IHuhSq3AJ5eI5OnqOPBNLWSHKh2a30DoXe8/edit?usp=sharing"",""ตรัง!J158"")"),0.0)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IFERROR(__xludf.DUMMYFUNCTION("IMPORTRANGE(""https://docs.google.com/spreadsheets/d/1IYY_tgx_IHuhSq3AJ5eI5OnqOPBNLWSHKh2a30DoXe8/edit?usp=sharing"",""ตรัง!J159"")"),"")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IFERROR(__xludf.DUMMYFUNCTION("IMPORTRANGE(""https://docs.google.com/spreadsheets/d/1IYY_tgx_IHuhSq3AJ5eI5OnqOPBNLWSHKh2a30DoXe8/edit?usp=sharing"",""ตรัง!J161"")"),0.0)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IFERROR(__xludf.DUMMYFUNCTION("IMPORTRANGE(""https://docs.google.com/spreadsheets/d/1IYY_tgx_IHuhSq3AJ5eI5OnqOPBNLWSHKh2a30DoXe8/edit?usp=sharing"",""ตรัง!J162"")"),0.0)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IFERROR(__xludf.DUMMYFUNCTION("IMPORTRANGE(""https://docs.google.com/spreadsheets/d/1IYY_tgx_IHuhSq3AJ5eI5OnqOPBNLWSHKh2a30DoXe8/edit?usp=sharing"",""ตรัง!J163"")"),0.0)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IFERROR(__xludf.DUMMYFUNCTION("IMPORTRANGE(""https://docs.google.com/spreadsheets/d/1IYY_tgx_IHuhSq3AJ5eI5OnqOPBNLWSHKh2a30DoXe8/edit?usp=sharing"",""ตรัง!I164"")"),0.0)</f>
        <v>0</v>
      </c>
      <c r="J244" s="222">
        <f>IFERROR(__xludf.DUMMYFUNCTION("IMPORTRANGE(""https://docs.google.com/spreadsheets/d/1IYY_tgx_IHuhSq3AJ5eI5OnqOPBNLWSHKh2a30DoXe8/edit?usp=sharing"",""ตรัง!J164"")"),0.0)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IFERROR(__xludf.DUMMYFUNCTION("IMPORTRANGE(""https://docs.google.com/spreadsheets/d/1IYY_tgx_IHuhSq3AJ5eI5OnqOPBNLWSHKh2a30DoXe8/edit?usp=sharing"",""ตรัง!J165"")"),0.0)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IFERROR(__xludf.DUMMYFUNCTION("IMPORTRANGE(""https://docs.google.com/spreadsheets/d/1IYY_tgx_IHuhSq3AJ5eI5OnqOPBNLWSHKh2a30DoXe8/edit?usp=sharing"",""ตรัง!J166"")"),0.0)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IFERROR(__xludf.DUMMYFUNCTION("IMPORTRANGE(""https://docs.google.com/spreadsheets/d/1IYY_tgx_IHuhSq3AJ5eI5OnqOPBNLWSHKh2a30DoXe8/edit?usp=sharing"",""ตรัง!I169"")"),20.0)</f>
        <v>20</v>
      </c>
      <c r="J249" s="349">
        <f>IFERROR(__xludf.DUMMYFUNCTION("IMPORTRANGE(""https://docs.google.com/spreadsheets/d/1IYY_tgx_IHuhSq3AJ5eI5OnqOPBNLWSHKh2a30DoXe8/edit?usp=sharing"",""ตรัง!J169"")"),0.0)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71400</v>
      </c>
      <c r="M250" s="183">
        <f t="shared" si="78"/>
        <v>37000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71400</v>
      </c>
      <c r="M252" s="188">
        <f t="shared" si="82"/>
        <v>37000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71400</v>
      </c>
      <c r="M254" s="201">
        <f>IFERROR(__xludf.DUMMYFUNCTION("IMPORTRANGE(""https://docs.google.com/spreadsheets/d/1Yj_ptqi66GCucihVvJfMjLAmec39IyEx_6qawtMGysU/edit?usp=sharing"",""สบก!CB83"")"),37000.0)</f>
        <v>37000</v>
      </c>
      <c r="N254" s="202">
        <f>IFERROR(__xludf.DUMMYFUNCTION("IMPORTRANGE(""https://docs.google.com/spreadsheets/d/1Yj_ptqi66GCucihVvJfMjLAmec39IyEx_6qawtMGysU/edit?usp=sharing"",""สบก!CC83"")"),0.0)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IFERROR(__xludf.DUMMYFUNCTION("IMPORTRANGE(""https://docs.google.com/spreadsheets/d/1Yj_ptqi66GCucihVvJfMjLAmec39IyEx_6qawtMGysU/edit?usp=sharing"",""สบก!BX83"")"),0.0)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IFERROR(__xludf.DUMMYFUNCTION("IMPORTRANGE(""https://docs.google.com/spreadsheets/d/1Yj_ptqi66GCucihVvJfMjLAmec39IyEx_6qawtMGysU/edit?usp=sharing"",""สบก!BY83"")"),71400.0)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IFERROR(__xludf.DUMMYFUNCTION("IMPORTRANGE(""https://docs.google.com/spreadsheets/d/1Yj_ptqi66GCucihVvJfMjLAmec39IyEx_6qawtMGysU/edit?usp=sharing"",""สบก!BZ83"")"),0.0)</f>
        <v>0</v>
      </c>
      <c r="M258" s="125"/>
      <c r="N258" s="115">
        <f>IFERROR(__xludf.DUMMYFUNCTION("IMPORTRANGE(""https://docs.google.com/spreadsheets/d/1Yj_ptqi66GCucihVvJfMjLAmec39IyEx_6qawtMGysU/edit?usp=sharing"",""สบก!CD83"")"),0.0)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IFERROR(__xludf.DUMMYFUNCTION("IMPORTRANGE(""https://docs.google.com/spreadsheets/d/1IYY_tgx_IHuhSq3AJ5eI5OnqOPBNLWSHKh2a30DoXe8/edit?usp=sharing"",""ตรัง!J175"")"),0.0)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IFERROR(__xludf.DUMMYFUNCTION("IMPORTRANGE(""https://docs.google.com/spreadsheets/d/1IYY_tgx_IHuhSq3AJ5eI5OnqOPBNLWSHKh2a30DoXe8/edit?usp=sharing"",""ตรัง!J176"")"),1.0)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IFERROR(__xludf.DUMMYFUNCTION("IMPORTRANGE(""https://docs.google.com/spreadsheets/d/1IYY_tgx_IHuhSq3AJ5eI5OnqOPBNLWSHKh2a30DoXe8/edit?usp=sharing"",""ตรัง!J177"")"),1.0)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IFERROR(__xludf.DUMMYFUNCTION("IMPORTRANGE(""https://docs.google.com/spreadsheets/d/1IYY_tgx_IHuhSq3AJ5eI5OnqOPBNLWSHKh2a30DoXe8/edit?usp=sharing"",""ตรัง!J178"")"),0.0)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IFERROR(__xludf.DUMMYFUNCTION("IMPORTRANGE(""https://docs.google.com/spreadsheets/d/1IYY_tgx_IHuhSq3AJ5eI5OnqOPBNLWSHKh2a30DoXe8/edit?usp=sharing"",""ตรัง!I179"")"),1.0)</f>
        <v>1</v>
      </c>
      <c r="J264" s="223">
        <f>IFERROR(__xludf.DUMMYFUNCTION("IMPORTRANGE(""https://docs.google.com/spreadsheets/d/1IYY_tgx_IHuhSq3AJ5eI5OnqOPBNLWSHKh2a30DoXe8/edit?usp=sharing"",""ตรัง!J179"")"),0.0)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IFERROR(__xludf.DUMMYFUNCTION("IMPORTRANGE(""https://docs.google.com/spreadsheets/d/1IYY_tgx_IHuhSq3AJ5eI5OnqOPBNLWSHKh2a30DoXe8/edit?usp=sharing"",""ตรัง!I180"")"),20.0)</f>
        <v>20</v>
      </c>
      <c r="J265" s="223">
        <f>IFERROR(__xludf.DUMMYFUNCTION("IMPORTRANGE(""https://docs.google.com/spreadsheets/d/1IYY_tgx_IHuhSq3AJ5eI5OnqOPBNLWSHKh2a30DoXe8/edit?usp=sharing"",""ตรัง!J180"")"),0.0)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IFERROR(__xludf.DUMMYFUNCTION("IMPORTRANGE(""https://docs.google.com/spreadsheets/d/1IYY_tgx_IHuhSq3AJ5eI5OnqOPBNLWSHKh2a30DoXe8/edit?usp=sharing"",""ตรัง!I181"")"),20.0)</f>
        <v>20</v>
      </c>
      <c r="J266" s="223">
        <f>IFERROR(__xludf.DUMMYFUNCTION("IMPORTRANGE(""https://docs.google.com/spreadsheets/d/1IYY_tgx_IHuhSq3AJ5eI5OnqOPBNLWSHKh2a30DoXe8/edit?usp=sharing"",""ตรัง!J181"")"),0.0)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IFERROR(__xludf.DUMMYFUNCTION("IMPORTRANGE(""https://docs.google.com/spreadsheets/d/1IYY_tgx_IHuhSq3AJ5eI5OnqOPBNLWSHKh2a30DoXe8/edit?usp=sharing"",""ตรัง!I182"")"),1.0)</f>
        <v>1</v>
      </c>
      <c r="J267" s="223">
        <f>IFERROR(__xludf.DUMMYFUNCTION("IMPORTRANGE(""https://docs.google.com/spreadsheets/d/1IYY_tgx_IHuhSq3AJ5eI5OnqOPBNLWSHKh2a30DoXe8/edit?usp=sharing"",""ตรัง!J182"")"),0.0)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IFERROR(__xludf.DUMMYFUNCTION("IMPORTRANGE(""https://docs.google.com/spreadsheets/d/1IYY_tgx_IHuhSq3AJ5eI5OnqOPBNLWSHKh2a30DoXe8/edit?usp=sharing"",""ตรัง!J183"")"),0.0)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IFERROR(__xludf.DUMMYFUNCTION("IMPORTRANGE(""https://docs.google.com/spreadsheets/d/1IYY_tgx_IHuhSq3AJ5eI5OnqOPBNLWSHKh2a30DoXe8/edit?usp=sharing"",""ตรัง!J184"")"),0.0)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IFERROR(__xludf.DUMMYFUNCTION("IMPORTRANGE(""https://docs.google.com/spreadsheets/d/1IYY_tgx_IHuhSq3AJ5eI5OnqOPBNLWSHKh2a30DoXe8/edit?usp=sharing"",""ตรัง!I185"")"),0.0)</f>
        <v>0</v>
      </c>
      <c r="J270" s="349">
        <f>IFERROR(__xludf.DUMMYFUNCTION("IMPORTRANGE(""https://docs.google.com/spreadsheets/d/1IYY_tgx_IHuhSq3AJ5eI5OnqOPBNLWSHKh2a30DoXe8/edit?usp=sharing"",""ตรัง!J185"")"),0.0)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240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240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IFERROR(__xludf.DUMMYFUNCTION("IMPORTRANGE(""https://docs.google.com/spreadsheets/d/1Yj_ptqi66GCucihVvJfMjLAmec39IyEx_6qawtMGysU/edit?usp=sharing"",""สบก!CK83"")"),0.0)</f>
        <v>0</v>
      </c>
      <c r="N275" s="202">
        <f>IFERROR(__xludf.DUMMYFUNCTION("IMPORTRANGE(""https://docs.google.com/spreadsheets/d/1Yj_ptqi66GCucihVvJfMjLAmec39IyEx_6qawtMGysU/edit?usp=sharing"",""สบก!CL83"")"),240.0)</f>
        <v>240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IFERROR(__xludf.DUMMYFUNCTION("IMPORTRANGE(""https://docs.google.com/spreadsheets/d/1Yj_ptqi66GCucihVvJfMjLAmec39IyEx_6qawtMGysU/edit?usp=sharing"",""สบก!CG83"")"),0.0)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IFERROR(__xludf.DUMMYFUNCTION("IMPORTRANGE(""https://docs.google.com/spreadsheets/d/1Yj_ptqi66GCucihVvJfMjLAmec39IyEx_6qawtMGysU/edit?usp=sharing"",""สบก!CH83"")"),0.0)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IFERROR(__xludf.DUMMYFUNCTION("IMPORTRANGE(""https://docs.google.com/spreadsheets/d/1Yj_ptqi66GCucihVvJfMjLAmec39IyEx_6qawtMGysU/edit?usp=sharing"",""สบก!CI83"")"),0.0)</f>
        <v>0</v>
      </c>
      <c r="M279" s="125"/>
      <c r="N279" s="115">
        <f>IFERROR(__xludf.DUMMYFUNCTION("IMPORTRANGE(""https://docs.google.com/spreadsheets/d/1Yj_ptqi66GCucihVvJfMjLAmec39IyEx_6qawtMGysU/edit?usp=sharing"",""สบก!CM83"")"),0.0)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IFERROR(__xludf.DUMMYFUNCTION("IMPORTRANGE(""https://docs.google.com/spreadsheets/d/1IYY_tgx_IHuhSq3AJ5eI5OnqOPBNLWSHKh2a30DoXe8/edit?usp=sharing"",""ตรัง!J191"")"),0.0)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IFERROR(__xludf.DUMMYFUNCTION("IMPORTRANGE(""https://docs.google.com/spreadsheets/d/1IYY_tgx_IHuhSq3AJ5eI5OnqOPBNLWSHKh2a30DoXe8/edit?usp=sharing"",""ตรัง!J192"")"),0.0)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IFERROR(__xludf.DUMMYFUNCTION("IMPORTRANGE(""https://docs.google.com/spreadsheets/d/1IYY_tgx_IHuhSq3AJ5eI5OnqOPBNLWSHKh2a30DoXe8/edit?usp=sharing"",""ตรัง!J193"")"),0.0)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IFERROR(__xludf.DUMMYFUNCTION("IMPORTRANGE(""https://docs.google.com/spreadsheets/d/1IYY_tgx_IHuhSq3AJ5eI5OnqOPBNLWSHKh2a30DoXe8/edit?usp=sharing"",""ตรัง!J194"")"),0.0)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IFERROR(__xludf.DUMMYFUNCTION("IMPORTRANGE(""https://docs.google.com/spreadsheets/d/1IYY_tgx_IHuhSq3AJ5eI5OnqOPBNLWSHKh2a30DoXe8/edit?usp=sharing"",""ตรัง!I195"")"),0.0)</f>
        <v>0</v>
      </c>
      <c r="J285" s="223">
        <f>IFERROR(__xludf.DUMMYFUNCTION("IMPORTRANGE(""https://docs.google.com/spreadsheets/d/1IYY_tgx_IHuhSq3AJ5eI5OnqOPBNLWSHKh2a30DoXe8/edit?usp=sharing"",""ตรัง!J195"")"),0.0)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IFERROR(__xludf.DUMMYFUNCTION("IMPORTRANGE(""https://docs.google.com/spreadsheets/d/1IYY_tgx_IHuhSq3AJ5eI5OnqOPBNLWSHKh2a30DoXe8/edit?usp=sharing"",""ตรัง!J196"")"),0.0)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IFERROR(__xludf.DUMMYFUNCTION("IMPORTRANGE(""https://docs.google.com/spreadsheets/d/1IYY_tgx_IHuhSq3AJ5eI5OnqOPBNLWSHKh2a30DoXe8/edit?usp=sharing"",""ตรัง!J197"")"),0.0)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IFERROR(__xludf.DUMMYFUNCTION("IMPORTRANGE(""https://docs.google.com/spreadsheets/d/1IYY_tgx_IHuhSq3AJ5eI5OnqOPBNLWSHKh2a30DoXe8/edit?usp=sharing"",""ตรัง!I199"")"),0.0)</f>
        <v>0</v>
      </c>
      <c r="J289" s="349">
        <f>IFERROR(__xludf.DUMMYFUNCTION("IMPORTRANGE(""https://docs.google.com/spreadsheets/d/1IYY_tgx_IHuhSq3AJ5eI5OnqOPBNLWSHKh2a30DoXe8/edit?usp=sharing"",""ตรัง!J199"")"),0.0)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IFERROR(__xludf.DUMMYFUNCTION("IMPORTRANGE(""https://docs.google.com/spreadsheets/d/1Yj_ptqi66GCucihVvJfMjLAmec39IyEx_6qawtMGysU/edit?usp=sharing"",""สบก!CT83"")"),0.0)</f>
        <v>0</v>
      </c>
      <c r="N294" s="202">
        <f>IFERROR(__xludf.DUMMYFUNCTION("IMPORTRANGE(""https://docs.google.com/spreadsheets/d/1Yj_ptqi66GCucihVvJfMjLAmec39IyEx_6qawtMGysU/edit?usp=sharing"",""สบก!CU83"")"),0.0)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IFERROR(__xludf.DUMMYFUNCTION("IMPORTRANGE(""https://docs.google.com/spreadsheets/d/1Yj_ptqi66GCucihVvJfMjLAmec39IyEx_6qawtMGysU/edit?usp=sharing"",""สบก!CP83"")"),0.0)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IFERROR(__xludf.DUMMYFUNCTION("IMPORTRANGE(""https://docs.google.com/spreadsheets/d/1Yj_ptqi66GCucihVvJfMjLAmec39IyEx_6qawtMGysU/edit?usp=sharing"",""สบก!CQ83"")"),0.0)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IFERROR(__xludf.DUMMYFUNCTION("IMPORTRANGE(""https://docs.google.com/spreadsheets/d/1Yj_ptqi66GCucihVvJfMjLAmec39IyEx_6qawtMGysU/edit?usp=sharing"",""สบก!CR83"")"),0.0)</f>
        <v>0</v>
      </c>
      <c r="M298" s="125"/>
      <c r="N298" s="115">
        <f>IFERROR(__xludf.DUMMYFUNCTION("IMPORTRANGE(""https://docs.google.com/spreadsheets/d/1Yj_ptqi66GCucihVvJfMjLAmec39IyEx_6qawtMGysU/edit?usp=sharing"",""สบก!CV83"")"),0.0)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IFERROR(__xludf.DUMMYFUNCTION("IMPORTRANGE(""https://docs.google.com/spreadsheets/d/1IYY_tgx_IHuhSq3AJ5eI5OnqOPBNLWSHKh2a30DoXe8/edit?usp=sharing"",""ตรัง!J205"")"),0.0)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IFERROR(__xludf.DUMMYFUNCTION("IMPORTRANGE(""https://docs.google.com/spreadsheets/d/1IYY_tgx_IHuhSq3AJ5eI5OnqOPBNLWSHKh2a30DoXe8/edit?usp=sharing"",""ตรัง!J206"")"),0.0)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IFERROR(__xludf.DUMMYFUNCTION("IMPORTRANGE(""https://docs.google.com/spreadsheets/d/1IYY_tgx_IHuhSq3AJ5eI5OnqOPBNLWSHKh2a30DoXe8/edit?usp=sharing"",""ตรัง!J207"")"),0.0)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IFERROR(__xludf.DUMMYFUNCTION("IMPORTRANGE(""https://docs.google.com/spreadsheets/d/1IYY_tgx_IHuhSq3AJ5eI5OnqOPBNLWSHKh2a30DoXe8/edit?usp=sharing"",""ตรัง!J208"")"),0.0)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IFERROR(__xludf.DUMMYFUNCTION("IMPORTRANGE(""https://docs.google.com/spreadsheets/d/1IYY_tgx_IHuhSq3AJ5eI5OnqOPBNLWSHKh2a30DoXe8/edit?usp=sharing"",""ตรัง!I209"")"),0.0)</f>
        <v>0</v>
      </c>
      <c r="J304" s="238">
        <f>IFERROR(__xludf.DUMMYFUNCTION("IMPORTRANGE(""https://docs.google.com/spreadsheets/d/1IYY_tgx_IHuhSq3AJ5eI5OnqOPBNLWSHKh2a30DoXe8/edit?usp=sharing"",""ตรัง!J209"")"),0.0)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IFERROR(__xludf.DUMMYFUNCTION("IMPORTRANGE(""https://docs.google.com/spreadsheets/d/1IYY_tgx_IHuhSq3AJ5eI5OnqOPBNLWSHKh2a30DoXe8/edit?usp=sharing"",""ตรัง!I211"")"),0.0)</f>
        <v>0</v>
      </c>
      <c r="J306" s="238">
        <f>IFERROR(__xludf.DUMMYFUNCTION("IMPORTRANGE(""https://docs.google.com/spreadsheets/d/1IYY_tgx_IHuhSq3AJ5eI5OnqOPBNLWSHKh2a30DoXe8/edit?usp=sharing"",""ตรัง!J211"")"),0.0)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IFERROR(__xludf.DUMMYFUNCTION("IMPORTRANGE(""https://docs.google.com/spreadsheets/d/1IYY_tgx_IHuhSq3AJ5eI5OnqOPBNLWSHKh2a30DoXe8/edit?usp=sharing"",""ตรัง!J212"")"),0.0)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IFERROR(__xludf.DUMMYFUNCTION("IMPORTRANGE(""https://docs.google.com/spreadsheets/d/1IYY_tgx_IHuhSq3AJ5eI5OnqOPBNLWSHKh2a30DoXe8/edit?usp=sharing"",""ตรัง!J213"")"),0.0)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IFERROR(__xludf.DUMMYFUNCTION("IMPORTRANGE(""https://docs.google.com/spreadsheets/d/1IYY_tgx_IHuhSq3AJ5eI5OnqOPBNLWSHKh2a30DoXe8/edit?usp=sharing"",""ตรัง!I214"")"),0.0)</f>
        <v>0</v>
      </c>
      <c r="J309" s="366">
        <f>IFERROR(__xludf.DUMMYFUNCTION("IMPORTRANGE(""https://docs.google.com/spreadsheets/d/1IYY_tgx_IHuhSq3AJ5eI5OnqOPBNLWSHKh2a30DoXe8/edit?usp=sharing"",""ตรัง!J214"")"),0.0)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IFERROR(__xludf.DUMMYFUNCTION("IMPORTRANGE(""https://docs.google.com/spreadsheets/d/1Yj_ptqi66GCucihVvJfMjLAmec39IyEx_6qawtMGysU/edit?usp=sharing"",""สบก!DC83"")"),0.0)</f>
        <v>0</v>
      </c>
      <c r="N314" s="202">
        <f>IFERROR(__xludf.DUMMYFUNCTION("IMPORTRANGE(""https://docs.google.com/spreadsheets/d/1Yj_ptqi66GCucihVvJfMjLAmec39IyEx_6qawtMGysU/edit?usp=sharing"",""สบก!DD83"")"),0.0)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IFERROR(__xludf.DUMMYFUNCTION("IMPORTRANGE(""https://docs.google.com/spreadsheets/d/1Yj_ptqi66GCucihVvJfMjLAmec39IyEx_6qawtMGysU/edit?usp=sharing"",""สบก!CY83"")"),0.0)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IFERROR(__xludf.DUMMYFUNCTION("IMPORTRANGE(""https://docs.google.com/spreadsheets/d/1Yj_ptqi66GCucihVvJfMjLAmec39IyEx_6qawtMGysU/edit?usp=sharing"",""สบก!CZ83"")"),0.0)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IFERROR(__xludf.DUMMYFUNCTION("IMPORTRANGE(""https://docs.google.com/spreadsheets/d/1Yj_ptqi66GCucihVvJfMjLAmec39IyEx_6qawtMGysU/edit?usp=sharing"",""สบก!DA83"")"),0.0)</f>
        <v>0</v>
      </c>
      <c r="M318" s="125"/>
      <c r="N318" s="115">
        <f>IFERROR(__xludf.DUMMYFUNCTION("IMPORTRANGE(""https://docs.google.com/spreadsheets/d/1Yj_ptqi66GCucihVvJfMjLAmec39IyEx_6qawtMGysU/edit?usp=sharing"",""สบก!DE83"")"),0.0)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IFERROR(__xludf.DUMMYFUNCTION("IMPORTRANGE(""https://docs.google.com/spreadsheets/d/1IYY_tgx_IHuhSq3AJ5eI5OnqOPBNLWSHKh2a30DoXe8/edit?usp=sharing"",""ตรัง!J220"")"),0.0)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IFERROR(__xludf.DUMMYFUNCTION("IMPORTRANGE(""https://docs.google.com/spreadsheets/d/1IYY_tgx_IHuhSq3AJ5eI5OnqOPBNLWSHKh2a30DoXe8/edit?usp=sharing"",""ตรัง!J221"")"),0.0)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IFERROR(__xludf.DUMMYFUNCTION("IMPORTRANGE(""https://docs.google.com/spreadsheets/d/1IYY_tgx_IHuhSq3AJ5eI5OnqOPBNLWSHKh2a30DoXe8/edit?usp=sharing"",""ตรัง!J222"")"),0.0)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IFERROR(__xludf.DUMMYFUNCTION("IMPORTRANGE(""https://docs.google.com/spreadsheets/d/1IYY_tgx_IHuhSq3AJ5eI5OnqOPBNLWSHKh2a30DoXe8/edit?usp=sharing"",""ตรัง!J223"")"),0.0)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IFERROR(__xludf.DUMMYFUNCTION("IMPORTRANGE(""https://docs.google.com/spreadsheets/d/1IYY_tgx_IHuhSq3AJ5eI5OnqOPBNLWSHKh2a30DoXe8/edit?usp=sharing"",""ตรัง!I224"")"),0.0)</f>
        <v>0</v>
      </c>
      <c r="J324" s="238">
        <f>IFERROR(__xludf.DUMMYFUNCTION("IMPORTRANGE(""https://docs.google.com/spreadsheets/d/1IYY_tgx_IHuhSq3AJ5eI5OnqOPBNLWSHKh2a30DoXe8/edit?usp=sharing"",""ตรัง!J224"")"),0.0)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IFERROR(__xludf.DUMMYFUNCTION("IMPORTRANGE(""https://docs.google.com/spreadsheets/d/1IYY_tgx_IHuhSq3AJ5eI5OnqOPBNLWSHKh2a30DoXe8/edit?usp=sharing"",""ตรัง!J225"")"),0.0)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IFERROR(__xludf.DUMMYFUNCTION("IMPORTRANGE(""https://docs.google.com/spreadsheets/d/1IYY_tgx_IHuhSq3AJ5eI5OnqOPBNLWSHKh2a30DoXe8/edit?usp=sharing"",""ตรัง!J226"")"),0.0)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IFERROR(__xludf.DUMMYFUNCTION("IMPORTRANGE(""https://docs.google.com/spreadsheets/d/1IYY_tgx_IHuhSq3AJ5eI5OnqOPBNLWSHKh2a30DoXe8/edit?usp=sharing"",""ตรัง!I228"")"),163.0)</f>
        <v>163</v>
      </c>
      <c r="J328" s="372">
        <f>IFERROR(__xludf.DUMMYFUNCTION("IMPORTRANGE(""https://docs.google.com/spreadsheets/d/1IYY_tgx_IHuhSq3AJ5eI5OnqOPBNLWSHKh2a30DoXe8/edit?usp=sharing"",""ตรัง!J228"")"),39.0)</f>
        <v>39</v>
      </c>
      <c r="K328" s="350">
        <f>IF(I328&gt;0,J328*100/I328,0)</f>
        <v>23.92638037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890750</v>
      </c>
      <c r="M329" s="183">
        <f t="shared" si="99"/>
        <v>398800</v>
      </c>
      <c r="N329" s="183">
        <f t="shared" si="99"/>
        <v>323194</v>
      </c>
      <c r="O329" s="182">
        <f t="shared" ref="O329:O331" si="101">IF(L329&gt;0,N329*100/L329,0)</f>
        <v>36.28335672</v>
      </c>
      <c r="P329" s="182">
        <f t="shared" ref="P329:P331" si="102">IF(M329&gt;0,N329*100/M329,0)</f>
        <v>81.04162487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890750</v>
      </c>
      <c r="M331" s="188">
        <f t="shared" si="103"/>
        <v>398800</v>
      </c>
      <c r="N331" s="188">
        <f t="shared" si="103"/>
        <v>323194</v>
      </c>
      <c r="O331" s="187">
        <f t="shared" si="101"/>
        <v>36.28335672</v>
      </c>
      <c r="P331" s="187">
        <f t="shared" si="102"/>
        <v>81.04162487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739550</v>
      </c>
      <c r="M333" s="201">
        <f>IFERROR(__xludf.DUMMYFUNCTION("IMPORTRANGE(""https://docs.google.com/spreadsheets/d/1Yj_ptqi66GCucihVvJfMjLAmec39IyEx_6qawtMGysU/edit?usp=sharing"",""สบก!DL83"")"),398800.0)</f>
        <v>398800</v>
      </c>
      <c r="N333" s="202">
        <f>IFERROR(__xludf.DUMMYFUNCTION("IMPORTRANGE(""https://docs.google.com/spreadsheets/d/1Yj_ptqi66GCucihVvJfMjLAmec39IyEx_6qawtMGysU/edit?usp=sharing"",""สบก!DM83"")"),171994.0)</f>
        <v>171994</v>
      </c>
      <c r="O333" s="203">
        <f>IF(L333&gt;0,N333*100/L333,0)</f>
        <v>23.25657494</v>
      </c>
      <c r="P333" s="203">
        <f>IF(M333&gt;0,N333*100/M333,0)</f>
        <v>43.12788365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IFERROR(__xludf.DUMMYFUNCTION("IMPORTRANGE(""https://docs.google.com/spreadsheets/d/1Yj_ptqi66GCucihVvJfMjLAmec39IyEx_6qawtMGysU/edit?usp=sharing"",""สบก!DH83"")"),388800.0)</f>
        <v>388800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IFERROR(__xludf.DUMMYFUNCTION("IMPORTRANGE(""https://docs.google.com/spreadsheets/d/1Yj_ptqi66GCucihVvJfMjLAmec39IyEx_6qawtMGysU/edit?usp=sharing"",""สบก!DI83"")"),350750.0)</f>
        <v>350750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IFERROR(__xludf.DUMMYFUNCTION("IMPORTRANGE(""https://docs.google.com/spreadsheets/d/1Yj_ptqi66GCucihVvJfMjLAmec39IyEx_6qawtMGysU/edit?usp=sharing"",""สบก!DJ83"")"),151200.0)</f>
        <v>151200</v>
      </c>
      <c r="M337" s="125"/>
      <c r="N337" s="115">
        <f>IFERROR(__xludf.DUMMYFUNCTION("IMPORTRANGE(""https://docs.google.com/spreadsheets/d/1Yj_ptqi66GCucihVvJfMjLAmec39IyEx_6qawtMGysU/edit?usp=sharing"",""สบก!DN83"")"),151200.0)</f>
        <v>151200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IFERROR(__xludf.DUMMYFUNCTION("IMPORTRANGE(""https://docs.google.com/spreadsheets/d/1IYY_tgx_IHuhSq3AJ5eI5OnqOPBNLWSHKh2a30DoXe8/edit?usp=sharing"",""ตรัง!I234"")"),0.0)</f>
        <v>0</v>
      </c>
      <c r="J339" s="222">
        <f>IFERROR(__xludf.DUMMYFUNCTION("IMPORTRANGE(""https://docs.google.com/spreadsheets/d/1IYY_tgx_IHuhSq3AJ5eI5OnqOPBNLWSHKh2a30DoXe8/edit?usp=sharing"",""ตรัง!J234"")"),110.0)</f>
        <v>110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IFERROR(__xludf.DUMMYFUNCTION("IMPORTRANGE(""https://docs.google.com/spreadsheets/d/1IYY_tgx_IHuhSq3AJ5eI5OnqOPBNLWSHKh2a30DoXe8/edit?usp=sharing"",""ตรัง!I235"")"),1840.0)</f>
        <v>1840</v>
      </c>
      <c r="J340" s="222">
        <f>IFERROR(__xludf.DUMMYFUNCTION("IMPORTRANGE(""https://docs.google.com/spreadsheets/d/1IYY_tgx_IHuhSq3AJ5eI5OnqOPBNLWSHKh2a30DoXe8/edit?usp=sharing"",""ตรัง!J235"")"),662.79)</f>
        <v>662.79</v>
      </c>
      <c r="K340" s="375">
        <f t="shared" si="104"/>
        <v>36.02119565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IFERROR(__xludf.DUMMYFUNCTION("IMPORTRANGE(""https://docs.google.com/spreadsheets/d/1IYY_tgx_IHuhSq3AJ5eI5OnqOPBNLWSHKh2a30DoXe8/edit?usp=sharing"",""ตรัง!I236"")"),163.0)</f>
        <v>163</v>
      </c>
      <c r="J341" s="222">
        <f>IFERROR(__xludf.DUMMYFUNCTION("IMPORTRANGE(""https://docs.google.com/spreadsheets/d/1IYY_tgx_IHuhSq3AJ5eI5OnqOPBNLWSHKh2a30DoXe8/edit?usp=sharing"",""ตรัง!J236"")"),93.0)</f>
        <v>93</v>
      </c>
      <c r="K341" s="375">
        <f t="shared" si="104"/>
        <v>57.05521472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IFERROR(__xludf.DUMMYFUNCTION("IMPORTRANGE(""https://docs.google.com/spreadsheets/d/1IYY_tgx_IHuhSq3AJ5eI5OnqOPBNLWSHKh2a30DoXe8/edit?usp=sharing"",""ตรัง!I237"")"),0.0)</f>
        <v>0</v>
      </c>
      <c r="J342" s="222">
        <f>IFERROR(__xludf.DUMMYFUNCTION("IMPORTRANGE(""https://docs.google.com/spreadsheets/d/1IYY_tgx_IHuhSq3AJ5eI5OnqOPBNLWSHKh2a30DoXe8/edit?usp=sharing"",""ตรัง!J237"")"),932.97)</f>
        <v>932.97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IFERROR(__xludf.DUMMYFUNCTION("IMPORTRANGE(""https://docs.google.com/spreadsheets/d/1IYY_tgx_IHuhSq3AJ5eI5OnqOPBNLWSHKh2a30DoXe8/edit?usp=sharing"",""ตรัง!I238"")"),163.0)</f>
        <v>163</v>
      </c>
      <c r="J343" s="222">
        <f>IFERROR(__xludf.DUMMYFUNCTION("IMPORTRANGE(""https://docs.google.com/spreadsheets/d/1IYY_tgx_IHuhSq3AJ5eI5OnqOPBNLWSHKh2a30DoXe8/edit?usp=sharing"",""ตรัง!J238"")"),0.0)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IFERROR(__xludf.DUMMYFUNCTION("IMPORTRANGE(""https://docs.google.com/spreadsheets/d/1IYY_tgx_IHuhSq3AJ5eI5OnqOPBNLWSHKh2a30DoXe8/edit?usp=sharing"",""ตรัง!I239"")"),0.0)</f>
        <v>0</v>
      </c>
      <c r="J344" s="222">
        <f>IFERROR(__xludf.DUMMYFUNCTION("IMPORTRANGE(""https://docs.google.com/spreadsheets/d/1IYY_tgx_IHuhSq3AJ5eI5OnqOPBNLWSHKh2a30DoXe8/edit?usp=sharing"",""ตรัง!J239"")"),0.0)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IFERROR(__xludf.DUMMYFUNCTION("IMPORTRANGE(""https://docs.google.com/spreadsheets/d/1IYY_tgx_IHuhSq3AJ5eI5OnqOPBNLWSHKh2a30DoXe8/edit?usp=sharing"",""ตรัง!I240"")"),163.0)</f>
        <v>163</v>
      </c>
      <c r="J345" s="222">
        <f>IFERROR(__xludf.DUMMYFUNCTION("IMPORTRANGE(""https://docs.google.com/spreadsheets/d/1IYY_tgx_IHuhSq3AJ5eI5OnqOPBNLWSHKh2a30DoXe8/edit?usp=sharing"",""ตรัง!J240"")"),39.0)</f>
        <v>39</v>
      </c>
      <c r="K345" s="375">
        <f t="shared" si="104"/>
        <v>23.92638037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IFERROR(__xludf.DUMMYFUNCTION("IMPORTRANGE(""https://docs.google.com/spreadsheets/d/1IYY_tgx_IHuhSq3AJ5eI5OnqOPBNLWSHKh2a30DoXe8/edit?usp=sharing"",""ตรัง!I241"")"),0.0)</f>
        <v>0</v>
      </c>
      <c r="J346" s="222">
        <f>IFERROR(__xludf.DUMMYFUNCTION("IMPORTRANGE(""https://docs.google.com/spreadsheets/d/1IYY_tgx_IHuhSq3AJ5eI5OnqOPBNLWSHKh2a30DoXe8/edit?usp=sharing"",""ตรัง!J241"")"),382.16)</f>
        <v>382.16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IFERROR(__xludf.DUMMYFUNCTION("IMPORTRANGE(""https://docs.google.com/spreadsheets/d/1IYY_tgx_IHuhSq3AJ5eI5OnqOPBNLWSHKh2a30DoXe8/edit?usp=sharing"",""ตรัง!L242"")"),1187098.0)</f>
        <v>1187098</v>
      </c>
      <c r="M347" s="391"/>
      <c r="N347" s="391">
        <f>IFERROR(__xludf.DUMMYFUNCTION("IMPORTRANGE(""https://docs.google.com/spreadsheets/d/1IYY_tgx_IHuhSq3AJ5eI5OnqOPBNLWSHKh2a30DoXe8/edit?usp=sharing"",""ตรัง!M242"")"),194475.98)</f>
        <v>194475.98</v>
      </c>
      <c r="O347" s="391">
        <f>+IF(L347&gt;0,N347*100/L347,0)</f>
        <v>16.38247053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IFERROR(__xludf.DUMMYFUNCTION("IMPORTRANGE(""https://docs.google.com/spreadsheets/d/1IYY_tgx_IHuhSq3AJ5eI5OnqOPBNLWSHKh2a30DoXe8/edit?usp=sharing"",""ตรัง!I244"")"),70.0)</f>
        <v>70</v>
      </c>
      <c r="J349" s="404">
        <f>IFERROR(__xludf.DUMMYFUNCTION("IMPORTRANGE(""https://docs.google.com/spreadsheets/d/1IYY_tgx_IHuhSq3AJ5eI5OnqOPBNLWSHKh2a30DoXe8/edit?usp=sharing"",""ตรัง!J244"")"),0.0)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IFERROR(__xludf.DUMMYFUNCTION("IMPORTRANGE(""https://docs.google.com/spreadsheets/d/1IYY_tgx_IHuhSq3AJ5eI5OnqOPBNLWSHKh2a30DoXe8/edit?usp=sharing"",""ตรัง!L244"")"),274060.0)</f>
        <v>274060</v>
      </c>
      <c r="M349" s="406"/>
      <c r="N349" s="406">
        <f>IFERROR(__xludf.DUMMYFUNCTION("IMPORTRANGE(""https://docs.google.com/spreadsheets/d/1IYY_tgx_IHuhSq3AJ5eI5OnqOPBNLWSHKh2a30DoXe8/edit?usp=sharing"",""ตรัง!M244"")"),10753.0)</f>
        <v>10753</v>
      </c>
      <c r="O349" s="406">
        <f>+IF(L349&gt;0,N349*100/L349,0)</f>
        <v>3.923593374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IFERROR(__xludf.DUMMYFUNCTION("IMPORTRANGE(""https://docs.google.com/spreadsheets/d/1IYY_tgx_IHuhSq3AJ5eI5OnqOPBNLWSHKh2a30DoXe8/edit?usp=sharing"",""ตรัง!I245"")"),25.0)</f>
        <v>25</v>
      </c>
      <c r="J350" s="404">
        <f>IFERROR(__xludf.DUMMYFUNCTION("IMPORTRANGE(""https://docs.google.com/spreadsheets/d/1IYY_tgx_IHuhSq3AJ5eI5OnqOPBNLWSHKh2a30DoXe8/edit?usp=sharing"",""ตรัง!J245"")"),0.0)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IFERROR(__xludf.DUMMYFUNCTION("IMPORTRANGE(""https://docs.google.com/spreadsheets/d/1IYY_tgx_IHuhSq3AJ5eI5OnqOPBNLWSHKh2a30DoXe8/edit?usp=sharing"",""ตรัง!L246"")"),0.0)</f>
        <v>0</v>
      </c>
      <c r="M351" s="197"/>
      <c r="N351" s="197">
        <f>IFERROR(__xludf.DUMMYFUNCTION("IMPORTRANGE(""https://docs.google.com/spreadsheets/d/1IYY_tgx_IHuhSq3AJ5eI5OnqOPBNLWSHKh2a30DoXe8/edit?usp=sharing"",""ตรัง!M246"")"),0.0)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IFERROR(__xludf.DUMMYFUNCTION("IMPORTRANGE(""https://docs.google.com/spreadsheets/d/1IYY_tgx_IHuhSq3AJ5eI5OnqOPBNLWSHKh2a30DoXe8/edit?usp=sharing"",""ตรัง!L247"")"),274060.0)</f>
        <v>274060</v>
      </c>
      <c r="M352" s="198"/>
      <c r="N352" s="197">
        <f>IFERROR(__xludf.DUMMYFUNCTION("IMPORTRANGE(""https://docs.google.com/spreadsheets/d/1IYY_tgx_IHuhSq3AJ5eI5OnqOPBNLWSHKh2a30DoXe8/edit?usp=sharing"",""ตรัง!M247"")"),10753.0)</f>
        <v>10753</v>
      </c>
      <c r="O352" s="198">
        <f t="shared" si="106"/>
        <v>3.923593374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IFERROR(__xludf.DUMMYFUNCTION("IMPORTRANGE(""https://docs.google.com/spreadsheets/d/1IYY_tgx_IHuhSq3AJ5eI5OnqOPBNLWSHKh2a30DoXe8/edit?usp=sharing"",""ตรัง!L248"")"),0.0)</f>
        <v>0</v>
      </c>
      <c r="M353" s="203"/>
      <c r="N353" s="203">
        <f>IFERROR(__xludf.DUMMYFUNCTION("IMPORTRANGE(""https://docs.google.com/spreadsheets/d/1IYY_tgx_IHuhSq3AJ5eI5OnqOPBNLWSHKh2a30DoXe8/edit?usp=sharing"",""ตรัง!M248"")"),0.0)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IFERROR(__xludf.DUMMYFUNCTION("IMPORTRANGE(""https://docs.google.com/spreadsheets/d/1IYY_tgx_IHuhSq3AJ5eI5OnqOPBNLWSHKh2a30DoXe8/edit?usp=sharing"",""ตรัง!L249"")"),274060.0)</f>
        <v>274060</v>
      </c>
      <c r="M354" s="203"/>
      <c r="N354" s="200">
        <f>IFERROR(__xludf.DUMMYFUNCTION("IMPORTRANGE(""https://docs.google.com/spreadsheets/d/1IYY_tgx_IHuhSq3AJ5eI5OnqOPBNLWSHKh2a30DoXe8/edit?usp=sharing"",""ตรัง!M249"")"),10753.0)</f>
        <v>10753</v>
      </c>
      <c r="O354" s="203">
        <f t="shared" si="106"/>
        <v>3.923593374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IFERROR(__xludf.DUMMYFUNCTION("IMPORTRANGE(""https://docs.google.com/spreadsheets/d/1IYY_tgx_IHuhSq3AJ5eI5OnqOPBNLWSHKh2a30DoXe8/edit?usp=sharing"",""ตรัง!M250"")"),0.0)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IFERROR(__xludf.DUMMYFUNCTION("IMPORTRANGE(""https://docs.google.com/spreadsheets/d/1IYY_tgx_IHuhSq3AJ5eI5OnqOPBNLWSHKh2a30DoXe8/edit?usp=sharing"",""ตรัง!M251"")"),0.0)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IFERROR(__xludf.DUMMYFUNCTION("IMPORTRANGE(""https://docs.google.com/spreadsheets/d/1IYY_tgx_IHuhSq3AJ5eI5OnqOPBNLWSHKh2a30DoXe8/edit?usp=sharing"",""ตรัง!M252"")"),10633.0)</f>
        <v>10633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IFERROR(__xludf.DUMMYFUNCTION("IMPORTRANGE(""https://docs.google.com/spreadsheets/d/1IYY_tgx_IHuhSq3AJ5eI5OnqOPBNLWSHKh2a30DoXe8/edit?usp=sharing"",""ตรัง!M253"")"),120.0)</f>
        <v>120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IFERROR(__xludf.DUMMYFUNCTION("IMPORTRANGE(""https://docs.google.com/spreadsheets/d/1IYY_tgx_IHuhSq3AJ5eI5OnqOPBNLWSHKh2a30DoXe8/edit?usp=sharing"",""ตรัง!J255"")"),0.0)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IFERROR(__xludf.DUMMYFUNCTION("IMPORTRANGE(""https://docs.google.com/spreadsheets/d/1IYY_tgx_IHuhSq3AJ5eI5OnqOPBNLWSHKh2a30DoXe8/edit?usp=sharing"",""ตรัง!J256"")"),1.0)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IFERROR(__xludf.DUMMYFUNCTION("IMPORTRANGE(""https://docs.google.com/spreadsheets/d/1IYY_tgx_IHuhSq3AJ5eI5OnqOPBNLWSHKh2a30DoXe8/edit?usp=sharing"",""ตรัง!J257"")"),1.0)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IFERROR(__xludf.DUMMYFUNCTION("IMPORTRANGE(""https://docs.google.com/spreadsheets/d/1IYY_tgx_IHuhSq3AJ5eI5OnqOPBNLWSHKh2a30DoXe8/edit?usp=sharing"",""ตรัง!J258"")"),0.0)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IFERROR(__xludf.DUMMYFUNCTION("IMPORTRANGE(""https://docs.google.com/spreadsheets/d/1IYY_tgx_IHuhSq3AJ5eI5OnqOPBNLWSHKh2a30DoXe8/edit?usp=sharing"",""ตรัง!J166"")"),0.0)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IFERROR(__xludf.DUMMYFUNCTION("IMPORTRANGE(""https://docs.google.com/spreadsheets/d/1IYY_tgx_IHuhSq3AJ5eI5OnqOPBNLWSHKh2a30DoXe8/edit?usp=sharing"",""ตรัง!J166"")"),0.0)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IFERROR(__xludf.DUMMYFUNCTION("IMPORTRANGE(""https://docs.google.com/spreadsheets/d/1IYY_tgx_IHuhSq3AJ5eI5OnqOPBNLWSHKh2a30DoXe8/edit?usp=sharing"",""ตรัง!J166"")"),0.0)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IFERROR(__xludf.DUMMYFUNCTION("IMPORTRANGE(""https://docs.google.com/spreadsheets/d/1IYY_tgx_IHuhSq3AJ5eI5OnqOPBNLWSHKh2a30DoXe8/edit?usp=sharing"",""ตรัง!J166"")"),0.0)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IFERROR(__xludf.DUMMYFUNCTION("IMPORTRANGE(""https://docs.google.com/spreadsheets/d/1IYY_tgx_IHuhSq3AJ5eI5OnqOPBNLWSHKh2a30DoXe8/edit?usp=sharing"",""ตรัง!I263"")"),25.0)</f>
        <v>25</v>
      </c>
      <c r="J368" s="222">
        <f>IFERROR(__xludf.DUMMYFUNCTION("IMPORTRANGE(""https://docs.google.com/spreadsheets/d/1IYY_tgx_IHuhSq3AJ5eI5OnqOPBNLWSHKh2a30DoXe8/edit?usp=sharing"",""ตรัง!J263"")"),0.0)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IFERROR(__xludf.DUMMYFUNCTION("IMPORTRANGE(""https://docs.google.com/spreadsheets/d/1IYY_tgx_IHuhSq3AJ5eI5OnqOPBNLWSHKh2a30DoXe8/edit?usp=sharing"",""ตรัง!I164"")"),0.0)</f>
        <v>0</v>
      </c>
      <c r="J369" s="238">
        <f>IFERROR(__xludf.DUMMYFUNCTION("IMPORTRANGE(""https://docs.google.com/spreadsheets/d/1IYY_tgx_IHuhSq3AJ5eI5OnqOPBNLWSHKh2a30DoXe8/edit?usp=sharing"",""ตรัง!J164"")"),0.0)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IFERROR(__xludf.DUMMYFUNCTION("IMPORTRANGE(""https://docs.google.com/spreadsheets/d/1IYY_tgx_IHuhSq3AJ5eI5OnqOPBNLWSHKh2a30DoXe8/edit?usp=sharing"",""ตรัง!I265"")"),25.0)</f>
        <v>25</v>
      </c>
      <c r="J370" s="238">
        <f>IFERROR(__xludf.DUMMYFUNCTION("IMPORTRANGE(""https://docs.google.com/spreadsheets/d/1IYY_tgx_IHuhSq3AJ5eI5OnqOPBNLWSHKh2a30DoXe8/edit?usp=sharing"",""ตรัง!J265"")"),0.0)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IFERROR(__xludf.DUMMYFUNCTION("IMPORTRANGE(""https://docs.google.com/spreadsheets/d/1IYY_tgx_IHuhSq3AJ5eI5OnqOPBNLWSHKh2a30DoXe8/edit?usp=sharing"",""ตรัง!I164"")"),0.0)</f>
        <v>0</v>
      </c>
      <c r="J371" s="223">
        <f>IFERROR(__xludf.DUMMYFUNCTION("IMPORTRANGE(""https://docs.google.com/spreadsheets/d/1IYY_tgx_IHuhSq3AJ5eI5OnqOPBNLWSHKh2a30DoXe8/edit?usp=sharing"",""ตรัง!J164"")"),0.0)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IFERROR(__xludf.DUMMYFUNCTION("IMPORTRANGE(""https://docs.google.com/spreadsheets/d/1IYY_tgx_IHuhSq3AJ5eI5OnqOPBNLWSHKh2a30DoXe8/edit?usp=sharing"",""ตรัง!I267"")"),25.0)</f>
        <v>25</v>
      </c>
      <c r="J372" s="223">
        <f>IFERROR(__xludf.DUMMYFUNCTION("IMPORTRANGE(""https://docs.google.com/spreadsheets/d/1IYY_tgx_IHuhSq3AJ5eI5OnqOPBNLWSHKh2a30DoXe8/edit?usp=sharing"",""ตรัง!J267"")"),0.0)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IFERROR(__xludf.DUMMYFUNCTION("IMPORTRANGE(""https://docs.google.com/spreadsheets/d/1IYY_tgx_IHuhSq3AJ5eI5OnqOPBNLWSHKh2a30DoXe8/edit?usp=sharing"",""ตรัง!I164"")"),0.0)</f>
        <v>0</v>
      </c>
      <c r="J373" s="238">
        <f>IFERROR(__xludf.DUMMYFUNCTION("IMPORTRANGE(""https://docs.google.com/spreadsheets/d/1IYY_tgx_IHuhSq3AJ5eI5OnqOPBNLWSHKh2a30DoXe8/edit?usp=sharing"",""ตรัง!J164"")"),0.0)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IFERROR(__xludf.DUMMYFUNCTION("IMPORTRANGE(""https://docs.google.com/spreadsheets/d/1IYY_tgx_IHuhSq3AJ5eI5OnqOPBNLWSHKh2a30DoXe8/edit?usp=sharing"",""ตรัง!I164"")"),0.0)</f>
        <v>0</v>
      </c>
      <c r="J374" s="222">
        <f>IFERROR(__xludf.DUMMYFUNCTION("IMPORTRANGE(""https://docs.google.com/spreadsheets/d/1IYY_tgx_IHuhSq3AJ5eI5OnqOPBNLWSHKh2a30DoXe8/edit?usp=sharing"",""ตรัง!J164"")"),0.0)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IFERROR(__xludf.DUMMYFUNCTION("IMPORTRANGE(""https://docs.google.com/spreadsheets/d/1IYY_tgx_IHuhSq3AJ5eI5OnqOPBNLWSHKh2a30DoXe8/edit?usp=sharing"",""ตรัง!I270"")"),70.0)</f>
        <v>70</v>
      </c>
      <c r="J375" s="222">
        <f>IFERROR(__xludf.DUMMYFUNCTION("IMPORTRANGE(""https://docs.google.com/spreadsheets/d/1IYY_tgx_IHuhSq3AJ5eI5OnqOPBNLWSHKh2a30DoXe8/edit?usp=sharing"",""ตรัง!J270"")"),0.0)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IFERROR(__xludf.DUMMYFUNCTION("IMPORTRANGE(""https://docs.google.com/spreadsheets/d/1IYY_tgx_IHuhSq3AJ5eI5OnqOPBNLWSHKh2a30DoXe8/edit?usp=sharing"",""ตรัง!I271"")"),0.0)</f>
        <v>0</v>
      </c>
      <c r="J376" s="223">
        <f>IFERROR(__xludf.DUMMYFUNCTION("IMPORTRANGE(""https://docs.google.com/spreadsheets/d/1IYY_tgx_IHuhSq3AJ5eI5OnqOPBNLWSHKh2a30DoXe8/edit?usp=sharing"",""ตรัง!J271"")"),0.0)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IFERROR(__xludf.DUMMYFUNCTION("IMPORTRANGE(""https://docs.google.com/spreadsheets/d/1IYY_tgx_IHuhSq3AJ5eI5OnqOPBNLWSHKh2a30DoXe8/edit?usp=sharing"",""ตรัง!I272"")"),70.0)</f>
        <v>70</v>
      </c>
      <c r="J377" s="238">
        <f>IFERROR(__xludf.DUMMYFUNCTION("IMPORTRANGE(""https://docs.google.com/spreadsheets/d/1IYY_tgx_IHuhSq3AJ5eI5OnqOPBNLWSHKh2a30DoXe8/edit?usp=sharing"",""ตรัง!J272"")"),0.0)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IFERROR(__xludf.DUMMYFUNCTION("IMPORTRANGE(""https://docs.google.com/spreadsheets/d/1IYY_tgx_IHuhSq3AJ5eI5OnqOPBNLWSHKh2a30DoXe8/edit?usp=sharing"",""ตรัง!J273"")"),0.0)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IFERROR(__xludf.DUMMYFUNCTION("IMPORTRANGE(""https://docs.google.com/spreadsheets/d/1IYY_tgx_IHuhSq3AJ5eI5OnqOPBNLWSHKh2a30DoXe8/edit?usp=sharing"",""ตรัง!J274"")"),0.0)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IFERROR(__xludf.DUMMYFUNCTION("IMPORTRANGE(""https://docs.google.com/spreadsheets/d/1IYY_tgx_IHuhSq3AJ5eI5OnqOPBNLWSHKh2a30DoXe8/edit?usp=sharing"",""ตรัง!I275"")"),300.0)</f>
        <v>300</v>
      </c>
      <c r="J380" s="404">
        <f>IFERROR(__xludf.DUMMYFUNCTION("IMPORTRANGE(""https://docs.google.com/spreadsheets/d/1IYY_tgx_IHuhSq3AJ5eI5OnqOPBNLWSHKh2a30DoXe8/edit?usp=sharing"",""ตรัง!J275"")"),0.0)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IFERROR(__xludf.DUMMYFUNCTION("IMPORTRANGE(""https://docs.google.com/spreadsheets/d/1IYY_tgx_IHuhSq3AJ5eI5OnqOPBNLWSHKh2a30DoXe8/edit?usp=sharing"",""ตรัง!L275"")"),293900.0)</f>
        <v>293900</v>
      </c>
      <c r="M380" s="406"/>
      <c r="N380" s="406">
        <f>IFERROR(__xludf.DUMMYFUNCTION("IMPORTRANGE(""https://docs.google.com/spreadsheets/d/1IYY_tgx_IHuhSq3AJ5eI5OnqOPBNLWSHKh2a30DoXe8/edit?usp=sharing"",""ตรัง!M275"")"),0.0)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IFERROR(__xludf.DUMMYFUNCTION("IMPORTRANGE(""https://docs.google.com/spreadsheets/d/1IYY_tgx_IHuhSq3AJ5eI5OnqOPBNLWSHKh2a30DoXe8/edit?usp=sharing"",""ตรัง!I276"")"),30.0)</f>
        <v>30</v>
      </c>
      <c r="J381" s="404">
        <f>IFERROR(__xludf.DUMMYFUNCTION("IMPORTRANGE(""https://docs.google.com/spreadsheets/d/1IYY_tgx_IHuhSq3AJ5eI5OnqOPBNLWSHKh2a30DoXe8/edit?usp=sharing"",""ตรัง!J276"")"),0.0)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IFERROR(__xludf.DUMMYFUNCTION("IMPORTRANGE(""https://docs.google.com/spreadsheets/d/1IYY_tgx_IHuhSq3AJ5eI5OnqOPBNLWSHKh2a30DoXe8/edit?usp=sharing"",""ตรัง!L277"")"),0.0)</f>
        <v>0</v>
      </c>
      <c r="M382" s="197"/>
      <c r="N382" s="197">
        <f>IFERROR(__xludf.DUMMYFUNCTION("IMPORTRANGE(""https://docs.google.com/spreadsheets/d/1IYY_tgx_IHuhSq3AJ5eI5OnqOPBNLWSHKh2a30DoXe8/edit?usp=sharing"",""ตรัง!M277"")"),0.0)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IFERROR(__xludf.DUMMYFUNCTION("IMPORTRANGE(""https://docs.google.com/spreadsheets/d/1IYY_tgx_IHuhSq3AJ5eI5OnqOPBNLWSHKh2a30DoXe8/edit?usp=sharing"",""ตรัง!L278"")"),293900.0)</f>
        <v>293900</v>
      </c>
      <c r="M383" s="198"/>
      <c r="N383" s="198">
        <f>IFERROR(__xludf.DUMMYFUNCTION("IMPORTRANGE(""https://docs.google.com/spreadsheets/d/1IYY_tgx_IHuhSq3AJ5eI5OnqOPBNLWSHKh2a30DoXe8/edit?usp=sharing"",""ตรัง!M278"")"),0.0)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IFERROR(__xludf.DUMMYFUNCTION("IMPORTRANGE(""https://docs.google.com/spreadsheets/d/1IYY_tgx_IHuhSq3AJ5eI5OnqOPBNLWSHKh2a30DoXe8/edit?usp=sharing"",""ตรัง!L279"")"),0.0)</f>
        <v>0</v>
      </c>
      <c r="M384" s="203"/>
      <c r="N384" s="203">
        <f>IFERROR(__xludf.DUMMYFUNCTION("IMPORTRANGE(""https://docs.google.com/spreadsheets/d/1IYY_tgx_IHuhSq3AJ5eI5OnqOPBNLWSHKh2a30DoXe8/edit?usp=sharing"",""ตรัง!M279"")"),0.0)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IFERROR(__xludf.DUMMYFUNCTION("IMPORTRANGE(""https://docs.google.com/spreadsheets/d/1IYY_tgx_IHuhSq3AJ5eI5OnqOPBNLWSHKh2a30DoXe8/edit?usp=sharing"",""ตรัง!L280"")"),293900.0)</f>
        <v>293900</v>
      </c>
      <c r="M385" s="203"/>
      <c r="N385" s="200">
        <f>IFERROR(__xludf.DUMMYFUNCTION("IMPORTRANGE(""https://docs.google.com/spreadsheets/d/1IYY_tgx_IHuhSq3AJ5eI5OnqOPBNLWSHKh2a30DoXe8/edit?usp=sharing"",""ตรัง!M280"")"),0.0)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IFERROR(__xludf.DUMMYFUNCTION("IMPORTRANGE(""https://docs.google.com/spreadsheets/d/1IYY_tgx_IHuhSq3AJ5eI5OnqOPBNLWSHKh2a30DoXe8/edit?usp=sharing"",""ตรัง!M281"")"),0.0)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IFERROR(__xludf.DUMMYFUNCTION("IMPORTRANGE(""https://docs.google.com/spreadsheets/d/1IYY_tgx_IHuhSq3AJ5eI5OnqOPBNLWSHKh2a30DoXe8/edit?usp=sharing"",""ตรัง!M282"")"),0.0)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IFERROR(__xludf.DUMMYFUNCTION("IMPORTRANGE(""https://docs.google.com/spreadsheets/d/1IYY_tgx_IHuhSq3AJ5eI5OnqOPBNLWSHKh2a30DoXe8/edit?usp=sharing"",""ตรัง!M283"")"),0.0)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IFERROR(__xludf.DUMMYFUNCTION("IMPORTRANGE(""https://docs.google.com/spreadsheets/d/1IYY_tgx_IHuhSq3AJ5eI5OnqOPBNLWSHKh2a30DoXe8/edit?usp=sharing"",""ตรัง!M284"")"),0.0)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IFERROR(__xludf.DUMMYFUNCTION("IMPORTRANGE(""https://docs.google.com/spreadsheets/d/1IYY_tgx_IHuhSq3AJ5eI5OnqOPBNLWSHKh2a30DoXe8/edit?usp=sharing"",""ตรัง!J286"")"),0.0)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IFERROR(__xludf.DUMMYFUNCTION("IMPORTRANGE(""https://docs.google.com/spreadsheets/d/1IYY_tgx_IHuhSq3AJ5eI5OnqOPBNLWSHKh2a30DoXe8/edit?usp=sharing"",""ตรัง!J287"")"),1.0)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IFERROR(__xludf.DUMMYFUNCTION("IMPORTRANGE(""https://docs.google.com/spreadsheets/d/1IYY_tgx_IHuhSq3AJ5eI5OnqOPBNLWSHKh2a30DoXe8/edit?usp=sharing"",""ตรัง!J288"")"),1.0)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IFERROR(__xludf.DUMMYFUNCTION("IMPORTRANGE(""https://docs.google.com/spreadsheets/d/1IYY_tgx_IHuhSq3AJ5eI5OnqOPBNLWSHKh2a30DoXe8/edit?usp=sharing"",""ตรัง!J289"")"),0.0)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IFERROR(__xludf.DUMMYFUNCTION("IMPORTRANGE(""https://docs.google.com/spreadsheets/d/1IYY_tgx_IHuhSq3AJ5eI5OnqOPBNLWSHKh2a30DoXe8/edit?usp=sharing"",""ตรัง!I291"")"),30.0)</f>
        <v>30</v>
      </c>
      <c r="J396" s="232">
        <f>IFERROR(__xludf.DUMMYFUNCTION("IMPORTRANGE(""https://docs.google.com/spreadsheets/d/1IYY_tgx_IHuhSq3AJ5eI5OnqOPBNLWSHKh2a30DoXe8/edit?usp=sharing"",""ตรัง!J291"")"),0.0)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IFERROR(__xludf.DUMMYFUNCTION("IMPORTRANGE(""https://docs.google.com/spreadsheets/d/1IYY_tgx_IHuhSq3AJ5eI5OnqOPBNLWSHKh2a30DoXe8/edit?usp=sharing"",""ตรัง!I292"")"),300.0)</f>
        <v>300</v>
      </c>
      <c r="J397" s="232">
        <f>IFERROR(__xludf.DUMMYFUNCTION("IMPORTRANGE(""https://docs.google.com/spreadsheets/d/1IYY_tgx_IHuhSq3AJ5eI5OnqOPBNLWSHKh2a30DoXe8/edit?usp=sharing"",""ตรัง!J292"")"),0.0)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IFERROR(__xludf.DUMMYFUNCTION("IMPORTRANGE(""https://docs.google.com/spreadsheets/d/1IYY_tgx_IHuhSq3AJ5eI5OnqOPBNLWSHKh2a30DoXe8/edit?usp=sharing"",""ตรัง!I293"")"),30.0)</f>
        <v>30</v>
      </c>
      <c r="J398" s="232">
        <f>IFERROR(__xludf.DUMMYFUNCTION("IMPORTRANGE(""https://docs.google.com/spreadsheets/d/1IYY_tgx_IHuhSq3AJ5eI5OnqOPBNLWSHKh2a30DoXe8/edit?usp=sharing"",""ตรัง!J293"")"),0.0)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IFERROR(__xludf.DUMMYFUNCTION("IMPORTRANGE(""https://docs.google.com/spreadsheets/d/1IYY_tgx_IHuhSq3AJ5eI5OnqOPBNLWSHKh2a30DoXe8/edit?usp=sharing"",""ตรัง!J294"")"),0.0)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IFERROR(__xludf.DUMMYFUNCTION("IMPORTRANGE(""https://docs.google.com/spreadsheets/d/1IYY_tgx_IHuhSq3AJ5eI5OnqOPBNLWSHKh2a30DoXe8/edit?usp=sharing"",""ตรัง!J295"")"),0.0)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IFERROR(__xludf.DUMMYFUNCTION("IMPORTRANGE(""https://docs.google.com/spreadsheets/d/1IYY_tgx_IHuhSq3AJ5eI5OnqOPBNLWSHKh2a30DoXe8/edit?usp=sharing"",""ตรัง!I296"")"),105.0)</f>
        <v>105</v>
      </c>
      <c r="J401" s="404">
        <f>IFERROR(__xludf.DUMMYFUNCTION("IMPORTRANGE(""https://docs.google.com/spreadsheets/d/1IYY_tgx_IHuhSq3AJ5eI5OnqOPBNLWSHKh2a30DoXe8/edit?usp=sharing"",""ตรัง!J296"")"),0.0)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IFERROR(__xludf.DUMMYFUNCTION("IMPORTRANGE(""https://docs.google.com/spreadsheets/d/1IYY_tgx_IHuhSq3AJ5eI5OnqOPBNLWSHKh2a30DoXe8/edit?usp=sharing"",""ตรัง!L296"")"),131810.0)</f>
        <v>131810</v>
      </c>
      <c r="M401" s="406"/>
      <c r="N401" s="406">
        <f>IFERROR(__xludf.DUMMYFUNCTION("IMPORTRANGE(""https://docs.google.com/spreadsheets/d/1IYY_tgx_IHuhSq3AJ5eI5OnqOPBNLWSHKh2a30DoXe8/edit?usp=sharing"",""ตรัง!M296"")"),52100.0)</f>
        <v>52100</v>
      </c>
      <c r="O401" s="406">
        <f>+IF(L401&gt;0,N401*100/L401,0)</f>
        <v>39.52659131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IFERROR(__xludf.DUMMYFUNCTION("IMPORTRANGE(""https://docs.google.com/spreadsheets/d/1IYY_tgx_IHuhSq3AJ5eI5OnqOPBNLWSHKh2a30DoXe8/edit?usp=sharing"",""ตรัง!I297"")"),35.0)</f>
        <v>35</v>
      </c>
      <c r="J402" s="404">
        <f>IFERROR(__xludf.DUMMYFUNCTION("IMPORTRANGE(""https://docs.google.com/spreadsheets/d/1IYY_tgx_IHuhSq3AJ5eI5OnqOPBNLWSHKh2a30DoXe8/edit?usp=sharing"",""ตรัง!J297"")"),25.0)</f>
        <v>25</v>
      </c>
      <c r="K402" s="405">
        <f t="shared" si="112"/>
        <v>71.42857143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IFERROR(__xludf.DUMMYFUNCTION("IMPORTRANGE(""https://docs.google.com/spreadsheets/d/1IYY_tgx_IHuhSq3AJ5eI5OnqOPBNLWSHKh2a30DoXe8/edit?usp=sharing"",""ตรัง!L298"")"),0.0)</f>
        <v>0</v>
      </c>
      <c r="M403" s="197"/>
      <c r="N403" s="203">
        <f>IFERROR(__xludf.DUMMYFUNCTION("IMPORTRANGE(""https://docs.google.com/spreadsheets/d/1IYY_tgx_IHuhSq3AJ5eI5OnqOPBNLWSHKh2a30DoXe8/edit?usp=sharing"",""ตรัง!M298"")"),0.0)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IFERROR(__xludf.DUMMYFUNCTION("IMPORTRANGE(""https://docs.google.com/spreadsheets/d/1IYY_tgx_IHuhSq3AJ5eI5OnqOPBNLWSHKh2a30DoXe8/edit?usp=sharing"",""ตรัง!L299"")"),131810.0)</f>
        <v>131810</v>
      </c>
      <c r="M404" s="198"/>
      <c r="N404" s="203">
        <f>IFERROR(__xludf.DUMMYFUNCTION("IMPORTRANGE(""https://docs.google.com/spreadsheets/d/1IYY_tgx_IHuhSq3AJ5eI5OnqOPBNLWSHKh2a30DoXe8/edit?usp=sharing"",""ตรัง!M299"")"),52100.0)</f>
        <v>52100</v>
      </c>
      <c r="O404" s="203">
        <f t="shared" si="113"/>
        <v>39.52659131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IFERROR(__xludf.DUMMYFUNCTION("IMPORTRANGE(""https://docs.google.com/spreadsheets/d/1IYY_tgx_IHuhSq3AJ5eI5OnqOPBNLWSHKh2a30DoXe8/edit?usp=sharing"",""ตรัง!L300"")"),0.0)</f>
        <v>0</v>
      </c>
      <c r="M405" s="203"/>
      <c r="N405" s="203">
        <f>IFERROR(__xludf.DUMMYFUNCTION("IMPORTRANGE(""https://docs.google.com/spreadsheets/d/1IYY_tgx_IHuhSq3AJ5eI5OnqOPBNLWSHKh2a30DoXe8/edit?usp=sharing"",""ตรัง!M300"")"),0.0)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IFERROR(__xludf.DUMMYFUNCTION("IMPORTRANGE(""https://docs.google.com/spreadsheets/d/1IYY_tgx_IHuhSq3AJ5eI5OnqOPBNLWSHKh2a30DoXe8/edit?usp=sharing"",""ตรัง!L301"")"),131810.0)</f>
        <v>131810</v>
      </c>
      <c r="M406" s="203"/>
      <c r="N406" s="203">
        <f>IFERROR(__xludf.DUMMYFUNCTION("IMPORTRANGE(""https://docs.google.com/spreadsheets/d/1IYY_tgx_IHuhSq3AJ5eI5OnqOPBNLWSHKh2a30DoXe8/edit?usp=sharing"",""ตรัง!M301"")"),52100.0)</f>
        <v>52100</v>
      </c>
      <c r="O406" s="203">
        <f t="shared" si="113"/>
        <v>39.52659131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IFERROR(__xludf.DUMMYFUNCTION("IMPORTRANGE(""https://docs.google.com/spreadsheets/d/1IYY_tgx_IHuhSq3AJ5eI5OnqOPBNLWSHKh2a30DoXe8/edit?usp=sharing"",""ตรัง!M302"")"),51860.0)</f>
        <v>51860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IFERROR(__xludf.DUMMYFUNCTION("IMPORTRANGE(""https://docs.google.com/spreadsheets/d/1IYY_tgx_IHuhSq3AJ5eI5OnqOPBNLWSHKh2a30DoXe8/edit?usp=sharing"",""ตรัง!M303"")"),0.0)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IFERROR(__xludf.DUMMYFUNCTION("IMPORTRANGE(""https://docs.google.com/spreadsheets/d/1IYY_tgx_IHuhSq3AJ5eI5OnqOPBNLWSHKh2a30DoXe8/edit?usp=sharing"",""ตรัง!M304"")"),0.0)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IFERROR(__xludf.DUMMYFUNCTION("IMPORTRANGE(""https://docs.google.com/spreadsheets/d/1IYY_tgx_IHuhSq3AJ5eI5OnqOPBNLWSHKh2a30DoXe8/edit?usp=sharing"",""ตรัง!M305"")"),240.0)</f>
        <v>240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IFERROR(__xludf.DUMMYFUNCTION("IMPORTRANGE(""https://docs.google.com/spreadsheets/d/1IYY_tgx_IHuhSq3AJ5eI5OnqOPBNLWSHKh2a30DoXe8/edit?usp=sharing"",""ตรัง!J307"")"),0.0)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IFERROR(__xludf.DUMMYFUNCTION("IMPORTRANGE(""https://docs.google.com/spreadsheets/d/1IYY_tgx_IHuhSq3AJ5eI5OnqOPBNLWSHKh2a30DoXe8/edit?usp=sharing"",""ตรัง!J308"")"),1.0)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IFERROR(__xludf.DUMMYFUNCTION("IMPORTRANGE(""https://docs.google.com/spreadsheets/d/1IYY_tgx_IHuhSq3AJ5eI5OnqOPBNLWSHKh2a30DoXe8/edit?usp=sharing"",""ตรัง!J309"")"),1.0)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IFERROR(__xludf.DUMMYFUNCTION("IMPORTRANGE(""https://docs.google.com/spreadsheets/d/1IYY_tgx_IHuhSq3AJ5eI5OnqOPBNLWSHKh2a30DoXe8/edit?usp=sharing"",""ตรัง!J310"")"),1.0)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IFERROR(__xludf.DUMMYFUNCTION("IMPORTRANGE(""https://docs.google.com/spreadsheets/d/1IYY_tgx_IHuhSq3AJ5eI5OnqOPBNLWSHKh2a30DoXe8/edit?usp=sharing"",""ตรัง!I311"")"),35.0)</f>
        <v>35</v>
      </c>
      <c r="J416" s="235">
        <f>IFERROR(__xludf.DUMMYFUNCTION("IMPORTRANGE(""https://docs.google.com/spreadsheets/d/1IYY_tgx_IHuhSq3AJ5eI5OnqOPBNLWSHKh2a30DoXe8/edit?usp=sharing"",""ตรัง!J311"")"),25.0)</f>
        <v>25</v>
      </c>
      <c r="K416" s="236">
        <f t="shared" ref="K416:K432" si="114">IF(I416&gt;0,J416*100/I416,0)</f>
        <v>71.42857143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IFERROR(__xludf.DUMMYFUNCTION("IMPORTRANGE(""https://docs.google.com/spreadsheets/d/1IYY_tgx_IHuhSq3AJ5eI5OnqOPBNLWSHKh2a30DoXe8/edit?usp=sharing"",""ตรัง!I312"")"),10.0)</f>
        <v>10</v>
      </c>
      <c r="J417" s="425">
        <f>IFERROR(__xludf.DUMMYFUNCTION("IMPORTRANGE(""https://docs.google.com/spreadsheets/d/1IYY_tgx_IHuhSq3AJ5eI5OnqOPBNLWSHKh2a30DoXe8/edit?usp=sharing"",""ตรัง!J312"")"),0.0)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IFERROR(__xludf.DUMMYFUNCTION("IMPORTRANGE(""https://docs.google.com/spreadsheets/d/1IYY_tgx_IHuhSq3AJ5eI5OnqOPBNLWSHKh2a30DoXe8/edit?usp=sharing"",""ตรัง!I313"")"),30.0)</f>
        <v>30</v>
      </c>
      <c r="J418" s="426">
        <f>IFERROR(__xludf.DUMMYFUNCTION("IMPORTRANGE(""https://docs.google.com/spreadsheets/d/1IYY_tgx_IHuhSq3AJ5eI5OnqOPBNLWSHKh2a30DoXe8/edit?usp=sharing"",""ตรัง!J313"")"),0.0)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IFERROR(__xludf.DUMMYFUNCTION("IMPORTRANGE(""https://docs.google.com/spreadsheets/d/1IYY_tgx_IHuhSq3AJ5eI5OnqOPBNLWSHKh2a30DoXe8/edit?usp=sharing"",""ตรัง!I314"")"),10.0)</f>
        <v>10</v>
      </c>
      <c r="J419" s="427" t="str">
        <f>IFERROR(__xludf.DUMMYFUNCTION("IMPORTRANGE(""https://docs.google.com/spreadsheets/d/1IYY_tgx_IHuhSq3AJ5eI5OnqOPBNLWSHKh2a30DoXe8/edit?usp=sharing"",""ตรัง!J314"")"),"")</f>
        <v/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IFERROR(__xludf.DUMMYFUNCTION("IMPORTRANGE(""https://docs.google.com/spreadsheets/d/1IYY_tgx_IHuhSq3AJ5eI5OnqOPBNLWSHKh2a30DoXe8/edit?usp=sharing"",""ตรัง!I315"")"),10.0)</f>
        <v>10</v>
      </c>
      <c r="J420" s="427">
        <f>IFERROR(__xludf.DUMMYFUNCTION("IMPORTRANGE(""https://docs.google.com/spreadsheets/d/1IYY_tgx_IHuhSq3AJ5eI5OnqOPBNLWSHKh2a30DoXe8/edit?usp=sharing"",""ตรัง!J315"")"),10.0)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IFERROR(__xludf.DUMMYFUNCTION("IMPORTRANGE(""https://docs.google.com/spreadsheets/d/1IYY_tgx_IHuhSq3AJ5eI5OnqOPBNLWSHKh2a30DoXe8/edit?usp=sharing"",""ตรัง!I316"")"),15.0)</f>
        <v>15</v>
      </c>
      <c r="J421" s="425">
        <f>IFERROR(__xludf.DUMMYFUNCTION("IMPORTRANGE(""https://docs.google.com/spreadsheets/d/1IYY_tgx_IHuhSq3AJ5eI5OnqOPBNLWSHKh2a30DoXe8/edit?usp=sharing"",""ตรัง!J316"")"),15.0)</f>
        <v>15</v>
      </c>
      <c r="K421" s="236">
        <f t="shared" si="114"/>
        <v>100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IFERROR(__xludf.DUMMYFUNCTION("IMPORTRANGE(""https://docs.google.com/spreadsheets/d/1IYY_tgx_IHuhSq3AJ5eI5OnqOPBNLWSHKh2a30DoXe8/edit?usp=sharing"",""ตรัง!I317"")"),45.0)</f>
        <v>45</v>
      </c>
      <c r="J422" s="426">
        <f>IFERROR(__xludf.DUMMYFUNCTION("IMPORTRANGE(""https://docs.google.com/spreadsheets/d/1IYY_tgx_IHuhSq3AJ5eI5OnqOPBNLWSHKh2a30DoXe8/edit?usp=sharing"",""ตรัง!J317"")"),0.0)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IFERROR(__xludf.DUMMYFUNCTION("IMPORTRANGE(""https://docs.google.com/spreadsheets/d/1IYY_tgx_IHuhSq3AJ5eI5OnqOPBNLWSHKh2a30DoXe8/edit?usp=sharing"",""ตรัง!I318"")"),15.0)</f>
        <v>15</v>
      </c>
      <c r="J423" s="427">
        <f>IFERROR(__xludf.DUMMYFUNCTION("IMPORTRANGE(""https://docs.google.com/spreadsheets/d/1IYY_tgx_IHuhSq3AJ5eI5OnqOPBNLWSHKh2a30DoXe8/edit?usp=sharing"",""ตรัง!J318"")"),15.0)</f>
        <v>15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IFERROR(__xludf.DUMMYFUNCTION("IMPORTRANGE(""https://docs.google.com/spreadsheets/d/1IYY_tgx_IHuhSq3AJ5eI5OnqOPBNLWSHKh2a30DoXe8/edit?usp=sharing"",""ตรัง!I319"")"),15.0)</f>
        <v>15</v>
      </c>
      <c r="J424" s="427">
        <f>IFERROR(__xludf.DUMMYFUNCTION("IMPORTRANGE(""https://docs.google.com/spreadsheets/d/1IYY_tgx_IHuhSq3AJ5eI5OnqOPBNLWSHKh2a30DoXe8/edit?usp=sharing"",""ตรัง!J319"")"),15.0)</f>
        <v>15</v>
      </c>
      <c r="K424" s="196">
        <f t="shared" si="114"/>
        <v>100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IFERROR(__xludf.DUMMYFUNCTION("IMPORTRANGE(""https://docs.google.com/spreadsheets/d/1IYY_tgx_IHuhSq3AJ5eI5OnqOPBNLWSHKh2a30DoXe8/edit?usp=sharing"",""ตรัง!I320"")"),15.0)</f>
        <v>15</v>
      </c>
      <c r="J425" s="427">
        <f>IFERROR(__xludf.DUMMYFUNCTION("IMPORTRANGE(""https://docs.google.com/spreadsheets/d/1IYY_tgx_IHuhSq3AJ5eI5OnqOPBNLWSHKh2a30DoXe8/edit?usp=sharing"",""ตรัง!J320"")"),15.0)</f>
        <v>15</v>
      </c>
      <c r="K425" s="196">
        <f t="shared" si="114"/>
        <v>100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IFERROR(__xludf.DUMMYFUNCTION("IMPORTRANGE(""https://docs.google.com/spreadsheets/d/1IYY_tgx_IHuhSq3AJ5eI5OnqOPBNLWSHKh2a30DoXe8/edit?usp=sharing"",""ตรัง!I321"")"),10.0)</f>
        <v>10</v>
      </c>
      <c r="J426" s="425">
        <f>IFERROR(__xludf.DUMMYFUNCTION("IMPORTRANGE(""https://docs.google.com/spreadsheets/d/1IYY_tgx_IHuhSq3AJ5eI5OnqOPBNLWSHKh2a30DoXe8/edit?usp=sharing"",""ตรัง!J321"")"),10.0)</f>
        <v>10</v>
      </c>
      <c r="K426" s="236">
        <f t="shared" si="114"/>
        <v>100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IFERROR(__xludf.DUMMYFUNCTION("IMPORTRANGE(""https://docs.google.com/spreadsheets/d/1IYY_tgx_IHuhSq3AJ5eI5OnqOPBNLWSHKh2a30DoXe8/edit?usp=sharing"",""ตรัง!I322"")"),30.0)</f>
        <v>30</v>
      </c>
      <c r="J427" s="426">
        <f>IFERROR(__xludf.DUMMYFUNCTION("IMPORTRANGE(""https://docs.google.com/spreadsheets/d/1IYY_tgx_IHuhSq3AJ5eI5OnqOPBNLWSHKh2a30DoXe8/edit?usp=sharing"",""ตรัง!J322"")"),0.0)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IFERROR(__xludf.DUMMYFUNCTION("IMPORTRANGE(""https://docs.google.com/spreadsheets/d/1IYY_tgx_IHuhSq3AJ5eI5OnqOPBNLWSHKh2a30DoXe8/edit?usp=sharing"",""ตรัง!I323"")"),10.0)</f>
        <v>10</v>
      </c>
      <c r="J428" s="427">
        <f>IFERROR(__xludf.DUMMYFUNCTION("IMPORTRANGE(""https://docs.google.com/spreadsheets/d/1IYY_tgx_IHuhSq3AJ5eI5OnqOPBNLWSHKh2a30DoXe8/edit?usp=sharing"",""ตรัง!J323"")"),10.0)</f>
        <v>10</v>
      </c>
      <c r="K428" s="196">
        <f t="shared" si="114"/>
        <v>100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IFERROR(__xludf.DUMMYFUNCTION("IMPORTRANGE(""https://docs.google.com/spreadsheets/d/1IYY_tgx_IHuhSq3AJ5eI5OnqOPBNLWSHKh2a30DoXe8/edit?usp=sharing"",""ตรัง!I324"")"),10.0)</f>
        <v>10</v>
      </c>
      <c r="J429" s="427">
        <f>IFERROR(__xludf.DUMMYFUNCTION("IMPORTRANGE(""https://docs.google.com/spreadsheets/d/1IYY_tgx_IHuhSq3AJ5eI5OnqOPBNLWSHKh2a30DoXe8/edit?usp=sharing"",""ตรัง!J324"")"),10.0)</f>
        <v>10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IFERROR(__xludf.DUMMYFUNCTION("IMPORTRANGE(""https://docs.google.com/spreadsheets/d/1IYY_tgx_IHuhSq3AJ5eI5OnqOPBNLWSHKh2a30DoXe8/edit?usp=sharing"",""ตรัง!I325"")"),25.0)</f>
        <v>25</v>
      </c>
      <c r="J430" s="425">
        <f>IFERROR(__xludf.DUMMYFUNCTION("IMPORTRANGE(""https://docs.google.com/spreadsheets/d/1IYY_tgx_IHuhSq3AJ5eI5OnqOPBNLWSHKh2a30DoXe8/edit?usp=sharing"",""ตรัง!J325"")"),0.0)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IFERROR(__xludf.DUMMYFUNCTION("IMPORTRANGE(""https://docs.google.com/spreadsheets/d/1IYY_tgx_IHuhSq3AJ5eI5OnqOPBNLWSHKh2a30DoXe8/edit?usp=sharing"",""ตรัง!I326"")"),10.0)</f>
        <v>10</v>
      </c>
      <c r="J431" s="427">
        <f>IFERROR(__xludf.DUMMYFUNCTION("IMPORTRANGE(""https://docs.google.com/spreadsheets/d/1IYY_tgx_IHuhSq3AJ5eI5OnqOPBNLWSHKh2a30DoXe8/edit?usp=sharing"",""ตรัง!J326"")"),0.0)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IFERROR(__xludf.DUMMYFUNCTION("IMPORTRANGE(""https://docs.google.com/spreadsheets/d/1IYY_tgx_IHuhSq3AJ5eI5OnqOPBNLWSHKh2a30DoXe8/edit?usp=sharing"",""ตรัง!I327"")"),15.0)</f>
        <v>15</v>
      </c>
      <c r="J432" s="427">
        <f>IFERROR(__xludf.DUMMYFUNCTION("IMPORTRANGE(""https://docs.google.com/spreadsheets/d/1IYY_tgx_IHuhSq3AJ5eI5OnqOPBNLWSHKh2a30DoXe8/edit?usp=sharing"",""ตรัง!J327"")"),0.0)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IFERROR(__xludf.DUMMYFUNCTION("IMPORTRANGE(""https://docs.google.com/spreadsheets/d/1IYY_tgx_IHuhSq3AJ5eI5OnqOPBNLWSHKh2a30DoXe8/edit?usp=sharing"",""ตรัง!J328"")"),0.0)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IFERROR(__xludf.DUMMYFUNCTION("IMPORTRANGE(""https://docs.google.com/spreadsheets/d/1IYY_tgx_IHuhSq3AJ5eI5OnqOPBNLWSHKh2a30DoXe8/edit?usp=sharing"",""ตรัง!J329"")"),0.0)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IFERROR(__xludf.DUMMYFUNCTION("IMPORTRANGE(""https://docs.google.com/spreadsheets/d/1IYY_tgx_IHuhSq3AJ5eI5OnqOPBNLWSHKh2a30DoXe8/edit?usp=sharing"",""ตรัง!I330"")"),15.0)</f>
        <v>15</v>
      </c>
      <c r="J435" s="443">
        <f>IFERROR(__xludf.DUMMYFUNCTION("IMPORTRANGE(""https://docs.google.com/spreadsheets/d/1IYY_tgx_IHuhSq3AJ5eI5OnqOPBNLWSHKh2a30DoXe8/edit?usp=sharing"",""ตรัง!J330"")"),0.0)</f>
        <v>0</v>
      </c>
      <c r="K435" s="444">
        <f>IF(I435&gt;0,J435*100/I435,0)</f>
        <v>0</v>
      </c>
      <c r="L435" s="445">
        <f>IFERROR(__xludf.DUMMYFUNCTION("IMPORTRANGE(""https://docs.google.com/spreadsheets/d/1IYY_tgx_IHuhSq3AJ5eI5OnqOPBNLWSHKh2a30DoXe8/edit?usp=sharing"",""ตรัง!L330"")"),83000.0)</f>
        <v>83000</v>
      </c>
      <c r="M435" s="445"/>
      <c r="N435" s="445">
        <f>IFERROR(__xludf.DUMMYFUNCTION("IMPORTRANGE(""https://docs.google.com/spreadsheets/d/1IYY_tgx_IHuhSq3AJ5eI5OnqOPBNLWSHKh2a30DoXe8/edit?usp=sharing"",""ตรัง!M330"")"),29820.0)</f>
        <v>29820</v>
      </c>
      <c r="O435" s="445">
        <f t="shared" ref="O435:O439" si="115">+IF(L435&gt;0,N435*100/L435,0)</f>
        <v>35.92771084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IFERROR(__xludf.DUMMYFUNCTION("IMPORTRANGE(""https://docs.google.com/spreadsheets/d/1IYY_tgx_IHuhSq3AJ5eI5OnqOPBNLWSHKh2a30DoXe8/edit?usp=sharing"",""ตรัง!L331"")"),0.0)</f>
        <v>0</v>
      </c>
      <c r="M436" s="197"/>
      <c r="N436" s="203">
        <f>IFERROR(__xludf.DUMMYFUNCTION("IMPORTRANGE(""https://docs.google.com/spreadsheets/d/1IYY_tgx_IHuhSq3AJ5eI5OnqOPBNLWSHKh2a30DoXe8/edit?usp=sharing"",""ตรัง!M331"")"),0.0)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IFERROR(__xludf.DUMMYFUNCTION("IMPORTRANGE(""https://docs.google.com/spreadsheets/d/1IYY_tgx_IHuhSq3AJ5eI5OnqOPBNLWSHKh2a30DoXe8/edit?usp=sharing"",""ตรัง!L332"")"),83000.0)</f>
        <v>83000</v>
      </c>
      <c r="M437" s="198"/>
      <c r="N437" s="203">
        <f>IFERROR(__xludf.DUMMYFUNCTION("IMPORTRANGE(""https://docs.google.com/spreadsheets/d/1IYY_tgx_IHuhSq3AJ5eI5OnqOPBNLWSHKh2a30DoXe8/edit?usp=sharing"",""ตรัง!M332"")"),29820.0)</f>
        <v>29820</v>
      </c>
      <c r="O437" s="203">
        <f t="shared" si="115"/>
        <v>35.92771084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IFERROR(__xludf.DUMMYFUNCTION("IMPORTRANGE(""https://docs.google.com/spreadsheets/d/1IYY_tgx_IHuhSq3AJ5eI5OnqOPBNLWSHKh2a30DoXe8/edit?usp=sharing"",""ตรัง!L333"")"),0.0)</f>
        <v>0</v>
      </c>
      <c r="M438" s="203"/>
      <c r="N438" s="203">
        <f>IFERROR(__xludf.DUMMYFUNCTION("IMPORTRANGE(""https://docs.google.com/spreadsheets/d/1IYY_tgx_IHuhSq3AJ5eI5OnqOPBNLWSHKh2a30DoXe8/edit?usp=sharing"",""ตรัง!M333"")"),0.0)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IFERROR(__xludf.DUMMYFUNCTION("IMPORTRANGE(""https://docs.google.com/spreadsheets/d/1IYY_tgx_IHuhSq3AJ5eI5OnqOPBNLWSHKh2a30DoXe8/edit?usp=sharing"",""ตรัง!L334"")"),83000.0)</f>
        <v>83000</v>
      </c>
      <c r="M439" s="203"/>
      <c r="N439" s="203">
        <f>IFERROR(__xludf.DUMMYFUNCTION("IMPORTRANGE(""https://docs.google.com/spreadsheets/d/1IYY_tgx_IHuhSq3AJ5eI5OnqOPBNLWSHKh2a30DoXe8/edit?usp=sharing"",""ตรัง!M334"")"),29820.0)</f>
        <v>29820</v>
      </c>
      <c r="O439" s="203">
        <f t="shared" si="115"/>
        <v>35.92771084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IFERROR(__xludf.DUMMYFUNCTION("IMPORTRANGE(""https://docs.google.com/spreadsheets/d/1IYY_tgx_IHuhSq3AJ5eI5OnqOPBNLWSHKh2a30DoXe8/edit?usp=sharing"",""ตรัง!M335"")"),29820.0)</f>
        <v>29820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IFERROR(__xludf.DUMMYFUNCTION("IMPORTRANGE(""https://docs.google.com/spreadsheets/d/1IYY_tgx_IHuhSq3AJ5eI5OnqOPBNLWSHKh2a30DoXe8/edit?usp=sharing"",""ตรัง!M336"")"),0.0)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IFERROR(__xludf.DUMMYFUNCTION("IMPORTRANGE(""https://docs.google.com/spreadsheets/d/1IYY_tgx_IHuhSq3AJ5eI5OnqOPBNLWSHKh2a30DoXe8/edit?usp=sharing"",""ตรัง!M337"")"),0.0)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IFERROR(__xludf.DUMMYFUNCTION("IMPORTRANGE(""https://docs.google.com/spreadsheets/d/1IYY_tgx_IHuhSq3AJ5eI5OnqOPBNLWSHKh2a30DoXe8/edit?usp=sharing"",""ตรัง!M338"")"),0.0)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IFERROR(__xludf.DUMMYFUNCTION("IMPORTRANGE(""https://docs.google.com/spreadsheets/d/1IYY_tgx_IHuhSq3AJ5eI5OnqOPBNLWSHKh2a30DoXe8/edit?usp=sharing"",""ตรัง!J340"")"),0.0)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IFERROR(__xludf.DUMMYFUNCTION("IMPORTRANGE(""https://docs.google.com/spreadsheets/d/1IYY_tgx_IHuhSq3AJ5eI5OnqOPBNLWSHKh2a30DoXe8/edit?usp=sharing"",""ตรัง!J341"")"),1.0)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IFERROR(__xludf.DUMMYFUNCTION("IMPORTRANGE(""https://docs.google.com/spreadsheets/d/1IYY_tgx_IHuhSq3AJ5eI5OnqOPBNLWSHKh2a30DoXe8/edit?usp=sharing"",""ตรัง!J342"")"),1.0)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IFERROR(__xludf.DUMMYFUNCTION("IMPORTRANGE(""https://docs.google.com/spreadsheets/d/1IYY_tgx_IHuhSq3AJ5eI5OnqOPBNLWSHKh2a30DoXe8/edit?usp=sharing"",""ตรัง!J343"")"),1.0)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IFERROR(__xludf.DUMMYFUNCTION("IMPORTRANGE(""https://docs.google.com/spreadsheets/d/1IYY_tgx_IHuhSq3AJ5eI5OnqOPBNLWSHKh2a30DoXe8/edit?usp=sharing"",""ตรัง!I344"")"),15.0)</f>
        <v>15</v>
      </c>
      <c r="J449" s="235">
        <f>IFERROR(__xludf.DUMMYFUNCTION("IMPORTRANGE(""https://docs.google.com/spreadsheets/d/1IYY_tgx_IHuhSq3AJ5eI5OnqOPBNLWSHKh2a30DoXe8/edit?usp=sharing"",""ตรัง!J344"")"),0.0)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IFERROR(__xludf.DUMMYFUNCTION("IMPORTRANGE(""https://docs.google.com/spreadsheets/d/1IYY_tgx_IHuhSq3AJ5eI5OnqOPBNLWSHKh2a30DoXe8/edit?usp=sharing"",""ตรัง!I345"")"),15.0)</f>
        <v>15</v>
      </c>
      <c r="J450" s="223">
        <f>IFERROR(__xludf.DUMMYFUNCTION("IMPORTRANGE(""https://docs.google.com/spreadsheets/d/1IYY_tgx_IHuhSq3AJ5eI5OnqOPBNLWSHKh2a30DoXe8/edit?usp=sharing"",""ตรัง!J345"")"),0.0)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IFERROR(__xludf.DUMMYFUNCTION("IMPORTRANGE(""https://docs.google.com/spreadsheets/d/1IYY_tgx_IHuhSq3AJ5eI5OnqOPBNLWSHKh2a30DoXe8/edit?usp=sharing"",""ตรัง!I346"")"),0.0)</f>
        <v>0</v>
      </c>
      <c r="J451" s="222">
        <f>IFERROR(__xludf.DUMMYFUNCTION("IMPORTRANGE(""https://docs.google.com/spreadsheets/d/1IYY_tgx_IHuhSq3AJ5eI5OnqOPBNLWSHKh2a30DoXe8/edit?usp=sharing"",""ตรัง!J346"")"),0.0)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IFERROR(__xludf.DUMMYFUNCTION("IMPORTRANGE(""https://docs.google.com/spreadsheets/d/1IYY_tgx_IHuhSq3AJ5eI5OnqOPBNLWSHKh2a30DoXe8/edit?usp=sharing"",""ตรัง!I347"")"),0.0)</f>
        <v>0</v>
      </c>
      <c r="J452" s="222">
        <f>IFERROR(__xludf.DUMMYFUNCTION("IMPORTRANGE(""https://docs.google.com/spreadsheets/d/1IYY_tgx_IHuhSq3AJ5eI5OnqOPBNLWSHKh2a30DoXe8/edit?usp=sharing"",""ตรัง!J347"")"),0.0)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IFERROR(__xludf.DUMMYFUNCTION("IMPORTRANGE(""https://docs.google.com/spreadsheets/d/1IYY_tgx_IHuhSq3AJ5eI5OnqOPBNLWSHKh2a30DoXe8/edit?usp=sharing"",""ตรัง!J348"")"),0.0)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IFERROR(__xludf.DUMMYFUNCTION("IMPORTRANGE(""https://docs.google.com/spreadsheets/d/1IYY_tgx_IHuhSq3AJ5eI5OnqOPBNLWSHKh2a30DoXe8/edit?usp=sharing"",""ตรัง!J349"")"),0.0)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IFERROR(__xludf.DUMMYFUNCTION("IMPORTRANGE(""https://docs.google.com/spreadsheets/d/1IYY_tgx_IHuhSq3AJ5eI5OnqOPBNLWSHKh2a30DoXe8/edit?usp=sharing"",""ตรัง!I350"")"),38071.0)</f>
        <v>38071</v>
      </c>
      <c r="J455" s="404">
        <f>IFERROR(__xludf.DUMMYFUNCTION("IMPORTRANGE(""https://docs.google.com/spreadsheets/d/1IYY_tgx_IHuhSq3AJ5eI5OnqOPBNLWSHKh2a30DoXe8/edit?usp=sharing"",""ตรัง!J350"")"),0.0)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IFERROR(__xludf.DUMMYFUNCTION("IMPORTRANGE(""https://docs.google.com/spreadsheets/d/1IYY_tgx_IHuhSq3AJ5eI5OnqOPBNLWSHKh2a30DoXe8/edit?usp=sharing"",""ตรัง!L350"")"),235518.0)</f>
        <v>235518</v>
      </c>
      <c r="M455" s="406"/>
      <c r="N455" s="406">
        <f>IFERROR(__xludf.DUMMYFUNCTION("IMPORTRANGE(""https://docs.google.com/spreadsheets/d/1IYY_tgx_IHuhSq3AJ5eI5OnqOPBNLWSHKh2a30DoXe8/edit?usp=sharing"",""ตรัง!M350"")"),42773.5)</f>
        <v>42773.5</v>
      </c>
      <c r="O455" s="406">
        <f t="shared" ref="O455:O459" si="117">+IF(L455&gt;0,N455*100/L455,0)</f>
        <v>18.16145687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IFERROR(__xludf.DUMMYFUNCTION("IMPORTRANGE(""https://docs.google.com/spreadsheets/d/1IYY_tgx_IHuhSq3AJ5eI5OnqOPBNLWSHKh2a30DoXe8/edit?usp=sharing"",""ตรัง!L351"")"),0.0)</f>
        <v>0</v>
      </c>
      <c r="M456" s="197"/>
      <c r="N456" s="203">
        <f>IFERROR(__xludf.DUMMYFUNCTION("IMPORTRANGE(""https://docs.google.com/spreadsheets/d/1IYY_tgx_IHuhSq3AJ5eI5OnqOPBNLWSHKh2a30DoXe8/edit?usp=sharing"",""ตรัง!M351"")"),0.0)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IFERROR(__xludf.DUMMYFUNCTION("IMPORTRANGE(""https://docs.google.com/spreadsheets/d/1IYY_tgx_IHuhSq3AJ5eI5OnqOPBNLWSHKh2a30DoXe8/edit?usp=sharing"",""ตรัง!L352"")"),235518.0)</f>
        <v>235518</v>
      </c>
      <c r="M457" s="198"/>
      <c r="N457" s="203">
        <f>IFERROR(__xludf.DUMMYFUNCTION("IMPORTRANGE(""https://docs.google.com/spreadsheets/d/1IYY_tgx_IHuhSq3AJ5eI5OnqOPBNLWSHKh2a30DoXe8/edit?usp=sharing"",""ตรัง!M352"")"),42773.5)</f>
        <v>42773.5</v>
      </c>
      <c r="O457" s="203">
        <f t="shared" si="117"/>
        <v>18.16145687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IFERROR(__xludf.DUMMYFUNCTION("IMPORTRANGE(""https://docs.google.com/spreadsheets/d/1IYY_tgx_IHuhSq3AJ5eI5OnqOPBNLWSHKh2a30DoXe8/edit?usp=sharing"",""ตรัง!L353"")"),0.0)</f>
        <v>0</v>
      </c>
      <c r="M458" s="203"/>
      <c r="N458" s="203">
        <f>IFERROR(__xludf.DUMMYFUNCTION("IMPORTRANGE(""https://docs.google.com/spreadsheets/d/1IYY_tgx_IHuhSq3AJ5eI5OnqOPBNLWSHKh2a30DoXe8/edit?usp=sharing"",""ตรัง!M353"")"),0.0)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IFERROR(__xludf.DUMMYFUNCTION("IMPORTRANGE(""https://docs.google.com/spreadsheets/d/1IYY_tgx_IHuhSq3AJ5eI5OnqOPBNLWSHKh2a30DoXe8/edit?usp=sharing"",""ตรัง!L354"")"),235518.0)</f>
        <v>235518</v>
      </c>
      <c r="M459" s="203"/>
      <c r="N459" s="203">
        <f>IFERROR(__xludf.DUMMYFUNCTION("IMPORTRANGE(""https://docs.google.com/spreadsheets/d/1IYY_tgx_IHuhSq3AJ5eI5OnqOPBNLWSHKh2a30DoXe8/edit?usp=sharing"",""ตรัง!M354"")"),42773.5)</f>
        <v>42773.5</v>
      </c>
      <c r="O459" s="203">
        <f t="shared" si="117"/>
        <v>18.16145687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IFERROR(__xludf.DUMMYFUNCTION("IMPORTRANGE(""https://docs.google.com/spreadsheets/d/1IYY_tgx_IHuhSq3AJ5eI5OnqOPBNLWSHKh2a30DoXe8/edit?usp=sharing"",""ตรัง!M355"")"),0.0)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IFERROR(__xludf.DUMMYFUNCTION("IMPORTRANGE(""https://docs.google.com/spreadsheets/d/1IYY_tgx_IHuhSq3AJ5eI5OnqOPBNLWSHKh2a30DoXe8/edit?usp=sharing"",""ตรัง!M356"")"),0.0)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IFERROR(__xludf.DUMMYFUNCTION("IMPORTRANGE(""https://docs.google.com/spreadsheets/d/1IYY_tgx_IHuhSq3AJ5eI5OnqOPBNLWSHKh2a30DoXe8/edit?usp=sharing"",""ตรัง!M357"")"),0.0)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IFERROR(__xludf.DUMMYFUNCTION("IMPORTRANGE(""https://docs.google.com/spreadsheets/d/1IYY_tgx_IHuhSq3AJ5eI5OnqOPBNLWSHKh2a30DoXe8/edit?usp=sharing"",""ตรัง!M358"")"),42773.5)</f>
        <v>42773.5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IFERROR(__xludf.DUMMYFUNCTION("IMPORTRANGE(""https://docs.google.com/spreadsheets/d/1IYY_tgx_IHuhSq3AJ5eI5OnqOPBNLWSHKh2a30DoXe8/edit?usp=sharing"",""ตรัง!I359"")"),38071.0)</f>
        <v>38071</v>
      </c>
      <c r="J464" s="301">
        <f>IFERROR(__xludf.DUMMYFUNCTION("IMPORTRANGE(""https://docs.google.com/spreadsheets/d/1IYY_tgx_IHuhSq3AJ5eI5OnqOPBNLWSHKh2a30DoXe8/edit?usp=sharing"",""ตรัง!J359"")"),0.0)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IFERROR(__xludf.DUMMYFUNCTION("IMPORTRANGE(""https://docs.google.com/spreadsheets/d/1IYY_tgx_IHuhSq3AJ5eI5OnqOPBNLWSHKh2a30DoXe8/edit?usp=sharing"",""ตรัง!I360"")"),38071.0)</f>
        <v>38071</v>
      </c>
      <c r="J465" s="453">
        <f>IFERROR(__xludf.DUMMYFUNCTION("IMPORTRANGE(""https://docs.google.com/spreadsheets/d/1IYY_tgx_IHuhSq3AJ5eI5OnqOPBNLWSHKh2a30DoXe8/edit?usp=sharing"",""ตรัง!J360"")"),35886.0)</f>
        <v>35886</v>
      </c>
      <c r="K465" s="236">
        <f t="shared" si="118"/>
        <v>94.26072339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IFERROR(__xludf.DUMMYFUNCTION("IMPORTRANGE(""https://docs.google.com/spreadsheets/d/1IYY_tgx_IHuhSq3AJ5eI5OnqOPBNLWSHKh2a30DoXe8/edit?usp=sharing"",""ตรัง!I361"")"),3513.0)</f>
        <v>3513</v>
      </c>
      <c r="J466" s="453">
        <f>IFERROR(__xludf.DUMMYFUNCTION("IMPORTRANGE(""https://docs.google.com/spreadsheets/d/1IYY_tgx_IHuhSq3AJ5eI5OnqOPBNLWSHKh2a30DoXe8/edit?usp=sharing"",""ตรัง!J361"")"),3191.0)</f>
        <v>3191</v>
      </c>
      <c r="K466" s="236">
        <f t="shared" si="118"/>
        <v>90.83404498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IFERROR(__xludf.DUMMYFUNCTION("IMPORTRANGE(""https://docs.google.com/spreadsheets/d/1IYY_tgx_IHuhSq3AJ5eI5OnqOPBNLWSHKh2a30DoXe8/edit?usp=sharing"",""ตรัง!I362"")"),0.0)</f>
        <v>0</v>
      </c>
      <c r="J467" s="223">
        <f>IFERROR(__xludf.DUMMYFUNCTION("IMPORTRANGE(""https://docs.google.com/spreadsheets/d/1IYY_tgx_IHuhSq3AJ5eI5OnqOPBNLWSHKh2a30DoXe8/edit?usp=sharing"",""ตรัง!J362"")"),35886.0)</f>
        <v>35886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IFERROR(__xludf.DUMMYFUNCTION("IMPORTRANGE(""https://docs.google.com/spreadsheets/d/1IYY_tgx_IHuhSq3AJ5eI5OnqOPBNLWSHKh2a30DoXe8/edit?usp=sharing"",""ตรัง!I363"")"),0.0)</f>
        <v>0</v>
      </c>
      <c r="J468" s="223">
        <f>IFERROR(__xludf.DUMMYFUNCTION("IMPORTRANGE(""https://docs.google.com/spreadsheets/d/1IYY_tgx_IHuhSq3AJ5eI5OnqOPBNLWSHKh2a30DoXe8/edit?usp=sharing"",""ตรัง!J363"")"),3191.0)</f>
        <v>3191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IFERROR(__xludf.DUMMYFUNCTION("IMPORTRANGE(""https://docs.google.com/spreadsheets/d/1IYY_tgx_IHuhSq3AJ5eI5OnqOPBNLWSHKh2a30DoXe8/edit?usp=sharing"",""ตรัง!I364"")"),0.0)</f>
        <v>0</v>
      </c>
      <c r="J469" s="223">
        <f>IFERROR(__xludf.DUMMYFUNCTION("IMPORTRANGE(""https://docs.google.com/spreadsheets/d/1IYY_tgx_IHuhSq3AJ5eI5OnqOPBNLWSHKh2a30DoXe8/edit?usp=sharing"",""ตรัง!J364"")"),0.0)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IFERROR(__xludf.DUMMYFUNCTION("IMPORTRANGE(""https://docs.google.com/spreadsheets/d/1IYY_tgx_IHuhSq3AJ5eI5OnqOPBNLWSHKh2a30DoXe8/edit?usp=sharing"",""ตรัง!I365"")"),0.0)</f>
        <v>0</v>
      </c>
      <c r="J470" s="223">
        <f>IFERROR(__xludf.DUMMYFUNCTION("IMPORTRANGE(""https://docs.google.com/spreadsheets/d/1IYY_tgx_IHuhSq3AJ5eI5OnqOPBNLWSHKh2a30DoXe8/edit?usp=sharing"",""ตรัง!J365"")"),0.0)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IFERROR(__xludf.DUMMYFUNCTION("IMPORTRANGE(""https://docs.google.com/spreadsheets/d/1IYY_tgx_IHuhSq3AJ5eI5OnqOPBNLWSHKh2a30DoXe8/edit?usp=sharing"",""ตรัง!I366"")"),0.0)</f>
        <v>0</v>
      </c>
      <c r="J471" s="223">
        <f>IFERROR(__xludf.DUMMYFUNCTION("IMPORTRANGE(""https://docs.google.com/spreadsheets/d/1IYY_tgx_IHuhSq3AJ5eI5OnqOPBNLWSHKh2a30DoXe8/edit?usp=sharing"",""ตรัง!J366"")"),0.0)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IFERROR(__xludf.DUMMYFUNCTION("IMPORTRANGE(""https://docs.google.com/spreadsheets/d/1IYY_tgx_IHuhSq3AJ5eI5OnqOPBNLWSHKh2a30DoXe8/edit?usp=sharing"",""ตรัง!I367"")"),0.0)</f>
        <v>0</v>
      </c>
      <c r="J472" s="223">
        <f>IFERROR(__xludf.DUMMYFUNCTION("IMPORTRANGE(""https://docs.google.com/spreadsheets/d/1IYY_tgx_IHuhSq3AJ5eI5OnqOPBNLWSHKh2a30DoXe8/edit?usp=sharing"",""ตรัง!J367"")"),0.0)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IFERROR(__xludf.DUMMYFUNCTION("IMPORTRANGE(""https://docs.google.com/spreadsheets/d/1IYY_tgx_IHuhSq3AJ5eI5OnqOPBNLWSHKh2a30DoXe8/edit?usp=sharing"",""ตรัง!I368"")"),38071.0)</f>
        <v>38071</v>
      </c>
      <c r="J473" s="453">
        <f>IFERROR(__xludf.DUMMYFUNCTION("IMPORTRANGE(""https://docs.google.com/spreadsheets/d/1IYY_tgx_IHuhSq3AJ5eI5OnqOPBNLWSHKh2a30DoXe8/edit?usp=sharing"",""ตรัง!J368"")"),0.0)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IFERROR(__xludf.DUMMYFUNCTION("IMPORTRANGE(""https://docs.google.com/spreadsheets/d/1IYY_tgx_IHuhSq3AJ5eI5OnqOPBNLWSHKh2a30DoXe8/edit?usp=sharing"",""ตรัง!I369"")"),3513.0)</f>
        <v>3513</v>
      </c>
      <c r="J474" s="453">
        <f>IFERROR(__xludf.DUMMYFUNCTION("IMPORTRANGE(""https://docs.google.com/spreadsheets/d/1IYY_tgx_IHuhSq3AJ5eI5OnqOPBNLWSHKh2a30DoXe8/edit?usp=sharing"",""ตรัง!J369"")"),0.0)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IFERROR(__xludf.DUMMYFUNCTION("IMPORTRANGE(""https://docs.google.com/spreadsheets/d/1IYY_tgx_IHuhSq3AJ5eI5OnqOPBNLWSHKh2a30DoXe8/edit?usp=sharing"",""ตรัง!I370"")"),0.0)</f>
        <v>0</v>
      </c>
      <c r="J475" s="223">
        <f>IFERROR(__xludf.DUMMYFUNCTION("IMPORTRANGE(""https://docs.google.com/spreadsheets/d/1IYY_tgx_IHuhSq3AJ5eI5OnqOPBNLWSHKh2a30DoXe8/edit?usp=sharing"",""ตรัง!J370"")"),0.0)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IFERROR(__xludf.DUMMYFUNCTION("IMPORTRANGE(""https://docs.google.com/spreadsheets/d/1IYY_tgx_IHuhSq3AJ5eI5OnqOPBNLWSHKh2a30DoXe8/edit?usp=sharing"",""ตรัง!I371"")"),0.0)</f>
        <v>0</v>
      </c>
      <c r="J476" s="223">
        <f>IFERROR(__xludf.DUMMYFUNCTION("IMPORTRANGE(""https://docs.google.com/spreadsheets/d/1IYY_tgx_IHuhSq3AJ5eI5OnqOPBNLWSHKh2a30DoXe8/edit?usp=sharing"",""ตรัง!J371"")"),0.0)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IFERROR(__xludf.DUMMYFUNCTION("IMPORTRANGE(""https://docs.google.com/spreadsheets/d/1IYY_tgx_IHuhSq3AJ5eI5OnqOPBNLWSHKh2a30DoXe8/edit?usp=sharing"",""ตรัง!I372"")"),0.0)</f>
        <v>0</v>
      </c>
      <c r="J477" s="223">
        <f>IFERROR(__xludf.DUMMYFUNCTION("IMPORTRANGE(""https://docs.google.com/spreadsheets/d/1IYY_tgx_IHuhSq3AJ5eI5OnqOPBNLWSHKh2a30DoXe8/edit?usp=sharing"",""ตรัง!J372"")"),0.0)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IFERROR(__xludf.DUMMYFUNCTION("IMPORTRANGE(""https://docs.google.com/spreadsheets/d/1IYY_tgx_IHuhSq3AJ5eI5OnqOPBNLWSHKh2a30DoXe8/edit?usp=sharing"",""ตรัง!I373"")"),0.0)</f>
        <v>0</v>
      </c>
      <c r="J478" s="223">
        <f>IFERROR(__xludf.DUMMYFUNCTION("IMPORTRANGE(""https://docs.google.com/spreadsheets/d/1IYY_tgx_IHuhSq3AJ5eI5OnqOPBNLWSHKh2a30DoXe8/edit?usp=sharing"",""ตรัง!J373"")"),0.0)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IFERROR(__xludf.DUMMYFUNCTION("IMPORTRANGE(""https://docs.google.com/spreadsheets/d/1IYY_tgx_IHuhSq3AJ5eI5OnqOPBNLWSHKh2a30DoXe8/edit?usp=sharing"",""ตรัง!I374"")"),0.0)</f>
        <v>0</v>
      </c>
      <c r="J479" s="223">
        <f>IFERROR(__xludf.DUMMYFUNCTION("IMPORTRANGE(""https://docs.google.com/spreadsheets/d/1IYY_tgx_IHuhSq3AJ5eI5OnqOPBNLWSHKh2a30DoXe8/edit?usp=sharing"",""ตรัง!J374"")"),0.0)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IFERROR(__xludf.DUMMYFUNCTION("IMPORTRANGE(""https://docs.google.com/spreadsheets/d/1IYY_tgx_IHuhSq3AJ5eI5OnqOPBNLWSHKh2a30DoXe8/edit?usp=sharing"",""ตรัง!I375"")"),0.0)</f>
        <v>0</v>
      </c>
      <c r="J480" s="223">
        <f>IFERROR(__xludf.DUMMYFUNCTION("IMPORTRANGE(""https://docs.google.com/spreadsheets/d/1IYY_tgx_IHuhSq3AJ5eI5OnqOPBNLWSHKh2a30DoXe8/edit?usp=sharing"",""ตรัง!J375"")"),0.0)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IFERROR(__xludf.DUMMYFUNCTION("IMPORTRANGE(""https://docs.google.com/spreadsheets/d/1IYY_tgx_IHuhSq3AJ5eI5OnqOPBNLWSHKh2a30DoXe8/edit?usp=sharing"",""ตรัง!I376"")"),38071.0)</f>
        <v>38071</v>
      </c>
      <c r="J481" s="453">
        <f>IFERROR(__xludf.DUMMYFUNCTION("IMPORTRANGE(""https://docs.google.com/spreadsheets/d/1IYY_tgx_IHuhSq3AJ5eI5OnqOPBNLWSHKh2a30DoXe8/edit?usp=sharing"",""ตรัง!J376"")"),0.0)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IFERROR(__xludf.DUMMYFUNCTION("IMPORTRANGE(""https://docs.google.com/spreadsheets/d/1IYY_tgx_IHuhSq3AJ5eI5OnqOPBNLWSHKh2a30DoXe8/edit?usp=sharing"",""ตรัง!I377"")"),3513.0)</f>
        <v>3513</v>
      </c>
      <c r="J482" s="453">
        <f>IFERROR(__xludf.DUMMYFUNCTION("IMPORTRANGE(""https://docs.google.com/spreadsheets/d/1IYY_tgx_IHuhSq3AJ5eI5OnqOPBNLWSHKh2a30DoXe8/edit?usp=sharing"",""ตรัง!J377"")"),0.0)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IFERROR(__xludf.DUMMYFUNCTION("IMPORTRANGE(""https://docs.google.com/spreadsheets/d/1IYY_tgx_IHuhSq3AJ5eI5OnqOPBNLWSHKh2a30DoXe8/edit?usp=sharing"",""ตรัง!I378"")"),0.0)</f>
        <v>0</v>
      </c>
      <c r="J483" s="223">
        <f>IFERROR(__xludf.DUMMYFUNCTION("IMPORTRANGE(""https://docs.google.com/spreadsheets/d/1IYY_tgx_IHuhSq3AJ5eI5OnqOPBNLWSHKh2a30DoXe8/edit?usp=sharing"",""ตรัง!J378"")"),0.0)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IFERROR(__xludf.DUMMYFUNCTION("IMPORTRANGE(""https://docs.google.com/spreadsheets/d/1IYY_tgx_IHuhSq3AJ5eI5OnqOPBNLWSHKh2a30DoXe8/edit?usp=sharing"",""ตรัง!I379"")"),0.0)</f>
        <v>0</v>
      </c>
      <c r="J484" s="223">
        <f>IFERROR(__xludf.DUMMYFUNCTION("IMPORTRANGE(""https://docs.google.com/spreadsheets/d/1IYY_tgx_IHuhSq3AJ5eI5OnqOPBNLWSHKh2a30DoXe8/edit?usp=sharing"",""ตรัง!J379"")"),0.0)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IFERROR(__xludf.DUMMYFUNCTION("IMPORTRANGE(""https://docs.google.com/spreadsheets/d/1IYY_tgx_IHuhSq3AJ5eI5OnqOPBNLWSHKh2a30DoXe8/edit?usp=sharing"",""ตรัง!I380"")"),0.0)</f>
        <v>0</v>
      </c>
      <c r="J485" s="223">
        <f>IFERROR(__xludf.DUMMYFUNCTION("IMPORTRANGE(""https://docs.google.com/spreadsheets/d/1IYY_tgx_IHuhSq3AJ5eI5OnqOPBNLWSHKh2a30DoXe8/edit?usp=sharing"",""ตรัง!J380"")"),0.0)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IFERROR(__xludf.DUMMYFUNCTION("IMPORTRANGE(""https://docs.google.com/spreadsheets/d/1IYY_tgx_IHuhSq3AJ5eI5OnqOPBNLWSHKh2a30DoXe8/edit?usp=sharing"",""ตรัง!I381"")"),0.0)</f>
        <v>0</v>
      </c>
      <c r="J486" s="223">
        <f>IFERROR(__xludf.DUMMYFUNCTION("IMPORTRANGE(""https://docs.google.com/spreadsheets/d/1IYY_tgx_IHuhSq3AJ5eI5OnqOPBNLWSHKh2a30DoXe8/edit?usp=sharing"",""ตรัง!J381"")"),0.0)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IFERROR(__xludf.DUMMYFUNCTION("IMPORTRANGE(""https://docs.google.com/spreadsheets/d/1IYY_tgx_IHuhSq3AJ5eI5OnqOPBNLWSHKh2a30DoXe8/edit?usp=sharing"",""ตรัง!I382"")"),0.0)</f>
        <v>0</v>
      </c>
      <c r="J487" s="453">
        <f>IFERROR(__xludf.DUMMYFUNCTION("IMPORTRANGE(""https://docs.google.com/spreadsheets/d/1IYY_tgx_IHuhSq3AJ5eI5OnqOPBNLWSHKh2a30DoXe8/edit?usp=sharing"",""ตรัง!J382"")"),0.0)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IFERROR(__xludf.DUMMYFUNCTION("IMPORTRANGE(""https://docs.google.com/spreadsheets/d/1IYY_tgx_IHuhSq3AJ5eI5OnqOPBNLWSHKh2a30DoXe8/edit?usp=sharing"",""ตรัง!I383"")"),0.0)</f>
        <v>0</v>
      </c>
      <c r="J488" s="453">
        <f>IFERROR(__xludf.DUMMYFUNCTION("IMPORTRANGE(""https://docs.google.com/spreadsheets/d/1IYY_tgx_IHuhSq3AJ5eI5OnqOPBNLWSHKh2a30DoXe8/edit?usp=sharing"",""ตรัง!J383"")"),0.0)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IFERROR(__xludf.DUMMYFUNCTION("IMPORTRANGE(""https://docs.google.com/spreadsheets/d/1IYY_tgx_IHuhSq3AJ5eI5OnqOPBNLWSHKh2a30DoXe8/edit?usp=sharing"",""ตรัง!I384"")"),0.0)</f>
        <v>0</v>
      </c>
      <c r="J489" s="223">
        <f>IFERROR(__xludf.DUMMYFUNCTION("IMPORTRANGE(""https://docs.google.com/spreadsheets/d/1IYY_tgx_IHuhSq3AJ5eI5OnqOPBNLWSHKh2a30DoXe8/edit?usp=sharing"",""ตรัง!J384"")"),0.0)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IFERROR(__xludf.DUMMYFUNCTION("IMPORTRANGE(""https://docs.google.com/spreadsheets/d/1IYY_tgx_IHuhSq3AJ5eI5OnqOPBNLWSHKh2a30DoXe8/edit?usp=sharing"",""ตรัง!I385"")"),0.0)</f>
        <v>0</v>
      </c>
      <c r="J490" s="223">
        <f>IFERROR(__xludf.DUMMYFUNCTION("IMPORTRANGE(""https://docs.google.com/spreadsheets/d/1IYY_tgx_IHuhSq3AJ5eI5OnqOPBNLWSHKh2a30DoXe8/edit?usp=sharing"",""ตรัง!J385"")"),0.0)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IFERROR(__xludf.DUMMYFUNCTION("IMPORTRANGE(""https://docs.google.com/spreadsheets/d/1IYY_tgx_IHuhSq3AJ5eI5OnqOPBNLWSHKh2a30DoXe8/edit?usp=sharing"",""ตรัง!I386"")"),0.0)</f>
        <v>0</v>
      </c>
      <c r="J491" s="223">
        <f>IFERROR(__xludf.DUMMYFUNCTION("IMPORTRANGE(""https://docs.google.com/spreadsheets/d/1IYY_tgx_IHuhSq3AJ5eI5OnqOPBNLWSHKh2a30DoXe8/edit?usp=sharing"",""ตรัง!J386"")"),0.0)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IFERROR(__xludf.DUMMYFUNCTION("IMPORTRANGE(""https://docs.google.com/spreadsheets/d/1IYY_tgx_IHuhSq3AJ5eI5OnqOPBNLWSHKh2a30DoXe8/edit?usp=sharing"",""ตรัง!I387"")"),0.0)</f>
        <v>0</v>
      </c>
      <c r="J492" s="223">
        <f>IFERROR(__xludf.DUMMYFUNCTION("IMPORTRANGE(""https://docs.google.com/spreadsheets/d/1IYY_tgx_IHuhSq3AJ5eI5OnqOPBNLWSHKh2a30DoXe8/edit?usp=sharing"",""ตรัง!J387"")"),0.0)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IFERROR(__xludf.DUMMYFUNCTION("IMPORTRANGE(""https://docs.google.com/spreadsheets/d/1IYY_tgx_IHuhSq3AJ5eI5OnqOPBNLWSHKh2a30DoXe8/edit?usp=sharing"",""ตรัง!I388"")"),0.0)</f>
        <v>0</v>
      </c>
      <c r="J493" s="223">
        <f>IFERROR(__xludf.DUMMYFUNCTION("IMPORTRANGE(""https://docs.google.com/spreadsheets/d/1IYY_tgx_IHuhSq3AJ5eI5OnqOPBNLWSHKh2a30DoXe8/edit?usp=sharing"",""ตรัง!J388"")"),0.0)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IFERROR(__xludf.DUMMYFUNCTION("IMPORTRANGE(""https://docs.google.com/spreadsheets/d/1IYY_tgx_IHuhSq3AJ5eI5OnqOPBNLWSHKh2a30DoXe8/edit?usp=sharing"",""ตรัง!I389"")"),0.0)</f>
        <v>0</v>
      </c>
      <c r="J494" s="469">
        <f>IFERROR(__xludf.DUMMYFUNCTION("IMPORTRANGE(""https://docs.google.com/spreadsheets/d/1IYY_tgx_IHuhSq3AJ5eI5OnqOPBNLWSHKh2a30DoXe8/edit?usp=sharing"",""ตรัง!J389"")"),0.0)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IFERROR(__xludf.DUMMYFUNCTION("IMPORTRANGE(""https://docs.google.com/spreadsheets/d/1IYY_tgx_IHuhSq3AJ5eI5OnqOPBNLWSHKh2a30DoXe8/edit?usp=sharing"",""ตรัง!I390"")"),0.0)</f>
        <v>0</v>
      </c>
      <c r="J495" s="469">
        <f>IFERROR(__xludf.DUMMYFUNCTION("IMPORTRANGE(""https://docs.google.com/spreadsheets/d/1IYY_tgx_IHuhSq3AJ5eI5OnqOPBNLWSHKh2a30DoXe8/edit?usp=sharing"",""ตรัง!J390"")"),0.0)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IFERROR(__xludf.DUMMYFUNCTION("IMPORTRANGE(""https://docs.google.com/spreadsheets/d/1IYY_tgx_IHuhSq3AJ5eI5OnqOPBNLWSHKh2a30DoXe8/edit?usp=sharing"",""ตรัง!I391"")"),0.0)</f>
        <v>0</v>
      </c>
      <c r="J496" s="469">
        <f>IFERROR(__xludf.DUMMYFUNCTION("IMPORTRANGE(""https://docs.google.com/spreadsheets/d/1IYY_tgx_IHuhSq3AJ5eI5OnqOPBNLWSHKh2a30DoXe8/edit?usp=sharing"",""ตรัง!J391"")"),0.0)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IFERROR(__xludf.DUMMYFUNCTION("IMPORTRANGE(""https://docs.google.com/spreadsheets/d/1IYY_tgx_IHuhSq3AJ5eI5OnqOPBNLWSHKh2a30DoXe8/edit?usp=sharing"",""ตรัง!I392"")"),0.0)</f>
        <v>0</v>
      </c>
      <c r="J497" s="476">
        <f>IFERROR(__xludf.DUMMYFUNCTION("IMPORTRANGE(""https://docs.google.com/spreadsheets/d/1IYY_tgx_IHuhSq3AJ5eI5OnqOPBNLWSHKh2a30DoXe8/edit?usp=sharing"",""ตรัง!J392"")"),0.0)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IFERROR(__xludf.DUMMYFUNCTION("IMPORTRANGE(""https://docs.google.com/spreadsheets/d/1IYY_tgx_IHuhSq3AJ5eI5OnqOPBNLWSHKh2a30DoXe8/edit?usp=sharing"",""ตรัง!I393"")"),0.0)</f>
        <v>0</v>
      </c>
      <c r="J498" s="453">
        <f>IFERROR(__xludf.DUMMYFUNCTION("IMPORTRANGE(""https://docs.google.com/spreadsheets/d/1IYY_tgx_IHuhSq3AJ5eI5OnqOPBNLWSHKh2a30DoXe8/edit?usp=sharing"",""ตรัง!J393"")"),0.0)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IFERROR(__xludf.DUMMYFUNCTION("IMPORTRANGE(""https://docs.google.com/spreadsheets/d/1IYY_tgx_IHuhSq3AJ5eI5OnqOPBNLWSHKh2a30DoXe8/edit?usp=sharing"",""ตรัง!I394"")"),0.0)</f>
        <v>0</v>
      </c>
      <c r="J499" s="453">
        <f>IFERROR(__xludf.DUMMYFUNCTION("IMPORTRANGE(""https://docs.google.com/spreadsheets/d/1IYY_tgx_IHuhSq3AJ5eI5OnqOPBNLWSHKh2a30DoXe8/edit?usp=sharing"",""ตรัง!J394"")"),0.0)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IFERROR(__xludf.DUMMYFUNCTION("IMPORTRANGE(""https://docs.google.com/spreadsheets/d/1IYY_tgx_IHuhSq3AJ5eI5OnqOPBNLWSHKh2a30DoXe8/edit?usp=sharing"",""ตรัง!I395"")"),0.0)</f>
        <v>0</v>
      </c>
      <c r="J500" s="195">
        <f>IFERROR(__xludf.DUMMYFUNCTION("IMPORTRANGE(""https://docs.google.com/spreadsheets/d/1IYY_tgx_IHuhSq3AJ5eI5OnqOPBNLWSHKh2a30DoXe8/edit?usp=sharing"",""ตรัง!J395"")"),0.0)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IFERROR(__xludf.DUMMYFUNCTION("IMPORTRANGE(""https://docs.google.com/spreadsheets/d/1IYY_tgx_IHuhSq3AJ5eI5OnqOPBNLWSHKh2a30DoXe8/edit?usp=sharing"",""ตรัง!I396"")"),0.0)</f>
        <v>0</v>
      </c>
      <c r="J501" s="195">
        <f>IFERROR(__xludf.DUMMYFUNCTION("IMPORTRANGE(""https://docs.google.com/spreadsheets/d/1IYY_tgx_IHuhSq3AJ5eI5OnqOPBNLWSHKh2a30DoXe8/edit?usp=sharing"",""ตรัง!J396"")"),0.0)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IFERROR(__xludf.DUMMYFUNCTION("IMPORTRANGE(""https://docs.google.com/spreadsheets/d/1IYY_tgx_IHuhSq3AJ5eI5OnqOPBNLWSHKh2a30DoXe8/edit?usp=sharing"",""ตรัง!I397"")"),0.0)</f>
        <v>0</v>
      </c>
      <c r="J502" s="223">
        <f>IFERROR(__xludf.DUMMYFUNCTION("IMPORTRANGE(""https://docs.google.com/spreadsheets/d/1IYY_tgx_IHuhSq3AJ5eI5OnqOPBNLWSHKh2a30DoXe8/edit?usp=sharing"",""ตรัง!J397"")"),0.0)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IFERROR(__xludf.DUMMYFUNCTION("IMPORTRANGE(""https://docs.google.com/spreadsheets/d/1IYY_tgx_IHuhSq3AJ5eI5OnqOPBNLWSHKh2a30DoXe8/edit?usp=sharing"",""ตรัง!I398"")"),0.0)</f>
        <v>0</v>
      </c>
      <c r="J503" s="232">
        <f>IFERROR(__xludf.DUMMYFUNCTION("IMPORTRANGE(""https://docs.google.com/spreadsheets/d/1IYY_tgx_IHuhSq3AJ5eI5OnqOPBNLWSHKh2a30DoXe8/edit?usp=sharing"",""ตรัง!J398"")"),0.0)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IFERROR(__xludf.DUMMYFUNCTION("IMPORTRANGE(""https://docs.google.com/spreadsheets/d/1IYY_tgx_IHuhSq3AJ5eI5OnqOPBNLWSHKh2a30DoXe8/edit?usp=sharing"",""ตรัง!I399"")"),0.0)</f>
        <v>0</v>
      </c>
      <c r="J504" s="223">
        <f>IFERROR(__xludf.DUMMYFUNCTION("IMPORTRANGE(""https://docs.google.com/spreadsheets/d/1IYY_tgx_IHuhSq3AJ5eI5OnqOPBNLWSHKh2a30DoXe8/edit?usp=sharing"",""ตรัง!J399"")"),0.0)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IFERROR(__xludf.DUMMYFUNCTION("IMPORTRANGE(""https://docs.google.com/spreadsheets/d/1IYY_tgx_IHuhSq3AJ5eI5OnqOPBNLWSHKh2a30DoXe8/edit?usp=sharing"",""ตรัง!I400"")"),0.0)</f>
        <v>0</v>
      </c>
      <c r="J505" s="232">
        <f>IFERROR(__xludf.DUMMYFUNCTION("IMPORTRANGE(""https://docs.google.com/spreadsheets/d/1IYY_tgx_IHuhSq3AJ5eI5OnqOPBNLWSHKh2a30DoXe8/edit?usp=sharing"",""ตรัง!J400"")"),0.0)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IFERROR(__xludf.DUMMYFUNCTION("IMPORTRANGE(""https://docs.google.com/spreadsheets/d/1IYY_tgx_IHuhSq3AJ5eI5OnqOPBNLWSHKh2a30DoXe8/edit?usp=sharing"",""ตรัง!I401"")"),0.0)</f>
        <v>0</v>
      </c>
      <c r="J506" s="223">
        <f>IFERROR(__xludf.DUMMYFUNCTION("IMPORTRANGE(""https://docs.google.com/spreadsheets/d/1IYY_tgx_IHuhSq3AJ5eI5OnqOPBNLWSHKh2a30DoXe8/edit?usp=sharing"",""ตรัง!J401"")"),0.0)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IFERROR(__xludf.DUMMYFUNCTION("IMPORTRANGE(""https://docs.google.com/spreadsheets/d/1IYY_tgx_IHuhSq3AJ5eI5OnqOPBNLWSHKh2a30DoXe8/edit?usp=sharing"",""ตรัง!I402"")"),0.0)</f>
        <v>0</v>
      </c>
      <c r="J507" s="232">
        <f>IFERROR(__xludf.DUMMYFUNCTION("IMPORTRANGE(""https://docs.google.com/spreadsheets/d/1IYY_tgx_IHuhSq3AJ5eI5OnqOPBNLWSHKh2a30DoXe8/edit?usp=sharing"",""ตรัง!J402"")"),0.0)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IFERROR(__xludf.DUMMYFUNCTION("IMPORTRANGE(""https://docs.google.com/spreadsheets/d/1IYY_tgx_IHuhSq3AJ5eI5OnqOPBNLWSHKh2a30DoXe8/edit?usp=sharing"",""ตรัง!I403"")"),0.0)</f>
        <v>0</v>
      </c>
      <c r="J508" s="195">
        <f>IFERROR(__xludf.DUMMYFUNCTION("IMPORTRANGE(""https://docs.google.com/spreadsheets/d/1IYY_tgx_IHuhSq3AJ5eI5OnqOPBNLWSHKh2a30DoXe8/edit?usp=sharing"",""ตรัง!J403"")"),0.0)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IFERROR(__xludf.DUMMYFUNCTION("IMPORTRANGE(""https://docs.google.com/spreadsheets/d/1IYY_tgx_IHuhSq3AJ5eI5OnqOPBNLWSHKh2a30DoXe8/edit?usp=sharing"",""ตรัง!I404"")"),0.0)</f>
        <v>0</v>
      </c>
      <c r="J509" s="195">
        <f>IFERROR(__xludf.DUMMYFUNCTION("IMPORTRANGE(""https://docs.google.com/spreadsheets/d/1IYY_tgx_IHuhSq3AJ5eI5OnqOPBNLWSHKh2a30DoXe8/edit?usp=sharing"",""ตรัง!J404"")"),0.0)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IFERROR(__xludf.DUMMYFUNCTION("IMPORTRANGE(""https://docs.google.com/spreadsheets/d/1IYY_tgx_IHuhSq3AJ5eI5OnqOPBNLWSHKh2a30DoXe8/edit?usp=sharing"",""ตรัง!I405"")"),0.0)</f>
        <v>0</v>
      </c>
      <c r="J510" s="232">
        <f>IFERROR(__xludf.DUMMYFUNCTION("IMPORTRANGE(""https://docs.google.com/spreadsheets/d/1IYY_tgx_IHuhSq3AJ5eI5OnqOPBNLWSHKh2a30DoXe8/edit?usp=sharing"",""ตรัง!J405"")"),0.0)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IFERROR(__xludf.DUMMYFUNCTION("IMPORTRANGE(""https://docs.google.com/spreadsheets/d/1IYY_tgx_IHuhSq3AJ5eI5OnqOPBNLWSHKh2a30DoXe8/edit?usp=sharing"",""ตรัง!I406"")"),0.0)</f>
        <v>0</v>
      </c>
      <c r="J511" s="232">
        <f>IFERROR(__xludf.DUMMYFUNCTION("IMPORTRANGE(""https://docs.google.com/spreadsheets/d/1IYY_tgx_IHuhSq3AJ5eI5OnqOPBNLWSHKh2a30DoXe8/edit?usp=sharing"",""ตรัง!J406"")"),0.0)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IFERROR(__xludf.DUMMYFUNCTION("IMPORTRANGE(""https://docs.google.com/spreadsheets/d/1IYY_tgx_IHuhSq3AJ5eI5OnqOPBNLWSHKh2a30DoXe8/edit?usp=sharing"",""ตรัง!I407"")"),0.0)</f>
        <v>0</v>
      </c>
      <c r="J512" s="232">
        <f>IFERROR(__xludf.DUMMYFUNCTION("IMPORTRANGE(""https://docs.google.com/spreadsheets/d/1IYY_tgx_IHuhSq3AJ5eI5OnqOPBNLWSHKh2a30DoXe8/edit?usp=sharing"",""ตรัง!J407"")"),0.0)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IFERROR(__xludf.DUMMYFUNCTION("IMPORTRANGE(""https://docs.google.com/spreadsheets/d/1IYY_tgx_IHuhSq3AJ5eI5OnqOPBNLWSHKh2a30DoXe8/edit?usp=sharing"",""ตรัง!I408"")"),0.0)</f>
        <v>0</v>
      </c>
      <c r="J513" s="232">
        <f>IFERROR(__xludf.DUMMYFUNCTION("IMPORTRANGE(""https://docs.google.com/spreadsheets/d/1IYY_tgx_IHuhSq3AJ5eI5OnqOPBNLWSHKh2a30DoXe8/edit?usp=sharing"",""ตรัง!J408"")"),0.0)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IFERROR(__xludf.DUMMYFUNCTION("IMPORTRANGE(""https://docs.google.com/spreadsheets/d/1IYY_tgx_IHuhSq3AJ5eI5OnqOPBNLWSHKh2a30DoXe8/edit?usp=sharing"",""ตรัง!I409"")"),0.0)</f>
        <v>0</v>
      </c>
      <c r="J514" s="232">
        <f>IFERROR(__xludf.DUMMYFUNCTION("IMPORTRANGE(""https://docs.google.com/spreadsheets/d/1IYY_tgx_IHuhSq3AJ5eI5OnqOPBNLWSHKh2a30DoXe8/edit?usp=sharing"",""ตรัง!J409"")"),0.0)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IFERROR(__xludf.DUMMYFUNCTION("IMPORTRANGE(""https://docs.google.com/spreadsheets/d/1IYY_tgx_IHuhSq3AJ5eI5OnqOPBNLWSHKh2a30DoXe8/edit?usp=sharing"",""ตรัง!I410"")"),0.0)</f>
        <v>0</v>
      </c>
      <c r="J515" s="232">
        <f>IFERROR(__xludf.DUMMYFUNCTION("IMPORTRANGE(""https://docs.google.com/spreadsheets/d/1IYY_tgx_IHuhSq3AJ5eI5OnqOPBNLWSHKh2a30DoXe8/edit?usp=sharing"",""ตรัง!J410"")"),0.0)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IFERROR(__xludf.DUMMYFUNCTION("IMPORTRANGE(""https://docs.google.com/spreadsheets/d/1IYY_tgx_IHuhSq3AJ5eI5OnqOPBNLWSHKh2a30DoXe8/edit?usp=sharing"",""ตรัง!I411"")"),0.0)</f>
        <v>0</v>
      </c>
      <c r="J516" s="301">
        <f>IFERROR(__xludf.DUMMYFUNCTION("IMPORTRANGE(""https://docs.google.com/spreadsheets/d/1IYY_tgx_IHuhSq3AJ5eI5OnqOPBNLWSHKh2a30DoXe8/edit?usp=sharing"",""ตรัง!J411"")"),0.0)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IFERROR(__xludf.DUMMYFUNCTION("IMPORTRANGE(""https://docs.google.com/spreadsheets/d/1IYY_tgx_IHuhSq3AJ5eI5OnqOPBNLWSHKh2a30DoXe8/edit?usp=sharing"",""ตรัง!I412"")"),0.0)</f>
        <v>0</v>
      </c>
      <c r="J517" s="317">
        <f>IFERROR(__xludf.DUMMYFUNCTION("IMPORTRANGE(""https://docs.google.com/spreadsheets/d/1IYY_tgx_IHuhSq3AJ5eI5OnqOPBNLWSHKh2a30DoXe8/edit?usp=sharing"",""ตรัง!J412"")"),0.0)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IFERROR(__xludf.DUMMYFUNCTION("IMPORTRANGE(""https://docs.google.com/spreadsheets/d/1IYY_tgx_IHuhSq3AJ5eI5OnqOPBNLWSHKh2a30DoXe8/edit?usp=sharing"",""ตรัง!I413"")"),0.0)</f>
        <v>0</v>
      </c>
      <c r="J518" s="317">
        <f>IFERROR(__xludf.DUMMYFUNCTION("IMPORTRANGE(""https://docs.google.com/spreadsheets/d/1IYY_tgx_IHuhSq3AJ5eI5OnqOPBNLWSHKh2a30DoXe8/edit?usp=sharing"",""ตรัง!J413"")"),0.0)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IFERROR(__xludf.DUMMYFUNCTION("IMPORTRANGE(""https://docs.google.com/spreadsheets/d/1IYY_tgx_IHuhSq3AJ5eI5OnqOPBNLWSHKh2a30DoXe8/edit?usp=sharing"",""ตรัง!I414"")"),0.0)</f>
        <v>0</v>
      </c>
      <c r="J519" s="222">
        <f>IFERROR(__xludf.DUMMYFUNCTION("IMPORTRANGE(""https://docs.google.com/spreadsheets/d/1IYY_tgx_IHuhSq3AJ5eI5OnqOPBNLWSHKh2a30DoXe8/edit?usp=sharing"",""ตรัง!J414"")"),0.0)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IFERROR(__xludf.DUMMYFUNCTION("IMPORTRANGE(""https://docs.google.com/spreadsheets/d/1IYY_tgx_IHuhSq3AJ5eI5OnqOPBNLWSHKh2a30DoXe8/edit?usp=sharing"",""ตรัง!I415"")"),0.0)</f>
        <v>0</v>
      </c>
      <c r="J520" s="222">
        <f>IFERROR(__xludf.DUMMYFUNCTION("IMPORTRANGE(""https://docs.google.com/spreadsheets/d/1IYY_tgx_IHuhSq3AJ5eI5OnqOPBNLWSHKh2a30DoXe8/edit?usp=sharing"",""ตรัง!J415"")"),0.0)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IFERROR(__xludf.DUMMYFUNCTION("IMPORTRANGE(""https://docs.google.com/spreadsheets/d/1IYY_tgx_IHuhSq3AJ5eI5OnqOPBNLWSHKh2a30DoXe8/edit?usp=sharing"",""ตรัง!I416"")"),0.0)</f>
        <v>0</v>
      </c>
      <c r="J521" s="222">
        <f>IFERROR(__xludf.DUMMYFUNCTION("IMPORTRANGE(""https://docs.google.com/spreadsheets/d/1IYY_tgx_IHuhSq3AJ5eI5OnqOPBNLWSHKh2a30DoXe8/edit?usp=sharing"",""ตรัง!J416"")"),0.0)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IFERROR(__xludf.DUMMYFUNCTION("IMPORTRANGE(""https://docs.google.com/spreadsheets/d/1IYY_tgx_IHuhSq3AJ5eI5OnqOPBNLWSHKh2a30DoXe8/edit?usp=sharing"",""ตรัง!I417"")"),0.0)</f>
        <v>0</v>
      </c>
      <c r="J522" s="222">
        <f>IFERROR(__xludf.DUMMYFUNCTION("IMPORTRANGE(""https://docs.google.com/spreadsheets/d/1IYY_tgx_IHuhSq3AJ5eI5OnqOPBNLWSHKh2a30DoXe8/edit?usp=sharing"",""ตรัง!J417"")"),0.0)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IFERROR(__xludf.DUMMYFUNCTION("IMPORTRANGE(""https://docs.google.com/spreadsheets/d/1IYY_tgx_IHuhSq3AJ5eI5OnqOPBNLWSHKh2a30DoXe8/edit?usp=sharing"",""ตรัง!I418"")"),0.0)</f>
        <v>0</v>
      </c>
      <c r="J523" s="222">
        <f>IFERROR(__xludf.DUMMYFUNCTION("IMPORTRANGE(""https://docs.google.com/spreadsheets/d/1IYY_tgx_IHuhSq3AJ5eI5OnqOPBNLWSHKh2a30DoXe8/edit?usp=sharing"",""ตรัง!J418"")"),0.0)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IFERROR(__xludf.DUMMYFUNCTION("IMPORTRANGE(""https://docs.google.com/spreadsheets/d/1IYY_tgx_IHuhSq3AJ5eI5OnqOPBNLWSHKh2a30DoXe8/edit?usp=sharing"",""ตรัง!I419"")"),0.0)</f>
        <v>0</v>
      </c>
      <c r="J524" s="222">
        <f>IFERROR(__xludf.DUMMYFUNCTION("IMPORTRANGE(""https://docs.google.com/spreadsheets/d/1IYY_tgx_IHuhSq3AJ5eI5OnqOPBNLWSHKh2a30DoXe8/edit?usp=sharing"",""ตรัง!J419"")"),0.0)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IFERROR(__xludf.DUMMYFUNCTION("IMPORTRANGE(""https://docs.google.com/spreadsheets/d/1IYY_tgx_IHuhSq3AJ5eI5OnqOPBNLWSHKh2a30DoXe8/edit?usp=sharing"",""ตรัง!I420"")"),0.0)</f>
        <v>0</v>
      </c>
      <c r="J525" s="317">
        <f>IFERROR(__xludf.DUMMYFUNCTION("IMPORTRANGE(""https://docs.google.com/spreadsheets/d/1IYY_tgx_IHuhSq3AJ5eI5OnqOPBNLWSHKh2a30DoXe8/edit?usp=sharing"",""ตรัง!J420"")"),0.0)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IFERROR(__xludf.DUMMYFUNCTION("IMPORTRANGE(""https://docs.google.com/spreadsheets/d/1IYY_tgx_IHuhSq3AJ5eI5OnqOPBNLWSHKh2a30DoXe8/edit?usp=sharing"",""ตรัง!I421"")"),0.0)</f>
        <v>0</v>
      </c>
      <c r="J526" s="317">
        <f>IFERROR(__xludf.DUMMYFUNCTION("IMPORTRANGE(""https://docs.google.com/spreadsheets/d/1IYY_tgx_IHuhSq3AJ5eI5OnqOPBNLWSHKh2a30DoXe8/edit?usp=sharing"",""ตรัง!J421"")"),0.0)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IFERROR(__xludf.DUMMYFUNCTION("IMPORTRANGE(""https://docs.google.com/spreadsheets/d/1IYY_tgx_IHuhSq3AJ5eI5OnqOPBNLWSHKh2a30DoXe8/edit?usp=sharing"",""ตรัง!I422"")"),0.0)</f>
        <v>0</v>
      </c>
      <c r="J527" s="232">
        <f>IFERROR(__xludf.DUMMYFUNCTION("IMPORTRANGE(""https://docs.google.com/spreadsheets/d/1IYY_tgx_IHuhSq3AJ5eI5OnqOPBNLWSHKh2a30DoXe8/edit?usp=sharing"",""ตรัง!J422"")"),0.0)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IFERROR(__xludf.DUMMYFUNCTION("IMPORTRANGE(""https://docs.google.com/spreadsheets/d/1IYY_tgx_IHuhSq3AJ5eI5OnqOPBNLWSHKh2a30DoXe8/edit?usp=sharing"",""ตรัง!I423"")"),0.0)</f>
        <v>0</v>
      </c>
      <c r="J528" s="232">
        <f>IFERROR(__xludf.DUMMYFUNCTION("IMPORTRANGE(""https://docs.google.com/spreadsheets/d/1IYY_tgx_IHuhSq3AJ5eI5OnqOPBNLWSHKh2a30DoXe8/edit?usp=sharing"",""ตรัง!J423"")"),0.0)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IFERROR(__xludf.DUMMYFUNCTION("IMPORTRANGE(""https://docs.google.com/spreadsheets/d/1IYY_tgx_IHuhSq3AJ5eI5OnqOPBNLWSHKh2a30DoXe8/edit?usp=sharing"",""ตรัง!I424"")"),0.0)</f>
        <v>0</v>
      </c>
      <c r="J529" s="232">
        <f>IFERROR(__xludf.DUMMYFUNCTION("IMPORTRANGE(""https://docs.google.com/spreadsheets/d/1IYY_tgx_IHuhSq3AJ5eI5OnqOPBNLWSHKh2a30DoXe8/edit?usp=sharing"",""ตรัง!J424"")"),0.0)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IFERROR(__xludf.DUMMYFUNCTION("IMPORTRANGE(""https://docs.google.com/spreadsheets/d/1IYY_tgx_IHuhSq3AJ5eI5OnqOPBNLWSHKh2a30DoXe8/edit?usp=sharing"",""ตรัง!I425"")"),0.0)</f>
        <v>0</v>
      </c>
      <c r="J530" s="232">
        <f>IFERROR(__xludf.DUMMYFUNCTION("IMPORTRANGE(""https://docs.google.com/spreadsheets/d/1IYY_tgx_IHuhSq3AJ5eI5OnqOPBNLWSHKh2a30DoXe8/edit?usp=sharing"",""ตรัง!J425"")"),0.0)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IFERROR(__xludf.DUMMYFUNCTION("IMPORTRANGE(""https://docs.google.com/spreadsheets/d/1IYY_tgx_IHuhSq3AJ5eI5OnqOPBNLWSHKh2a30DoXe8/edit?usp=sharing"",""ตรัง!I426"")"),0.0)</f>
        <v>0</v>
      </c>
      <c r="J531" s="232">
        <f>IFERROR(__xludf.DUMMYFUNCTION("IMPORTRANGE(""https://docs.google.com/spreadsheets/d/1IYY_tgx_IHuhSq3AJ5eI5OnqOPBNLWSHKh2a30DoXe8/edit?usp=sharing"",""ตรัง!J426"")"),0.0)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IFERROR(__xludf.DUMMYFUNCTION("IMPORTRANGE(""https://docs.google.com/spreadsheets/d/1IYY_tgx_IHuhSq3AJ5eI5OnqOPBNLWSHKh2a30DoXe8/edit?usp=sharing"",""ตรัง!I427"")"),0.0)</f>
        <v>0</v>
      </c>
      <c r="J532" s="499">
        <f>IFERROR(__xludf.DUMMYFUNCTION("IMPORTRANGE(""https://docs.google.com/spreadsheets/d/1IYY_tgx_IHuhSq3AJ5eI5OnqOPBNLWSHKh2a30DoXe8/edit?usp=sharing"",""ตรัง!J427"")"),0.0)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IFERROR(__xludf.DUMMYFUNCTION("IMPORTRANGE(""https://docs.google.com/spreadsheets/d/1IYY_tgx_IHuhSq3AJ5eI5OnqOPBNLWSHKh2a30DoXe8/edit?usp=sharing"",""ตรัง!I428"")"),22.0)</f>
        <v>22</v>
      </c>
      <c r="J533" s="443">
        <f>IFERROR(__xludf.DUMMYFUNCTION("IMPORTRANGE(""https://docs.google.com/spreadsheets/d/1IYY_tgx_IHuhSq3AJ5eI5OnqOPBNLWSHKh2a30DoXe8/edit?usp=sharing"",""ตรัง!J428"")"),22.0)</f>
        <v>22</v>
      </c>
      <c r="K533" s="444">
        <f>IF(I533&gt;0,J533*100/I533,0)</f>
        <v>100</v>
      </c>
      <c r="L533" s="445">
        <f>IFERROR(__xludf.DUMMYFUNCTION("IMPORTRANGE(""https://docs.google.com/spreadsheets/d/1IYY_tgx_IHuhSq3AJ5eI5OnqOPBNLWSHKh2a30DoXe8/edit?usp=sharing"",""ตรัง!L428"")"),34340.0)</f>
        <v>34340</v>
      </c>
      <c r="M533" s="445"/>
      <c r="N533" s="445">
        <f>IFERROR(__xludf.DUMMYFUNCTION("IMPORTRANGE(""https://docs.google.com/spreadsheets/d/1IYY_tgx_IHuhSq3AJ5eI5OnqOPBNLWSHKh2a30DoXe8/edit?usp=sharing"",""ตรัง!M428"")"),21544.48)</f>
        <v>21544.48</v>
      </c>
      <c r="O533" s="445">
        <f t="shared" ref="O533:O537" si="119">+IF(L533&gt;0,N533*100/L533,0)</f>
        <v>62.73873034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IFERROR(__xludf.DUMMYFUNCTION("IMPORTRANGE(""https://docs.google.com/spreadsheets/d/1IYY_tgx_IHuhSq3AJ5eI5OnqOPBNLWSHKh2a30DoXe8/edit?usp=sharing"",""ตรัง!L429"")"),0.0)</f>
        <v>0</v>
      </c>
      <c r="M534" s="197"/>
      <c r="N534" s="203">
        <f>IFERROR(__xludf.DUMMYFUNCTION("IMPORTRANGE(""https://docs.google.com/spreadsheets/d/1IYY_tgx_IHuhSq3AJ5eI5OnqOPBNLWSHKh2a30DoXe8/edit?usp=sharing"",""ตรัง!M429"")"),0.0)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IFERROR(__xludf.DUMMYFUNCTION("IMPORTRANGE(""https://docs.google.com/spreadsheets/d/1IYY_tgx_IHuhSq3AJ5eI5OnqOPBNLWSHKh2a30DoXe8/edit?usp=sharing"",""ตรัง!L430"")"),34340.0)</f>
        <v>34340</v>
      </c>
      <c r="M535" s="198"/>
      <c r="N535" s="203">
        <f>IFERROR(__xludf.DUMMYFUNCTION("IMPORTRANGE(""https://docs.google.com/spreadsheets/d/1IYY_tgx_IHuhSq3AJ5eI5OnqOPBNLWSHKh2a30DoXe8/edit?usp=sharing"",""ตรัง!M430"")"),21544.48)</f>
        <v>21544.48</v>
      </c>
      <c r="O535" s="203">
        <f t="shared" si="119"/>
        <v>62.73873034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IFERROR(__xludf.DUMMYFUNCTION("IMPORTRANGE(""https://docs.google.com/spreadsheets/d/1IYY_tgx_IHuhSq3AJ5eI5OnqOPBNLWSHKh2a30DoXe8/edit?usp=sharing"",""ตรัง!L431"")"),0.0)</f>
        <v>0</v>
      </c>
      <c r="M536" s="203"/>
      <c r="N536" s="203">
        <f>IFERROR(__xludf.DUMMYFUNCTION("IMPORTRANGE(""https://docs.google.com/spreadsheets/d/1IYY_tgx_IHuhSq3AJ5eI5OnqOPBNLWSHKh2a30DoXe8/edit?usp=sharing"",""ตรัง!M431"")"),0.0)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IFERROR(__xludf.DUMMYFUNCTION("IMPORTRANGE(""https://docs.google.com/spreadsheets/d/1IYY_tgx_IHuhSq3AJ5eI5OnqOPBNLWSHKh2a30DoXe8/edit?usp=sharing"",""ตรัง!L432"")"),34340.0)</f>
        <v>34340</v>
      </c>
      <c r="M537" s="203"/>
      <c r="N537" s="203">
        <f>IFERROR(__xludf.DUMMYFUNCTION("IMPORTRANGE(""https://docs.google.com/spreadsheets/d/1IYY_tgx_IHuhSq3AJ5eI5OnqOPBNLWSHKh2a30DoXe8/edit?usp=sharing"",""ตรัง!M432"")"),21544.48)</f>
        <v>21544.48</v>
      </c>
      <c r="O537" s="203">
        <f t="shared" si="119"/>
        <v>62.73873034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IFERROR(__xludf.DUMMYFUNCTION("IMPORTRANGE(""https://docs.google.com/spreadsheets/d/1IYY_tgx_IHuhSq3AJ5eI5OnqOPBNLWSHKh2a30DoXe8/edit?usp=sharing"",""ตรัง!M433"")"),21064.48)</f>
        <v>21064.48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IFERROR(__xludf.DUMMYFUNCTION("IMPORTRANGE(""https://docs.google.com/spreadsheets/d/1IYY_tgx_IHuhSq3AJ5eI5OnqOPBNLWSHKh2a30DoXe8/edit?usp=sharing"",""ตรัง!M434"")"),0.0)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IFERROR(__xludf.DUMMYFUNCTION("IMPORTRANGE(""https://docs.google.com/spreadsheets/d/1IYY_tgx_IHuhSq3AJ5eI5OnqOPBNLWSHKh2a30DoXe8/edit?usp=sharing"",""ตรัง!M435"")"),0.0)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IFERROR(__xludf.DUMMYFUNCTION("IMPORTRANGE(""https://docs.google.com/spreadsheets/d/1IYY_tgx_IHuhSq3AJ5eI5OnqOPBNLWSHKh2a30DoXe8/edit?usp=sharing"",""ตรัง!M436"")"),480.0)</f>
        <v>480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IFERROR(__xludf.DUMMYFUNCTION("IMPORTRANGE(""https://docs.google.com/spreadsheets/d/1IYY_tgx_IHuhSq3AJ5eI5OnqOPBNLWSHKh2a30DoXe8/edit?usp=sharing"",""ตรัง!J438"")"),0.0)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IFERROR(__xludf.DUMMYFUNCTION("IMPORTRANGE(""https://docs.google.com/spreadsheets/d/1IYY_tgx_IHuhSq3AJ5eI5OnqOPBNLWSHKh2a30DoXe8/edit?usp=sharing"",""ตรัง!J439"")"),1.0)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IFERROR(__xludf.DUMMYFUNCTION("IMPORTRANGE(""https://docs.google.com/spreadsheets/d/1IYY_tgx_IHuhSq3AJ5eI5OnqOPBNLWSHKh2a30DoXe8/edit?usp=sharing"",""ตรัง!J440"")"),1.0)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IFERROR(__xludf.DUMMYFUNCTION("IMPORTRANGE(""https://docs.google.com/spreadsheets/d/1IYY_tgx_IHuhSq3AJ5eI5OnqOPBNLWSHKh2a30DoXe8/edit?usp=sharing"",""ตรัง!J441"")"),1.0)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IFERROR(__xludf.DUMMYFUNCTION("IMPORTRANGE(""https://docs.google.com/spreadsheets/d/1IYY_tgx_IHuhSq3AJ5eI5OnqOPBNLWSHKh2a30DoXe8/edit?usp=sharing"",""ตรัง!I442"")"),22.0)</f>
        <v>22</v>
      </c>
      <c r="J547" s="223">
        <f>IFERROR(__xludf.DUMMYFUNCTION("IMPORTRANGE(""https://docs.google.com/spreadsheets/d/1IYY_tgx_IHuhSq3AJ5eI5OnqOPBNLWSHKh2a30DoXe8/edit?usp=sharing"",""ตรัง!J442"")"),22.0)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IFERROR(__xludf.DUMMYFUNCTION("IMPORTRANGE(""https://docs.google.com/spreadsheets/d/1IYY_tgx_IHuhSq3AJ5eI5OnqOPBNLWSHKh2a30DoXe8/edit?usp=sharing"",""ตรัง!J166"")"),0.0)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IFERROR(__xludf.DUMMYFUNCTION("IMPORTRANGE(""https://docs.google.com/spreadsheets/d/1IYY_tgx_IHuhSq3AJ5eI5OnqOPBNLWSHKh2a30DoXe8/edit?usp=sharing"",""ตรัง!J444"")"),0.0)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IFERROR(__xludf.DUMMYFUNCTION("IMPORTRANGE(""https://docs.google.com/spreadsheets/d/1IYY_tgx_IHuhSq3AJ5eI5OnqOPBNLWSHKh2a30DoXe8/edit?usp=sharing"",""ตรัง!J445"")"),0.0)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IFERROR(__xludf.DUMMYFUNCTION("IMPORTRANGE(""https://docs.google.com/spreadsheets/d/1IYY_tgx_IHuhSq3AJ5eI5OnqOPBNLWSHKh2a30DoXe8/edit?usp=sharing"",""ตรัง!I446"")"),0.0)</f>
        <v>0</v>
      </c>
      <c r="J551" s="443">
        <f>IFERROR(__xludf.DUMMYFUNCTION("IMPORTRANGE(""https://docs.google.com/spreadsheets/d/1IYY_tgx_IHuhSq3AJ5eI5OnqOPBNLWSHKh2a30DoXe8/edit?usp=sharing"",""ตรัง!J446"")"),0.0)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IFERROR(__xludf.DUMMYFUNCTION("IMPORTRANGE(""https://docs.google.com/spreadsheets/d/1IYY_tgx_IHuhSq3AJ5eI5OnqOPBNLWSHKh2a30DoXe8/edit?usp=sharing"",""ตรัง!L446"")"),0.0)</f>
        <v>0</v>
      </c>
      <c r="M551" s="445"/>
      <c r="N551" s="445">
        <f>IFERROR(__xludf.DUMMYFUNCTION("IMPORTRANGE(""https://docs.google.com/spreadsheets/d/1IYY_tgx_IHuhSq3AJ5eI5OnqOPBNLWSHKh2a30DoXe8/edit?usp=sharing"",""ตรัง!M446"")"),0.0)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IFERROR(__xludf.DUMMYFUNCTION("IMPORTRANGE(""https://docs.google.com/spreadsheets/d/1IYY_tgx_IHuhSq3AJ5eI5OnqOPBNLWSHKh2a30DoXe8/edit?usp=sharing"",""ตรัง!L447"")"),0.0)</f>
        <v>0</v>
      </c>
      <c r="M552" s="197"/>
      <c r="N552" s="203">
        <f>IFERROR(__xludf.DUMMYFUNCTION("IMPORTRANGE(""https://docs.google.com/spreadsheets/d/1IYY_tgx_IHuhSq3AJ5eI5OnqOPBNLWSHKh2a30DoXe8/edit?usp=sharing"",""ตรัง!M447"")"),0.0)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IFERROR(__xludf.DUMMYFUNCTION("IMPORTRANGE(""https://docs.google.com/spreadsheets/d/1IYY_tgx_IHuhSq3AJ5eI5OnqOPBNLWSHKh2a30DoXe8/edit?usp=sharing"",""ตรัง!L448"")"),0.0)</f>
        <v>0</v>
      </c>
      <c r="M553" s="198"/>
      <c r="N553" s="203">
        <f>IFERROR(__xludf.DUMMYFUNCTION("IMPORTRANGE(""https://docs.google.com/spreadsheets/d/1IYY_tgx_IHuhSq3AJ5eI5OnqOPBNLWSHKh2a30DoXe8/edit?usp=sharing"",""ตรัง!M448"")"),0.0)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IFERROR(__xludf.DUMMYFUNCTION("IMPORTRANGE(""https://docs.google.com/spreadsheets/d/1IYY_tgx_IHuhSq3AJ5eI5OnqOPBNLWSHKh2a30DoXe8/edit?usp=sharing"",""ตรัง!L449"")"),0.0)</f>
        <v>0</v>
      </c>
      <c r="M554" s="203"/>
      <c r="N554" s="203">
        <f>IFERROR(__xludf.DUMMYFUNCTION("IMPORTRANGE(""https://docs.google.com/spreadsheets/d/1IYY_tgx_IHuhSq3AJ5eI5OnqOPBNLWSHKh2a30DoXe8/edit?usp=sharing"",""ตรัง!M449"")"),0.0)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IFERROR(__xludf.DUMMYFUNCTION("IMPORTRANGE(""https://docs.google.com/spreadsheets/d/1IYY_tgx_IHuhSq3AJ5eI5OnqOPBNLWSHKh2a30DoXe8/edit?usp=sharing"",""ตรัง!L450"")"),0.0)</f>
        <v>0</v>
      </c>
      <c r="M555" s="203"/>
      <c r="N555" s="203">
        <f>IFERROR(__xludf.DUMMYFUNCTION("IMPORTRANGE(""https://docs.google.com/spreadsheets/d/1IYY_tgx_IHuhSq3AJ5eI5OnqOPBNLWSHKh2a30DoXe8/edit?usp=sharing"",""ตรัง!M450"")"),0.0)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IFERROR(__xludf.DUMMYFUNCTION("IMPORTRANGE(""https://docs.google.com/spreadsheets/d/1IYY_tgx_IHuhSq3AJ5eI5OnqOPBNLWSHKh2a30DoXe8/edit?usp=sharing"",""ตรัง!M451"")"),0.0)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IFERROR(__xludf.DUMMYFUNCTION("IMPORTRANGE(""https://docs.google.com/spreadsheets/d/1IYY_tgx_IHuhSq3AJ5eI5OnqOPBNLWSHKh2a30DoXe8/edit?usp=sharing"",""ตรัง!M452"")"),0.0)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IFERROR(__xludf.DUMMYFUNCTION("IMPORTRANGE(""https://docs.google.com/spreadsheets/d/1IYY_tgx_IHuhSq3AJ5eI5OnqOPBNLWSHKh2a30DoXe8/edit?usp=sharing"",""ตรัง!M453"")"),0.0)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IFERROR(__xludf.DUMMYFUNCTION("IMPORTRANGE(""https://docs.google.com/spreadsheets/d/1IYY_tgx_IHuhSq3AJ5eI5OnqOPBNLWSHKh2a30DoXe8/edit?usp=sharing"",""ตรัง!M454"")"),0.0)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IFERROR(__xludf.DUMMYFUNCTION("IMPORTRANGE(""https://docs.google.com/spreadsheets/d/1IYY_tgx_IHuhSq3AJ5eI5OnqOPBNLWSHKh2a30DoXe8/edit?usp=sharing"",""ตรัง!I455"")"),0.0)</f>
        <v>0</v>
      </c>
      <c r="J560" s="195">
        <f>IFERROR(__xludf.DUMMYFUNCTION("IMPORTRANGE(""https://docs.google.com/spreadsheets/d/1IYY_tgx_IHuhSq3AJ5eI5OnqOPBNLWSHKh2a30DoXe8/edit?usp=sharing"",""ตรัง!J455"")"),0.0)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IFERROR(__xludf.DUMMYFUNCTION("IMPORTRANGE(""https://docs.google.com/spreadsheets/d/1IYY_tgx_IHuhSq3AJ5eI5OnqOPBNLWSHKh2a30DoXe8/edit?usp=sharing"",""ตรัง!I456"")"),0.0)</f>
        <v>0</v>
      </c>
      <c r="J561" s="238">
        <f>IFERROR(__xludf.DUMMYFUNCTION("IMPORTRANGE(""https://docs.google.com/spreadsheets/d/1IYY_tgx_IHuhSq3AJ5eI5OnqOPBNLWSHKh2a30DoXe8/edit?usp=sharing"",""ตรัง!J456"")"),0.0)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IFERROR(__xludf.DUMMYFUNCTION("IMPORTRANGE(""https://docs.google.com/spreadsheets/d/1IYY_tgx_IHuhSq3AJ5eI5OnqOPBNLWSHKh2a30DoXe8/edit?usp=sharing"",""ตรัง!I457"")"),"")</f>
        <v/>
      </c>
      <c r="J562" s="238" t="str">
        <f>IFERROR(__xludf.DUMMYFUNCTION("IMPORTRANGE(""https://docs.google.com/spreadsheets/d/1IYY_tgx_IHuhSq3AJ5eI5OnqOPBNLWSHKh2a30DoXe8/edit?usp=sharing"",""ตรัง!J457"")"),"")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IFERROR(__xludf.DUMMYFUNCTION("IMPORTRANGE(""https://docs.google.com/spreadsheets/d/1IYY_tgx_IHuhSq3AJ5eI5OnqOPBNLWSHKh2a30DoXe8/edit?usp=sharing"",""ตรัง!I458"")"),"")</f>
        <v/>
      </c>
      <c r="J563" s="222" t="str">
        <f>IFERROR(__xludf.DUMMYFUNCTION("IMPORTRANGE(""https://docs.google.com/spreadsheets/d/1IYY_tgx_IHuhSq3AJ5eI5OnqOPBNLWSHKh2a30DoXe8/edit?usp=sharing"",""ตรัง!J458"")"),"")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IFERROR(__xludf.DUMMYFUNCTION("IMPORTRANGE(""https://docs.google.com/spreadsheets/d/1IYY_tgx_IHuhSq3AJ5eI5OnqOPBNLWSHKh2a30DoXe8/edit?usp=sharing"",""ตรัง!I459"")"),1000.0)</f>
        <v>1000</v>
      </c>
      <c r="J564" s="404">
        <f>IFERROR(__xludf.DUMMYFUNCTION("IMPORTRANGE(""https://docs.google.com/spreadsheets/d/1IYY_tgx_IHuhSq3AJ5eI5OnqOPBNLWSHKh2a30DoXe8/edit?usp=sharing"",""ตรัง!J459"")"),1467.0)</f>
        <v>1467</v>
      </c>
      <c r="K564" s="405">
        <f t="shared" si="122"/>
        <v>146.7</v>
      </c>
      <c r="L564" s="406">
        <f>IFERROR(__xludf.DUMMYFUNCTION("IMPORTRANGE(""https://docs.google.com/spreadsheets/d/1IYY_tgx_IHuhSq3AJ5eI5OnqOPBNLWSHKh2a30DoXe8/edit?usp=sharing"",""ตรัง!L459"")"),122720.0)</f>
        <v>122720</v>
      </c>
      <c r="M564" s="406"/>
      <c r="N564" s="406">
        <f>IFERROR(__xludf.DUMMYFUNCTION("IMPORTRANGE(""https://docs.google.com/spreadsheets/d/1IYY_tgx_IHuhSq3AJ5eI5OnqOPBNLWSHKh2a30DoXe8/edit?usp=sharing"",""ตรัง!M459"")"),32948.0)</f>
        <v>32948</v>
      </c>
      <c r="O564" s="406">
        <f t="shared" ref="O564:O568" si="123">+IF(L564&gt;0,N564*100/L564,0)</f>
        <v>26.84810952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IFERROR(__xludf.DUMMYFUNCTION("IMPORTRANGE(""https://docs.google.com/spreadsheets/d/1IYY_tgx_IHuhSq3AJ5eI5OnqOPBNLWSHKh2a30DoXe8/edit?usp=sharing"",""ตรัง!L460"")"),0.0)</f>
        <v>0</v>
      </c>
      <c r="M565" s="197"/>
      <c r="N565" s="203">
        <f>IFERROR(__xludf.DUMMYFUNCTION("IMPORTRANGE(""https://docs.google.com/spreadsheets/d/1IYY_tgx_IHuhSq3AJ5eI5OnqOPBNLWSHKh2a30DoXe8/edit?usp=sharing"",""ตรัง!M460"")"),0.0)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IFERROR(__xludf.DUMMYFUNCTION("IMPORTRANGE(""https://docs.google.com/spreadsheets/d/1IYY_tgx_IHuhSq3AJ5eI5OnqOPBNLWSHKh2a30DoXe8/edit?usp=sharing"",""ตรัง!L461"")"),122720.0)</f>
        <v>122720</v>
      </c>
      <c r="M566" s="198"/>
      <c r="N566" s="203">
        <f>IFERROR(__xludf.DUMMYFUNCTION("IMPORTRANGE(""https://docs.google.com/spreadsheets/d/1IYY_tgx_IHuhSq3AJ5eI5OnqOPBNLWSHKh2a30DoXe8/edit?usp=sharing"",""ตรัง!M461"")"),32948.0)</f>
        <v>32948</v>
      </c>
      <c r="O566" s="203">
        <f t="shared" si="123"/>
        <v>26.84810952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IFERROR(__xludf.DUMMYFUNCTION("IMPORTRANGE(""https://docs.google.com/spreadsheets/d/1IYY_tgx_IHuhSq3AJ5eI5OnqOPBNLWSHKh2a30DoXe8/edit?usp=sharing"",""ตรัง!L462"")"),0.0)</f>
        <v>0</v>
      </c>
      <c r="M567" s="203"/>
      <c r="N567" s="203">
        <f>IFERROR(__xludf.DUMMYFUNCTION("IMPORTRANGE(""https://docs.google.com/spreadsheets/d/1IYY_tgx_IHuhSq3AJ5eI5OnqOPBNLWSHKh2a30DoXe8/edit?usp=sharing"",""ตรัง!M462"")"),0.0)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IFERROR(__xludf.DUMMYFUNCTION("IMPORTRANGE(""https://docs.google.com/spreadsheets/d/1IYY_tgx_IHuhSq3AJ5eI5OnqOPBNLWSHKh2a30DoXe8/edit?usp=sharing"",""ตรัง!L463"")"),122720.0)</f>
        <v>122720</v>
      </c>
      <c r="M568" s="203"/>
      <c r="N568" s="203">
        <f>IFERROR(__xludf.DUMMYFUNCTION("IMPORTRANGE(""https://docs.google.com/spreadsheets/d/1IYY_tgx_IHuhSq3AJ5eI5OnqOPBNLWSHKh2a30DoXe8/edit?usp=sharing"",""ตรัง!M463"")"),32948.0)</f>
        <v>32948</v>
      </c>
      <c r="O568" s="203">
        <f t="shared" si="123"/>
        <v>26.84810952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IFERROR(__xludf.DUMMYFUNCTION("IMPORTRANGE(""https://docs.google.com/spreadsheets/d/1IYY_tgx_IHuhSq3AJ5eI5OnqOPBNLWSHKh2a30DoXe8/edit?usp=sharing"",""ตรัง!M464"")"),0.0)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IFERROR(__xludf.DUMMYFUNCTION("IMPORTRANGE(""https://docs.google.com/spreadsheets/d/1IYY_tgx_IHuhSq3AJ5eI5OnqOPBNLWSHKh2a30DoXe8/edit?usp=sharing"",""ตรัง!M465"")"),0.0)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IFERROR(__xludf.DUMMYFUNCTION("IMPORTRANGE(""https://docs.google.com/spreadsheets/d/1IYY_tgx_IHuhSq3AJ5eI5OnqOPBNLWSHKh2a30DoXe8/edit?usp=sharing"",""ตรัง!M466"")"),30788.0)</f>
        <v>30788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IFERROR(__xludf.DUMMYFUNCTION("IMPORTRANGE(""https://docs.google.com/spreadsheets/d/1IYY_tgx_IHuhSq3AJ5eI5OnqOPBNLWSHKh2a30DoXe8/edit?usp=sharing"",""ตรัง!M467"")"),2160.0)</f>
        <v>2160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IFERROR(__xludf.DUMMYFUNCTION("IMPORTRANGE(""https://docs.google.com/spreadsheets/d/1IYY_tgx_IHuhSq3AJ5eI5OnqOPBNLWSHKh2a30DoXe8/edit?usp=sharing"",""ตรัง!I468"")"),1000.0)</f>
        <v>1000</v>
      </c>
      <c r="J573" s="453">
        <f>IFERROR(__xludf.DUMMYFUNCTION("IMPORTRANGE(""https://docs.google.com/spreadsheets/d/1IYY_tgx_IHuhSq3AJ5eI5OnqOPBNLWSHKh2a30DoXe8/edit?usp=sharing"",""ตรัง!J468"")"),1467.0)</f>
        <v>1467</v>
      </c>
      <c r="K573" s="236">
        <f>IF(I573&gt;0,J573*100/I573,0)</f>
        <v>146.7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IFERROR(__xludf.DUMMYFUNCTION("IMPORTRANGE(""https://docs.google.com/spreadsheets/d/1IYY_tgx_IHuhSq3AJ5eI5OnqOPBNLWSHKh2a30DoXe8/edit?usp=sharing"",""ตรัง!I470"")"),0.0)</f>
        <v>0</v>
      </c>
      <c r="J575" s="232">
        <f>IFERROR(__xludf.DUMMYFUNCTION("IMPORTRANGE(""https://docs.google.com/spreadsheets/d/1IYY_tgx_IHuhSq3AJ5eI5OnqOPBNLWSHKh2a30DoXe8/edit?usp=sharing"",""ตรัง!J470"")"),3.0)</f>
        <v>3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IFERROR(__xludf.DUMMYFUNCTION("IMPORTRANGE(""https://docs.google.com/spreadsheets/d/1IYY_tgx_IHuhSq3AJ5eI5OnqOPBNLWSHKh2a30DoXe8/edit?usp=sharing"",""ตรัง!I471"")"),0.0)</f>
        <v>0</v>
      </c>
      <c r="J576" s="232">
        <f>IFERROR(__xludf.DUMMYFUNCTION("IMPORTRANGE(""https://docs.google.com/spreadsheets/d/1IYY_tgx_IHuhSq3AJ5eI5OnqOPBNLWSHKh2a30DoXe8/edit?usp=sharing"",""ตรัง!J471"")"),143.0)</f>
        <v>143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IFERROR(__xludf.DUMMYFUNCTION("IMPORTRANGE(""https://docs.google.com/spreadsheets/d/1IYY_tgx_IHuhSq3AJ5eI5OnqOPBNLWSHKh2a30DoXe8/edit?usp=sharing"",""ตรัง!I472"")"),0.0)</f>
        <v>0</v>
      </c>
      <c r="J577" s="223">
        <f>IFERROR(__xludf.DUMMYFUNCTION("IMPORTRANGE(""https://docs.google.com/spreadsheets/d/1IYY_tgx_IHuhSq3AJ5eI5OnqOPBNLWSHKh2a30DoXe8/edit?usp=sharing"",""ตรัง!J472"")"),1324.0)</f>
        <v>1324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IFERROR(__xludf.DUMMYFUNCTION("IMPORTRANGE(""https://docs.google.com/spreadsheets/d/1IYY_tgx_IHuhSq3AJ5eI5OnqOPBNLWSHKh2a30DoXe8/edit?usp=sharing"",""ตรัง!I473"")"),0.0)</f>
        <v>0</v>
      </c>
      <c r="J578" s="232">
        <f>IFERROR(__xludf.DUMMYFUNCTION("IMPORTRANGE(""https://docs.google.com/spreadsheets/d/1IYY_tgx_IHuhSq3AJ5eI5OnqOPBNLWSHKh2a30DoXe8/edit?usp=sharing"",""ตรัง!J473"")"),0.0)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IFERROR(__xludf.DUMMYFUNCTION("IMPORTRANGE(""https://docs.google.com/spreadsheets/d/1IYY_tgx_IHuhSq3AJ5eI5OnqOPBNLWSHKh2a30DoXe8/edit?usp=sharing"",""ตรัง!I474"")"),0.0)</f>
        <v>0</v>
      </c>
      <c r="J579" s="232" t="str">
        <f>IFERROR(__xludf.DUMMYFUNCTION("IMPORTRANGE(""https://docs.google.com/spreadsheets/d/1IYY_tgx_IHuhSq3AJ5eI5OnqOPBNLWSHKh2a30DoXe8/edit?usp=sharing"",""ตรัง!J474"")"),"")</f>
        <v/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IFERROR(__xludf.DUMMYFUNCTION("IMPORTRANGE(""https://docs.google.com/spreadsheets/d/1IYY_tgx_IHuhSq3AJ5eI5OnqOPBNLWSHKh2a30DoXe8/edit?usp=sharing"",""ตรัง!I475"")"),0.0)</f>
        <v>0</v>
      </c>
      <c r="J580" s="404">
        <f>IFERROR(__xludf.DUMMYFUNCTION("IMPORTRANGE(""https://docs.google.com/spreadsheets/d/1IYY_tgx_IHuhSq3AJ5eI5OnqOPBNLWSHKh2a30DoXe8/edit?usp=sharing"",""ตรัง!J475"")"),0.0)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IFERROR(__xludf.DUMMYFUNCTION("IMPORTRANGE(""https://docs.google.com/spreadsheets/d/1IYY_tgx_IHuhSq3AJ5eI5OnqOPBNLWSHKh2a30DoXe8/edit?usp=sharing"",""ตรัง!L475"")"),0.0)</f>
        <v>0</v>
      </c>
      <c r="M580" s="406"/>
      <c r="N580" s="406">
        <f>IFERROR(__xludf.DUMMYFUNCTION("IMPORTRANGE(""https://docs.google.com/spreadsheets/d/1IYY_tgx_IHuhSq3AJ5eI5OnqOPBNLWSHKh2a30DoXe8/edit?usp=sharing"",""ตรัง!M475"")"),0.0)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IFERROR(__xludf.DUMMYFUNCTION("IMPORTRANGE(""https://docs.google.com/spreadsheets/d/1IYY_tgx_IHuhSq3AJ5eI5OnqOPBNLWSHKh2a30DoXe8/edit?usp=sharing"",""ตรัง!L476"")"),0.0)</f>
        <v>0</v>
      </c>
      <c r="M581" s="197"/>
      <c r="N581" s="203">
        <f>IFERROR(__xludf.DUMMYFUNCTION("IMPORTRANGE(""https://docs.google.com/spreadsheets/d/1IYY_tgx_IHuhSq3AJ5eI5OnqOPBNLWSHKh2a30DoXe8/edit?usp=sharing"",""ตรัง!M476"")"),0.0)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IFERROR(__xludf.DUMMYFUNCTION("IMPORTRANGE(""https://docs.google.com/spreadsheets/d/1IYY_tgx_IHuhSq3AJ5eI5OnqOPBNLWSHKh2a30DoXe8/edit?usp=sharing"",""ตรัง!L477"")"),0.0)</f>
        <v>0</v>
      </c>
      <c r="M582" s="198"/>
      <c r="N582" s="203">
        <f>IFERROR(__xludf.DUMMYFUNCTION("IMPORTRANGE(""https://docs.google.com/spreadsheets/d/1IYY_tgx_IHuhSq3AJ5eI5OnqOPBNLWSHKh2a30DoXe8/edit?usp=sharing"",""ตรัง!M477"")"),0.0)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IFERROR(__xludf.DUMMYFUNCTION("IMPORTRANGE(""https://docs.google.com/spreadsheets/d/1IYY_tgx_IHuhSq3AJ5eI5OnqOPBNLWSHKh2a30DoXe8/edit?usp=sharing"",""ตรัง!L478"")"),0.0)</f>
        <v>0</v>
      </c>
      <c r="M583" s="203"/>
      <c r="N583" s="203">
        <f>IFERROR(__xludf.DUMMYFUNCTION("IMPORTRANGE(""https://docs.google.com/spreadsheets/d/1IYY_tgx_IHuhSq3AJ5eI5OnqOPBNLWSHKh2a30DoXe8/edit?usp=sharing"",""ตรัง!M478"")"),0.0)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IFERROR(__xludf.DUMMYFUNCTION("IMPORTRANGE(""https://docs.google.com/spreadsheets/d/1IYY_tgx_IHuhSq3AJ5eI5OnqOPBNLWSHKh2a30DoXe8/edit?usp=sharing"",""ตรัง!L479"")"),0.0)</f>
        <v>0</v>
      </c>
      <c r="M584" s="203"/>
      <c r="N584" s="203">
        <f>IFERROR(__xludf.DUMMYFUNCTION("IMPORTRANGE(""https://docs.google.com/spreadsheets/d/1IYY_tgx_IHuhSq3AJ5eI5OnqOPBNLWSHKh2a30DoXe8/edit?usp=sharing"",""ตรัง!M479"")"),0.0)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IFERROR(__xludf.DUMMYFUNCTION("IMPORTRANGE(""https://docs.google.com/spreadsheets/d/1IYY_tgx_IHuhSq3AJ5eI5OnqOPBNLWSHKh2a30DoXe8/edit?usp=sharing"",""ตรัง!M480"")"),0.0)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IFERROR(__xludf.DUMMYFUNCTION("IMPORTRANGE(""https://docs.google.com/spreadsheets/d/1IYY_tgx_IHuhSq3AJ5eI5OnqOPBNLWSHKh2a30DoXe8/edit?usp=sharing"",""ตรัง!M481"")"),0.0)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IFERROR(__xludf.DUMMYFUNCTION("IMPORTRANGE(""https://docs.google.com/spreadsheets/d/1IYY_tgx_IHuhSq3AJ5eI5OnqOPBNLWSHKh2a30DoXe8/edit?usp=sharing"",""ตรัง!M482"")"),0.0)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IFERROR(__xludf.DUMMYFUNCTION("IMPORTRANGE(""https://docs.google.com/spreadsheets/d/1IYY_tgx_IHuhSq3AJ5eI5OnqOPBNLWSHKh2a30DoXe8/edit?usp=sharing"",""ตรัง!M483"")"),0.0)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IFERROR(__xludf.DUMMYFUNCTION("IMPORTRANGE(""https://docs.google.com/spreadsheets/d/1IYY_tgx_IHuhSq3AJ5eI5OnqOPBNLWSHKh2a30DoXe8/edit?usp=sharing"",""ตรัง!I484"")"),0.0)</f>
        <v>0</v>
      </c>
      <c r="J589" s="222">
        <f>IFERROR(__xludf.DUMMYFUNCTION("IMPORTRANGE(""https://docs.google.com/spreadsheets/d/1IYY_tgx_IHuhSq3AJ5eI5OnqOPBNLWSHKh2a30DoXe8/edit?usp=sharing"",""ตรัง!J484"")"),0.0)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IFERROR(__xludf.DUMMYFUNCTION("IMPORTRANGE(""https://docs.google.com/spreadsheets/d/1IYY_tgx_IHuhSq3AJ5eI5OnqOPBNLWSHKh2a30DoXe8/edit?usp=sharing"",""ตรัง!I485"")"),0.0)</f>
        <v>0</v>
      </c>
      <c r="J590" s="222">
        <f>IFERROR(__xludf.DUMMYFUNCTION("IMPORTRANGE(""https://docs.google.com/spreadsheets/d/1IYY_tgx_IHuhSq3AJ5eI5OnqOPBNLWSHKh2a30DoXe8/edit?usp=sharing"",""ตรัง!J485"")"),0.0)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IFERROR(__xludf.DUMMYFUNCTION("IMPORTRANGE(""https://docs.google.com/spreadsheets/d/1IYY_tgx_IHuhSq3AJ5eI5OnqOPBNLWSHKh2a30DoXe8/edit?usp=sharing"",""ตรัง!I486"")"),0.0)</f>
        <v>0</v>
      </c>
      <c r="J591" s="222">
        <f>IFERROR(__xludf.DUMMYFUNCTION("IMPORTRANGE(""https://docs.google.com/spreadsheets/d/1IYY_tgx_IHuhSq3AJ5eI5OnqOPBNLWSHKh2a30DoXe8/edit?usp=sharing"",""ตรัง!J486"")"),0.0)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IFERROR(__xludf.DUMMYFUNCTION("IMPORTRANGE(""https://docs.google.com/spreadsheets/d/1IYY_tgx_IHuhSq3AJ5eI5OnqOPBNLWSHKh2a30DoXe8/edit?usp=sharing"",""ตรัง!I487"")"),0.0)</f>
        <v>0</v>
      </c>
      <c r="J592" s="222">
        <f>IFERROR(__xludf.DUMMYFUNCTION("IMPORTRANGE(""https://docs.google.com/spreadsheets/d/1IYY_tgx_IHuhSq3AJ5eI5OnqOPBNLWSHKh2a30DoXe8/edit?usp=sharing"",""ตรัง!J487"")"),0.0)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IFERROR(__xludf.DUMMYFUNCTION("IMPORTRANGE(""https://docs.google.com/spreadsheets/d/1IYY_tgx_IHuhSq3AJ5eI5OnqOPBNLWSHKh2a30DoXe8/edit?usp=sharing"",""ตรัง!I488"")"),0.0)</f>
        <v>0</v>
      </c>
      <c r="J593" s="222">
        <f>IFERROR(__xludf.DUMMYFUNCTION("IMPORTRANGE(""https://docs.google.com/spreadsheets/d/1IYY_tgx_IHuhSq3AJ5eI5OnqOPBNLWSHKh2a30DoXe8/edit?usp=sharing"",""ตรัง!J488"")"),0.0)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IFERROR(__xludf.DUMMYFUNCTION("IMPORTRANGE(""https://docs.google.com/spreadsheets/d/1IYY_tgx_IHuhSq3AJ5eI5OnqOPBNLWSHKh2a30DoXe8/edit?usp=sharing"",""ตรัง!I489"")"),0.0)</f>
        <v>0</v>
      </c>
      <c r="J594" s="222">
        <f>IFERROR(__xludf.DUMMYFUNCTION("IMPORTRANGE(""https://docs.google.com/spreadsheets/d/1IYY_tgx_IHuhSq3AJ5eI5OnqOPBNLWSHKh2a30DoXe8/edit?usp=sharing"",""ตรัง!J489"")"),0.0)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IFERROR(__xludf.DUMMYFUNCTION("IMPORTRANGE(""https://docs.google.com/spreadsheets/d/1IYY_tgx_IHuhSq3AJ5eI5OnqOPBNLWSHKh2a30DoXe8/edit?usp=sharing"",""ตรัง!I490"")"),0.0)</f>
        <v>0</v>
      </c>
      <c r="J595" s="222">
        <f>IFERROR(__xludf.DUMMYFUNCTION("IMPORTRANGE(""https://docs.google.com/spreadsheets/d/1IYY_tgx_IHuhSq3AJ5eI5OnqOPBNLWSHKh2a30DoXe8/edit?usp=sharing"",""ตรัง!J490"")"),0.0)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IFERROR(__xludf.DUMMYFUNCTION("IMPORTRANGE(""https://docs.google.com/spreadsheets/d/1IYY_tgx_IHuhSq3AJ5eI5OnqOPBNLWSHKh2a30DoXe8/edit?usp=sharing"",""ตรัง!I491"")"),0.0)</f>
        <v>0</v>
      </c>
      <c r="J596" s="275">
        <f>IFERROR(__xludf.DUMMYFUNCTION("IMPORTRANGE(""https://docs.google.com/spreadsheets/d/1IYY_tgx_IHuhSq3AJ5eI5OnqOPBNLWSHKh2a30DoXe8/edit?usp=sharing"",""ตรัง!J491"")"),0.0)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IFERROR(__xludf.DUMMYFUNCTION("IMPORTRANGE(""https://docs.google.com/spreadsheets/d/1IYY_tgx_IHuhSq3AJ5eI5OnqOPBNLWSHKh2a30DoXe8/edit?usp=sharing"",""ตรัง!I492"")"),50.0)</f>
        <v>50</v>
      </c>
      <c r="J597" s="520">
        <f>IFERROR(__xludf.DUMMYFUNCTION("IMPORTRANGE(""https://docs.google.com/spreadsheets/d/1IYY_tgx_IHuhSq3AJ5eI5OnqOPBNLWSHKh2a30DoXe8/edit?usp=sharing"",""ตรัง!J492"")"),0.0)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IFERROR(__xludf.DUMMYFUNCTION("IMPORTRANGE(""https://docs.google.com/spreadsheets/d/1IYY_tgx_IHuhSq3AJ5eI5OnqOPBNLWSHKh2a30DoXe8/edit?usp=sharing"",""ตรัง!L492"")"),11750.0)</f>
        <v>11750</v>
      </c>
      <c r="M597" s="445"/>
      <c r="N597" s="445">
        <f>IFERROR(__xludf.DUMMYFUNCTION("IMPORTRANGE(""https://docs.google.com/spreadsheets/d/1IYY_tgx_IHuhSq3AJ5eI5OnqOPBNLWSHKh2a30DoXe8/edit?usp=sharing"",""ตรัง!M492"")"),4537.0)</f>
        <v>4537</v>
      </c>
      <c r="O597" s="445">
        <f t="shared" ref="O597:O601" si="127">+IF(L597&gt;0,N597*100/L597,0)</f>
        <v>38.61276596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IFERROR(__xludf.DUMMYFUNCTION("IMPORTRANGE(""https://docs.google.com/spreadsheets/d/1IYY_tgx_IHuhSq3AJ5eI5OnqOPBNLWSHKh2a30DoXe8/edit?usp=sharing"",""ตรัง!L493"")"),0.0)</f>
        <v>0</v>
      </c>
      <c r="M598" s="197"/>
      <c r="N598" s="203">
        <f>IFERROR(__xludf.DUMMYFUNCTION("IMPORTRANGE(""https://docs.google.com/spreadsheets/d/1IYY_tgx_IHuhSq3AJ5eI5OnqOPBNLWSHKh2a30DoXe8/edit?usp=sharing"",""ตรัง!M493"")"),0.0)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IFERROR(__xludf.DUMMYFUNCTION("IMPORTRANGE(""https://docs.google.com/spreadsheets/d/1IYY_tgx_IHuhSq3AJ5eI5OnqOPBNLWSHKh2a30DoXe8/edit?usp=sharing"",""ตรัง!L494"")"),11750.0)</f>
        <v>11750</v>
      </c>
      <c r="M599" s="198"/>
      <c r="N599" s="203">
        <f>IFERROR(__xludf.DUMMYFUNCTION("IMPORTRANGE(""https://docs.google.com/spreadsheets/d/1IYY_tgx_IHuhSq3AJ5eI5OnqOPBNLWSHKh2a30DoXe8/edit?usp=sharing"",""ตรัง!M494"")"),4537.0)</f>
        <v>4537</v>
      </c>
      <c r="O599" s="203">
        <f t="shared" si="127"/>
        <v>38.61276596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IFERROR(__xludf.DUMMYFUNCTION("IMPORTRANGE(""https://docs.google.com/spreadsheets/d/1IYY_tgx_IHuhSq3AJ5eI5OnqOPBNLWSHKh2a30DoXe8/edit?usp=sharing"",""ตรัง!L495"")"),0.0)</f>
        <v>0</v>
      </c>
      <c r="M600" s="203"/>
      <c r="N600" s="203">
        <f>IFERROR(__xludf.DUMMYFUNCTION("IMPORTRANGE(""https://docs.google.com/spreadsheets/d/1IYY_tgx_IHuhSq3AJ5eI5OnqOPBNLWSHKh2a30DoXe8/edit?usp=sharing"",""ตรัง!M495"")"),0.0)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IFERROR(__xludf.DUMMYFUNCTION("IMPORTRANGE(""https://docs.google.com/spreadsheets/d/1IYY_tgx_IHuhSq3AJ5eI5OnqOPBNLWSHKh2a30DoXe8/edit?usp=sharing"",""ตรัง!L496"")"),11750.0)</f>
        <v>11750</v>
      </c>
      <c r="M601" s="203"/>
      <c r="N601" s="203">
        <f>IFERROR(__xludf.DUMMYFUNCTION("IMPORTRANGE(""https://docs.google.com/spreadsheets/d/1IYY_tgx_IHuhSq3AJ5eI5OnqOPBNLWSHKh2a30DoXe8/edit?usp=sharing"",""ตรัง!M496"")"),4537.0)</f>
        <v>4537</v>
      </c>
      <c r="O601" s="203">
        <f t="shared" si="127"/>
        <v>38.61276596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IFERROR(__xludf.DUMMYFUNCTION("IMPORTRANGE(""https://docs.google.com/spreadsheets/d/1IYY_tgx_IHuhSq3AJ5eI5OnqOPBNLWSHKh2a30DoXe8/edit?usp=sharing"",""ตรัง!M497"")"),0.0)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IFERROR(__xludf.DUMMYFUNCTION("IMPORTRANGE(""https://docs.google.com/spreadsheets/d/1IYY_tgx_IHuhSq3AJ5eI5OnqOPBNLWSHKh2a30DoXe8/edit?usp=sharing"",""ตรัง!M498"")"),0.0)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IFERROR(__xludf.DUMMYFUNCTION("IMPORTRANGE(""https://docs.google.com/spreadsheets/d/1IYY_tgx_IHuhSq3AJ5eI5OnqOPBNLWSHKh2a30DoXe8/edit?usp=sharing"",""ตรัง!M499"")"),0.0)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IFERROR(__xludf.DUMMYFUNCTION("IMPORTRANGE(""https://docs.google.com/spreadsheets/d/1IYY_tgx_IHuhSq3AJ5eI5OnqOPBNLWSHKh2a30DoXe8/edit?usp=sharing"",""ตรัง!M500"")"),4537.0)</f>
        <v>4537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IFERROR(__xludf.DUMMYFUNCTION("IMPORTRANGE(""https://docs.google.com/spreadsheets/d/1IYY_tgx_IHuhSq3AJ5eI5OnqOPBNLWSHKh2a30DoXe8/edit?usp=sharing"",""ตรัง!J502"")"),0.0)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IFERROR(__xludf.DUMMYFUNCTION("IMPORTRANGE(""https://docs.google.com/spreadsheets/d/1IYY_tgx_IHuhSq3AJ5eI5OnqOPBNLWSHKh2a30DoXe8/edit?usp=sharing"",""ตรัง!J503"")"),1.0)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IFERROR(__xludf.DUMMYFUNCTION("IMPORTRANGE(""https://docs.google.com/spreadsheets/d/1IYY_tgx_IHuhSq3AJ5eI5OnqOPBNLWSHKh2a30DoXe8/edit?usp=sharing"",""ตรัง!J166"")"),0.0)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IFERROR(__xludf.DUMMYFUNCTION("IMPORTRANGE(""https://docs.google.com/spreadsheets/d/1IYY_tgx_IHuhSq3AJ5eI5OnqOPBNLWSHKh2a30DoXe8/edit?usp=sharing"",""ตรัง!J166"")"),0.0)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IFERROR(__xludf.DUMMYFUNCTION("IMPORTRANGE(""https://docs.google.com/spreadsheets/d/1IYY_tgx_IHuhSq3AJ5eI5OnqOPBNLWSHKh2a30DoXe8/edit?usp=sharing"",""ตรัง!I506"")"),50.0)</f>
        <v>50</v>
      </c>
      <c r="J611" s="195">
        <f>IFERROR(__xludf.DUMMYFUNCTION("IMPORTRANGE(""https://docs.google.com/spreadsheets/d/1IYY_tgx_IHuhSq3AJ5eI5OnqOPBNLWSHKh2a30DoXe8/edit?usp=sharing"",""ตรัง!J506"")"),0.0)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IFERROR(__xludf.DUMMYFUNCTION("IMPORTRANGE(""https://docs.google.com/spreadsheets/d/1IYY_tgx_IHuhSq3AJ5eI5OnqOPBNLWSHKh2a30DoXe8/edit?usp=sharing"",""ตรัง!I507"")"),0.0)</f>
        <v>0</v>
      </c>
      <c r="J612" s="232">
        <f>IFERROR(__xludf.DUMMYFUNCTION("IMPORTRANGE(""https://docs.google.com/spreadsheets/d/1IYY_tgx_IHuhSq3AJ5eI5OnqOPBNLWSHKh2a30DoXe8/edit?usp=sharing"",""ตรัง!J507"")"),0.0)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IFERROR(__xludf.DUMMYFUNCTION("IMPORTRANGE(""https://docs.google.com/spreadsheets/d/1IYY_tgx_IHuhSq3AJ5eI5OnqOPBNLWSHKh2a30DoXe8/edit?usp=sharing"",""ตรัง!I508"")"),0.0)</f>
        <v>0</v>
      </c>
      <c r="J613" s="232">
        <f>IFERROR(__xludf.DUMMYFUNCTION("IMPORTRANGE(""https://docs.google.com/spreadsheets/d/1IYY_tgx_IHuhSq3AJ5eI5OnqOPBNLWSHKh2a30DoXe8/edit?usp=sharing"",""ตรัง!J508"")"),0.0)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IFERROR(__xludf.DUMMYFUNCTION("IMPORTRANGE(""https://docs.google.com/spreadsheets/d/1IYY_tgx_IHuhSq3AJ5eI5OnqOPBNLWSHKh2a30DoXe8/edit?usp=sharing"",""ตรัง!I509"")"),0.0)</f>
        <v>0</v>
      </c>
      <c r="J614" s="232">
        <f>IFERROR(__xludf.DUMMYFUNCTION("IMPORTRANGE(""https://docs.google.com/spreadsheets/d/1IYY_tgx_IHuhSq3AJ5eI5OnqOPBNLWSHKh2a30DoXe8/edit?usp=sharing"",""ตรัง!J509"")"),0.0)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IFERROR(__xludf.DUMMYFUNCTION("IMPORTRANGE(""https://docs.google.com/spreadsheets/d/1IYY_tgx_IHuhSq3AJ5eI5OnqOPBNLWSHKh2a30DoXe8/edit?usp=sharing"",""ตรัง!I510"")"),0.0)</f>
        <v>0</v>
      </c>
      <c r="J615" s="232">
        <f>IFERROR(__xludf.DUMMYFUNCTION("IMPORTRANGE(""https://docs.google.com/spreadsheets/d/1IYY_tgx_IHuhSq3AJ5eI5OnqOPBNLWSHKh2a30DoXe8/edit?usp=sharing"",""ตรัง!J510"")"),0.0)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IFERROR(__xludf.DUMMYFUNCTION("IMPORTRANGE(""https://docs.google.com/spreadsheets/d/1IYY_tgx_IHuhSq3AJ5eI5OnqOPBNLWSHKh2a30DoXe8/edit?usp=sharing"",""ตรัง!I511"")"),0.0)</f>
        <v>0</v>
      </c>
      <c r="J616" s="232">
        <f>IFERROR(__xludf.DUMMYFUNCTION("IMPORTRANGE(""https://docs.google.com/spreadsheets/d/1IYY_tgx_IHuhSq3AJ5eI5OnqOPBNLWSHKh2a30DoXe8/edit?usp=sharing"",""ตรัง!J511"")"),0.0)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IFERROR(__xludf.DUMMYFUNCTION("IMPORTRANGE(""https://docs.google.com/spreadsheets/d/1IYY_tgx_IHuhSq3AJ5eI5OnqOPBNLWSHKh2a30DoXe8/edit?usp=sharing"",""ตรัง!I512"")"),0.0)</f>
        <v>0</v>
      </c>
      <c r="J617" s="222">
        <f>IFERROR(__xludf.DUMMYFUNCTION("IMPORTRANGE(""https://docs.google.com/spreadsheets/d/1IYY_tgx_IHuhSq3AJ5eI5OnqOPBNLWSHKh2a30DoXe8/edit?usp=sharing"",""ตรัง!J512"")"),0.0)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IFERROR(__xludf.DUMMYFUNCTION("IMPORTRANGE(""https://docs.google.com/spreadsheets/d/1IYY_tgx_IHuhSq3AJ5eI5OnqOPBNLWSHKh2a30DoXe8/edit?usp=sharing"",""ตรัง!I513"")"),0.0)</f>
        <v>0</v>
      </c>
      <c r="J618" s="223">
        <f>IFERROR(__xludf.DUMMYFUNCTION("IMPORTRANGE(""https://docs.google.com/spreadsheets/d/1IYY_tgx_IHuhSq3AJ5eI5OnqOPBNLWSHKh2a30DoXe8/edit?usp=sharing"",""ตรัง!J513"")"),0.0)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IFERROR(__xludf.DUMMYFUNCTION("IMPORTRANGE(""https://docs.google.com/spreadsheets/d/1IYY_tgx_IHuhSq3AJ5eI5OnqOPBNLWSHKh2a30DoXe8/edit?usp=sharing"",""ตรัง!I514"")"),0.0)</f>
        <v>0</v>
      </c>
      <c r="J619" s="223">
        <f>IFERROR(__xludf.DUMMYFUNCTION("IMPORTRANGE(""https://docs.google.com/spreadsheets/d/1IYY_tgx_IHuhSq3AJ5eI5OnqOPBNLWSHKh2a30DoXe8/edit?usp=sharing"",""ตรัง!J514"")"),0.0)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IFERROR(__xludf.DUMMYFUNCTION("IMPORTRANGE(""https://docs.google.com/spreadsheets/d/1IYY_tgx_IHuhSq3AJ5eI5OnqOPBNLWSHKh2a30DoXe8/edit?usp=sharing"",""ตรัง!I515"")"),0.0)</f>
        <v>0</v>
      </c>
      <c r="J620" s="237">
        <f>IFERROR(__xludf.DUMMYFUNCTION("IMPORTRANGE(""https://docs.google.com/spreadsheets/d/1IYY_tgx_IHuhSq3AJ5eI5OnqOPBNLWSHKh2a30DoXe8/edit?usp=sharing"",""ตรัง!J515"")"),0.0)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IFERROR(__xludf.DUMMYFUNCTION("IMPORTRANGE(""https://docs.google.com/spreadsheets/d/1IYY_tgx_IHuhSq3AJ5eI5OnqOPBNLWSHKh2a30DoXe8/edit?usp=sharing"",""ตรัง!I516"")"),0.0)</f>
        <v>0</v>
      </c>
      <c r="J621" s="237">
        <f>IFERROR(__xludf.DUMMYFUNCTION("IMPORTRANGE(""https://docs.google.com/spreadsheets/d/1IYY_tgx_IHuhSq3AJ5eI5OnqOPBNLWSHKh2a30DoXe8/edit?usp=sharing"",""ตรัง!J516"")"),0.0)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IFERROR(__xludf.DUMMYFUNCTION("IMPORTRANGE(""https://docs.google.com/spreadsheets/d/1IYY_tgx_IHuhSq3AJ5eI5OnqOPBNLWSHKh2a30DoXe8/edit?usp=sharing"",""ตรัง!I517"")"),0.0)</f>
        <v>0</v>
      </c>
      <c r="J622" s="223">
        <f>IFERROR(__xludf.DUMMYFUNCTION("IMPORTRANGE(""https://docs.google.com/spreadsheets/d/1IYY_tgx_IHuhSq3AJ5eI5OnqOPBNLWSHKh2a30DoXe8/edit?usp=sharing"",""ตรัง!J517"")"),0.0)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IFERROR(__xludf.DUMMYFUNCTION("IMPORTRANGE(""https://docs.google.com/spreadsheets/d/1IYY_tgx_IHuhSq3AJ5eI5OnqOPBNLWSHKh2a30DoXe8/edit?usp=sharing"",""ตรัง!I518"")"),0.0)</f>
        <v>0</v>
      </c>
      <c r="J623" s="223">
        <f>IFERROR(__xludf.DUMMYFUNCTION("IMPORTRANGE(""https://docs.google.com/spreadsheets/d/1IYY_tgx_IHuhSq3AJ5eI5OnqOPBNLWSHKh2a30DoXe8/edit?usp=sharing"",""ตรัง!J518"")"),0.0)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IFERROR(__xludf.DUMMYFUNCTION("IMPORTRANGE(""https://docs.google.com/spreadsheets/d/1IYY_tgx_IHuhSq3AJ5eI5OnqOPBNLWSHKh2a30DoXe8/edit?usp=sharing"",""ตรัง!I519"")"),0.0)</f>
        <v>0</v>
      </c>
      <c r="J624" s="222">
        <f>IFERROR(__xludf.DUMMYFUNCTION("IMPORTRANGE(""https://docs.google.com/spreadsheets/d/1IYY_tgx_IHuhSq3AJ5eI5OnqOPBNLWSHKh2a30DoXe8/edit?usp=sharing"",""ตรัง!J519"")"),0.0)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IFERROR(__xludf.DUMMYFUNCTION("IMPORTRANGE(""https://docs.google.com/spreadsheets/d/1IYY_tgx_IHuhSq3AJ5eI5OnqOPBNLWSHKh2a30DoXe8/edit?usp=sharing"",""ตรัง!I520"")"),0.0)</f>
        <v>0</v>
      </c>
      <c r="J625" s="223">
        <f>IFERROR(__xludf.DUMMYFUNCTION("IMPORTRANGE(""https://docs.google.com/spreadsheets/d/1IYY_tgx_IHuhSq3AJ5eI5OnqOPBNLWSHKh2a30DoXe8/edit?usp=sharing"",""ตรัง!J520"")"),0.0)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IFERROR(__xludf.DUMMYFUNCTION("IMPORTRANGE(""https://docs.google.com/spreadsheets/d/1IYY_tgx_IHuhSq3AJ5eI5OnqOPBNLWSHKh2a30DoXe8/edit?usp=sharing"",""ตรัง!I521"")"),0.0)</f>
        <v>0</v>
      </c>
      <c r="J626" s="223">
        <f>IFERROR(__xludf.DUMMYFUNCTION("IMPORTRANGE(""https://docs.google.com/spreadsheets/d/1IYY_tgx_IHuhSq3AJ5eI5OnqOPBNLWSHKh2a30DoXe8/edit?usp=sharing"",""ตรัง!J521"")"),0.0)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IFERROR(__xludf.DUMMYFUNCTION("IMPORTRANGE(""https://docs.google.com/spreadsheets/d/1IYY_tgx_IHuhSq3AJ5eI5OnqOPBNLWSHKh2a30DoXe8/edit?usp=sharing"",""ตรัง!I523"")"),1672600.24)</f>
        <v>1672600.24</v>
      </c>
      <c r="J628" s="374">
        <f>IFERROR(__xludf.DUMMYFUNCTION("IMPORTRANGE(""https://docs.google.com/spreadsheets/d/1IYY_tgx_IHuhSq3AJ5eI5OnqOPBNLWSHKh2a30DoXe8/edit?usp=sharing"",""ตรัง!J523"")"),22391.39)</f>
        <v>22391.39</v>
      </c>
      <c r="K628" s="375">
        <f t="shared" ref="K628:K635" si="130">IF(I628&gt;0,J628*100/I628,0)</f>
        <v>1.338717373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IFERROR(__xludf.DUMMYFUNCTION("IMPORTRANGE(""https://docs.google.com/spreadsheets/d/1IYY_tgx_IHuhSq3AJ5eI5OnqOPBNLWSHKh2a30DoXe8/edit?usp=sharing"",""ตรัง!I524"")"),102.0)</f>
        <v>102</v>
      </c>
      <c r="J629" s="374">
        <f>IFERROR(__xludf.DUMMYFUNCTION("IMPORTRANGE(""https://docs.google.com/spreadsheets/d/1IYY_tgx_IHuhSq3AJ5eI5OnqOPBNLWSHKh2a30DoXe8/edit?usp=sharing"",""ตรัง!J524"")"),2.0)</f>
        <v>2</v>
      </c>
      <c r="K629" s="375">
        <f t="shared" si="130"/>
        <v>1.960784314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IFERROR(__xludf.DUMMYFUNCTION("IMPORTRANGE(""https://docs.google.com/spreadsheets/d/1IYY_tgx_IHuhSq3AJ5eI5OnqOPBNLWSHKh2a30DoXe8/edit?usp=sharing"",""ตรัง!I525"")"),2461069.78)</f>
        <v>2461069.78</v>
      </c>
      <c r="J630" s="374">
        <f>IFERROR(__xludf.DUMMYFUNCTION("IMPORTRANGE(""https://docs.google.com/spreadsheets/d/1IYY_tgx_IHuhSq3AJ5eI5OnqOPBNLWSHKh2a30DoXe8/edit?usp=sharing"",""ตรัง!J525"")"),346741.8)</f>
        <v>346741.8</v>
      </c>
      <c r="K630" s="375">
        <f t="shared" si="130"/>
        <v>14.08906821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IFERROR(__xludf.DUMMYFUNCTION("IMPORTRANGE(""https://docs.google.com/spreadsheets/d/1IYY_tgx_IHuhSq3AJ5eI5OnqOPBNLWSHKh2a30DoXe8/edit?usp=sharing"",""ตรัง!I526"")"),89.0)</f>
        <v>89</v>
      </c>
      <c r="J631" s="374">
        <f>IFERROR(__xludf.DUMMYFUNCTION("IMPORTRANGE(""https://docs.google.com/spreadsheets/d/1IYY_tgx_IHuhSq3AJ5eI5OnqOPBNLWSHKh2a30DoXe8/edit?usp=sharing"",""ตรัง!J526"")"),34.0)</f>
        <v>34</v>
      </c>
      <c r="K631" s="375">
        <f t="shared" si="130"/>
        <v>38.20224719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IFERROR(__xludf.DUMMYFUNCTION("IMPORTRANGE(""https://docs.google.com/spreadsheets/d/1IYY_tgx_IHuhSq3AJ5eI5OnqOPBNLWSHKh2a30DoXe8/edit?usp=sharing"",""ตรัง!I527"")"),0.0)</f>
        <v>0</v>
      </c>
      <c r="J632" s="374">
        <f>IFERROR(__xludf.DUMMYFUNCTION("IMPORTRANGE(""https://docs.google.com/spreadsheets/d/1IYY_tgx_IHuhSq3AJ5eI5OnqOPBNLWSHKh2a30DoXe8/edit?usp=sharing"",""ตรัง!J527"")"),0.0)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IFERROR(__xludf.DUMMYFUNCTION("IMPORTRANGE(""https://docs.google.com/spreadsheets/d/1IYY_tgx_IHuhSq3AJ5eI5OnqOPBNLWSHKh2a30DoXe8/edit?usp=sharing"",""ตรัง!I528"")"),0.0)</f>
        <v>0</v>
      </c>
      <c r="J633" s="374">
        <f>IFERROR(__xludf.DUMMYFUNCTION("IMPORTRANGE(""https://docs.google.com/spreadsheets/d/1IYY_tgx_IHuhSq3AJ5eI5OnqOPBNLWSHKh2a30DoXe8/edit?usp=sharing"",""ตรัง!J528"")"),0.0)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IFERROR(__xludf.DUMMYFUNCTION("IMPORTRANGE(""https://docs.google.com/spreadsheets/d/1IYY_tgx_IHuhSq3AJ5eI5OnqOPBNLWSHKh2a30DoXe8/edit?usp=sharing"",""ตรัง!I529"")"),1200000.0)</f>
        <v>1200000</v>
      </c>
      <c r="J634" s="374">
        <f>IFERROR(__xludf.DUMMYFUNCTION("IMPORTRANGE(""https://docs.google.com/spreadsheets/d/1IYY_tgx_IHuhSq3AJ5eI5OnqOPBNLWSHKh2a30DoXe8/edit?usp=sharing"",""ตรัง!J529"")"),0.0)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IFERROR(__xludf.DUMMYFUNCTION("IMPORTRANGE(""https://docs.google.com/spreadsheets/d/1IYY_tgx_IHuhSq3AJ5eI5OnqOPBNLWSHKh2a30DoXe8/edit?usp=sharing"",""ตรัง!I530"")"),24.0)</f>
        <v>24</v>
      </c>
      <c r="J635" s="544">
        <f>IFERROR(__xludf.DUMMYFUNCTION("IMPORTRANGE(""https://docs.google.com/spreadsheets/d/1IYY_tgx_IHuhSq3AJ5eI5OnqOPBNLWSHKh2a30DoXe8/edit?usp=sharing"",""ตรัง!J530"")"),0.0)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245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4383996</v>
      </c>
      <c r="M8" s="41">
        <f t="shared" si="1"/>
        <v>1653925</v>
      </c>
      <c r="N8" s="41">
        <f t="shared" si="1"/>
        <v>1266590.87</v>
      </c>
      <c r="O8" s="40">
        <f t="shared" ref="O8:O16" si="3">IF(L8&gt;0,N8*100/L8,0)</f>
        <v>28.89124146</v>
      </c>
      <c r="P8" s="40">
        <f t="shared" ref="P8:P16" si="4">IF(M8&gt;0,N8*100/M8,0)</f>
        <v>76.58091328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4383996</v>
      </c>
      <c r="M10" s="48">
        <f t="shared" si="5"/>
        <v>1653925</v>
      </c>
      <c r="N10" s="48">
        <f t="shared" si="5"/>
        <v>1266590.87</v>
      </c>
      <c r="O10" s="47">
        <f t="shared" si="3"/>
        <v>28.89124146</v>
      </c>
      <c r="P10" s="47">
        <f t="shared" si="4"/>
        <v>76.58091328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4182196</v>
      </c>
      <c r="M12" s="58">
        <f t="shared" si="7"/>
        <v>1653925</v>
      </c>
      <c r="N12" s="58">
        <f t="shared" si="7"/>
        <v>1068290.87</v>
      </c>
      <c r="O12" s="58">
        <f t="shared" si="3"/>
        <v>25.5437782</v>
      </c>
      <c r="P12" s="58">
        <f t="shared" si="4"/>
        <v>64.59125232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1872200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2309996</v>
      </c>
      <c r="M14" s="58">
        <f t="shared" si="9"/>
        <v>0</v>
      </c>
      <c r="N14" s="58">
        <f t="shared" si="9"/>
        <v>135787.87</v>
      </c>
      <c r="O14" s="61">
        <f t="shared" si="3"/>
        <v>5.878272949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201800</v>
      </c>
      <c r="M16" s="58">
        <f t="shared" si="11"/>
        <v>0</v>
      </c>
      <c r="N16" s="58">
        <f t="shared" si="11"/>
        <v>198300</v>
      </c>
      <c r="O16" s="70">
        <f t="shared" si="3"/>
        <v>98.26560951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3191565</v>
      </c>
      <c r="M18" s="41">
        <f t="shared" si="12"/>
        <v>1653925</v>
      </c>
      <c r="N18" s="41">
        <f t="shared" si="12"/>
        <v>1130803</v>
      </c>
      <c r="O18" s="40">
        <f t="shared" ref="O18:O20" si="14">IF(L18&gt;0,N18*100/L18,0)</f>
        <v>35.43098762</v>
      </c>
      <c r="P18" s="40">
        <f t="shared" ref="P18:P26" si="15">IF(M18&gt;0,N18*100/M18,0)</f>
        <v>68.37087534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3191565</v>
      </c>
      <c r="M20" s="48">
        <f t="shared" si="16"/>
        <v>1653925</v>
      </c>
      <c r="N20" s="48">
        <f t="shared" si="16"/>
        <v>1130803</v>
      </c>
      <c r="O20" s="47">
        <f t="shared" si="14"/>
        <v>35.43098762</v>
      </c>
      <c r="P20" s="47">
        <f t="shared" si="15"/>
        <v>68.37087534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2989765</v>
      </c>
      <c r="M22" s="62">
        <f t="shared" si="18"/>
        <v>1653925</v>
      </c>
      <c r="N22" s="61">
        <f t="shared" si="18"/>
        <v>932503</v>
      </c>
      <c r="O22" s="61">
        <f t="shared" si="19"/>
        <v>31.18984268</v>
      </c>
      <c r="P22" s="61">
        <f t="shared" si="15"/>
        <v>56.38121438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1872200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1117565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201800</v>
      </c>
      <c r="M26" s="70">
        <f t="shared" si="23"/>
        <v>0</v>
      </c>
      <c r="N26" s="70">
        <f t="shared" si="23"/>
        <v>198300</v>
      </c>
      <c r="O26" s="70">
        <f t="shared" si="19"/>
        <v>98.26560951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1192431</v>
      </c>
      <c r="M28" s="41">
        <f t="shared" si="24"/>
        <v>0</v>
      </c>
      <c r="N28" s="41">
        <f t="shared" si="24"/>
        <v>135787.87</v>
      </c>
      <c r="O28" s="40">
        <f t="shared" ref="O28:O30" si="26">IF(L28&gt;0,N28*100/L28,0)</f>
        <v>11.38748238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1192431</v>
      </c>
      <c r="M30" s="48">
        <f t="shared" si="28"/>
        <v>0</v>
      </c>
      <c r="N30" s="48">
        <f t="shared" si="28"/>
        <v>135787.87</v>
      </c>
      <c r="O30" s="47">
        <f t="shared" si="26"/>
        <v>11.38748238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1192431</v>
      </c>
      <c r="M32" s="61">
        <f t="shared" si="30"/>
        <v>0</v>
      </c>
      <c r="N32" s="61">
        <f t="shared" si="30"/>
        <v>135787.87</v>
      </c>
      <c r="O32" s="61">
        <f t="shared" si="31"/>
        <v>11.38748238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1192431</v>
      </c>
      <c r="M34" s="61">
        <f t="shared" si="33"/>
        <v>0</v>
      </c>
      <c r="N34" s="61">
        <f t="shared" si="33"/>
        <v>135787.87</v>
      </c>
      <c r="O34" s="61">
        <f t="shared" si="31"/>
        <v>11.38748238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3191565</v>
      </c>
      <c r="M37" s="75">
        <f t="shared" si="34"/>
        <v>1653925</v>
      </c>
      <c r="N37" s="75">
        <f t="shared" si="34"/>
        <v>1130803</v>
      </c>
      <c r="O37" s="76">
        <f t="shared" si="31"/>
        <v>35.43098762</v>
      </c>
      <c r="P37" s="76">
        <f t="shared" si="27"/>
        <v>68.37087534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747700</v>
      </c>
      <c r="M41" s="102">
        <f t="shared" si="35"/>
        <v>373800</v>
      </c>
      <c r="N41" s="102">
        <f t="shared" si="35"/>
        <v>275615</v>
      </c>
      <c r="O41" s="101">
        <f t="shared" ref="O41:O43" si="37">IF(L41&gt;0,N41*100/L41,0)</f>
        <v>36.86170924</v>
      </c>
      <c r="P41" s="101">
        <f t="shared" ref="P41:P43" si="38">IF(M41&gt;0,N41*100/M41,0)</f>
        <v>73.73327983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747700</v>
      </c>
      <c r="M43" s="102">
        <f t="shared" si="39"/>
        <v>373800</v>
      </c>
      <c r="N43" s="102">
        <f t="shared" si="39"/>
        <v>275615</v>
      </c>
      <c r="O43" s="101">
        <f t="shared" si="37"/>
        <v>36.86170924</v>
      </c>
      <c r="P43" s="101">
        <f t="shared" si="38"/>
        <v>73.73327983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747700</v>
      </c>
      <c r="M45" s="115">
        <f>IFERROR(__xludf.DUMMYFUNCTION("IMPORTRANGE(""https://docs.google.com/spreadsheets/d/1Yj_ptqi66GCucihVvJfMjLAmec39IyEx_6qawtMGysU/edit?usp=sharing"",""สบก!Q84"")"),373800.0)</f>
        <v>373800</v>
      </c>
      <c r="N45" s="115">
        <f>IFERROR(__xludf.DUMMYFUNCTION("IMPORTRANGE(""https://docs.google.com/spreadsheets/d/1Yj_ptqi66GCucihVvJfMjLAmec39IyEx_6qawtMGysU/edit?usp=sharing"",""สบก!R84"")"),275615.0)</f>
        <v>275615</v>
      </c>
      <c r="O45" s="116">
        <f>IF(L45&gt;0,N45*100/L45,0)</f>
        <v>36.86170924</v>
      </c>
      <c r="P45" s="116">
        <f>IF(M45&gt;0,N45*100/M45,0)</f>
        <v>73.73327983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IFERROR(__xludf.DUMMYFUNCTION("IMPORTRANGE(""https://docs.google.com/spreadsheets/d/1Yj_ptqi66GCucihVvJfMjLAmec39IyEx_6qawtMGysU/edit?usp=sharing"",""สบก!M84"")"),747700.0)</f>
        <v>747700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IFERROR(__xludf.DUMMYFUNCTION("IMPORTRANGE(""https://docs.google.com/spreadsheets/d/1Yj_ptqi66GCucihVvJfMjLAmec39IyEx_6qawtMGysU/edit?usp=sharing"",""สบก!N84"")"),0.0)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IFERROR(__xludf.DUMMYFUNCTION("IMPORTRANGE(""https://docs.google.com/spreadsheets/d/1Yj_ptqi66GCucihVvJfMjLAmec39IyEx_6qawtMGysU/edit?usp=sharing"",""สบก!O84"")"),0.0)</f>
        <v>0</v>
      </c>
      <c r="M49" s="125"/>
      <c r="N49" s="115">
        <f>IFERROR(__xludf.DUMMYFUNCTION("IMPORTRANGE(""https://docs.google.com/spreadsheets/d/1Yj_ptqi66GCucihVvJfMjLAmec39IyEx_6qawtMGysU/edit?usp=sharing"",""สบก!S84"")"),0.0)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600000</v>
      </c>
      <c r="M53" s="151">
        <f t="shared" si="40"/>
        <v>313500</v>
      </c>
      <c r="N53" s="151">
        <f t="shared" si="40"/>
        <v>215164</v>
      </c>
      <c r="O53" s="150">
        <f t="shared" ref="O53:O55" si="42">IF(L53&gt;0,N53*100/L53,0)</f>
        <v>35.86066667</v>
      </c>
      <c r="P53" s="150">
        <f t="shared" ref="P53:P55" si="43">IF(M53&gt;0,N53*100/M53,0)</f>
        <v>68.63285486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600000</v>
      </c>
      <c r="M55" s="151">
        <f t="shared" si="44"/>
        <v>313500</v>
      </c>
      <c r="N55" s="151">
        <f t="shared" si="44"/>
        <v>215164</v>
      </c>
      <c r="O55" s="150">
        <f t="shared" si="42"/>
        <v>35.86066667</v>
      </c>
      <c r="P55" s="150">
        <f t="shared" si="43"/>
        <v>68.63285486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600000</v>
      </c>
      <c r="M57" s="115">
        <f>IFERROR(__xludf.DUMMYFUNCTION("IMPORTRANGE(""https://docs.google.com/spreadsheets/d/1Yj_ptqi66GCucihVvJfMjLAmec39IyEx_6qawtMGysU/edit?usp=sharing"",""สบก!Z84"")"),313500.0)</f>
        <v>313500</v>
      </c>
      <c r="N57" s="115">
        <f>IFERROR(__xludf.DUMMYFUNCTION("IMPORTRANGE(""https://docs.google.com/spreadsheets/d/1Yj_ptqi66GCucihVvJfMjLAmec39IyEx_6qawtMGysU/edit?usp=sharing"",""สบก!AA84"")"),215164.0)</f>
        <v>215164</v>
      </c>
      <c r="O57" s="116">
        <f>IF(L57&gt;0,N57*100/L57,0)</f>
        <v>35.86066667</v>
      </c>
      <c r="P57" s="116">
        <f>IF(M57&gt;0,N57*100/M57,0)</f>
        <v>68.63285486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IFERROR(__xludf.DUMMYFUNCTION("IMPORTRANGE(""https://docs.google.com/spreadsheets/d/1Yj_ptqi66GCucihVvJfMjLAmec39IyEx_6qawtMGysU/edit?usp=sharing"",""สบก!V84"")"),600000.0)</f>
        <v>600000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IFERROR(__xludf.DUMMYFUNCTION("IMPORTRANGE(""https://docs.google.com/spreadsheets/d/1Yj_ptqi66GCucihVvJfMjLAmec39IyEx_6qawtMGysU/edit?usp=sharing"",""สบก!W84"")"),0.0)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IFERROR(__xludf.DUMMYFUNCTION("IMPORTRANGE(""https://docs.google.com/spreadsheets/d/1Yj_ptqi66GCucihVvJfMjLAmec39IyEx_6qawtMGysU/edit?usp=sharing"",""สบก!X84"")"),0.0)</f>
        <v>0</v>
      </c>
      <c r="M61" s="125"/>
      <c r="N61" s="115">
        <f>IFERROR(__xludf.DUMMYFUNCTION("IMPORTRANGE(""https://docs.google.com/spreadsheets/d/1Yj_ptqi66GCucihVvJfMjLAmec39IyEx_6qawtMGysU/edit?usp=sharing"",""สบก!AB84"")"),0.0)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IFERROR(__xludf.DUMMYFUNCTION("IMPORTRANGE(""https://docs.google.com/spreadsheets/d/1IYY_tgx_IHuhSq3AJ5eI5OnqOPBNLWSHKh2a30DoXe8/edit?usp=sharing"",""นครศรีธรรมราช!I9"")"),0.0)</f>
        <v>0</v>
      </c>
      <c r="J64" s="172">
        <f>IFERROR(__xludf.DUMMYFUNCTION("IMPORTRANGE(""https://docs.google.com/spreadsheets/d/1IYY_tgx_IHuhSq3AJ5eI5OnqOPBNLWSHKh2a30DoXe8/edit?usp=sharing"",""นครศรีธรรมราช!J9"")"),0.0)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IFERROR(__xludf.DUMMYFUNCTION("IMPORTRANGE(""https://docs.google.com/spreadsheets/d/1IYY_tgx_IHuhSq3AJ5eI5OnqOPBNLWSHKh2a30DoXe8/edit?usp=sharing"",""นครศรีธรรมราช!I10"")"),0.0)</f>
        <v>0</v>
      </c>
      <c r="J65" s="172">
        <f>IFERROR(__xludf.DUMMYFUNCTION("IMPORTRANGE(""https://docs.google.com/spreadsheets/d/1IYY_tgx_IHuhSq3AJ5eI5OnqOPBNLWSHKh2a30DoXe8/edit?usp=sharing"",""นครศรีธรรมราช!J10"")"),0.0)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IFERROR(__xludf.DUMMYFUNCTION("IMPORTRANGE(""https://docs.google.com/spreadsheets/d/1Yj_ptqi66GCucihVvJfMjLAmec39IyEx_6qawtMGysU/edit?usp=sharing"",""สบก!AI84"")"),0.0)</f>
        <v>0</v>
      </c>
      <c r="N70" s="202">
        <f>IFERROR(__xludf.DUMMYFUNCTION("IMPORTRANGE(""https://docs.google.com/spreadsheets/d/1Yj_ptqi66GCucihVvJfMjLAmec39IyEx_6qawtMGysU/edit?usp=sharing"",""สบก!AJ84"")"),0.0)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IFERROR(__xludf.DUMMYFUNCTION("IMPORTRANGE(""https://docs.google.com/spreadsheets/d/1Yj_ptqi66GCucihVvJfMjLAmec39IyEx_6qawtMGysU/edit?usp=sharing"",""สบก!AE84"")"),0.0)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IFERROR(__xludf.DUMMYFUNCTION("IMPORTRANGE(""https://docs.google.com/spreadsheets/d/1Yj_ptqi66GCucihVvJfMjLAmec39IyEx_6qawtMGysU/edit?usp=sharing"",""สบก!AF84"")"),0.0)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IFERROR(__xludf.DUMMYFUNCTION("IMPORTRANGE(""https://docs.google.com/spreadsheets/d/1Yj_ptqi66GCucihVvJfMjLAmec39IyEx_6qawtMGysU/edit?usp=sharing"",""สบก!AG84"")"),0.0)</f>
        <v>0</v>
      </c>
      <c r="M74" s="125"/>
      <c r="N74" s="115">
        <f>IFERROR(__xludf.DUMMYFUNCTION("IMPORTRANGE(""https://docs.google.com/spreadsheets/d/1Yj_ptqi66GCucihVvJfMjLAmec39IyEx_6qawtMGysU/edit?usp=sharing"",""สบก!AK84"")"),0.0)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IFERROR(__xludf.DUMMYFUNCTION("IMPORTRANGE(""https://docs.google.com/spreadsheets/d/1IYY_tgx_IHuhSq3AJ5eI5OnqOPBNLWSHKh2a30DoXe8/edit?usp=sharing"",""นครศรีธรรมราช!J16"")"),0.0)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IFERROR(__xludf.DUMMYFUNCTION("IMPORTRANGE(""https://docs.google.com/spreadsheets/d/1IYY_tgx_IHuhSq3AJ5eI5OnqOPBNLWSHKh2a30DoXe8/edit?usp=sharing"",""นครศรีธรรมราช!J17"")"),0.0)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IFERROR(__xludf.DUMMYFUNCTION("IMPORTRANGE(""https://docs.google.com/spreadsheets/d/1IYY_tgx_IHuhSq3AJ5eI5OnqOPBNLWSHKh2a30DoXe8/edit?usp=sharing"",""นครศรีธรรมราช!J18"")"),0.0)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IFERROR(__xludf.DUMMYFUNCTION("IMPORTRANGE(""https://docs.google.com/spreadsheets/d/1IYY_tgx_IHuhSq3AJ5eI5OnqOPBNLWSHKh2a30DoXe8/edit?usp=sharing"",""นครศรีธรรมราช!J19"")"),0.0)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IFERROR(__xludf.DUMMYFUNCTION("IMPORTRANGE(""https://docs.google.com/spreadsheets/d/1IYY_tgx_IHuhSq3AJ5eI5OnqOPBNLWSHKh2a30DoXe8/edit?usp=sharing"",""นครศรีธรรมราช!I20"")"),0.0)</f>
        <v>0</v>
      </c>
      <c r="J80" s="235">
        <f>IFERROR(__xludf.DUMMYFUNCTION("IMPORTRANGE(""https://docs.google.com/spreadsheets/d/1IYY_tgx_IHuhSq3AJ5eI5OnqOPBNLWSHKh2a30DoXe8/edit?usp=sharing"",""นครศรีธรรมราช!J20"")"),0.0)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IFERROR(__xludf.DUMMYFUNCTION("IMPORTRANGE(""https://docs.google.com/spreadsheets/d/1IYY_tgx_IHuhSq3AJ5eI5OnqOPBNLWSHKh2a30DoXe8/edit?usp=sharing"",""นครศรีธรรมราช!I21"")"),0.0)</f>
        <v>0</v>
      </c>
      <c r="J81" s="235">
        <f>IFERROR(__xludf.DUMMYFUNCTION("IMPORTRANGE(""https://docs.google.com/spreadsheets/d/1IYY_tgx_IHuhSq3AJ5eI5OnqOPBNLWSHKh2a30DoXe8/edit?usp=sharing"",""นครศรีธรรมราช!J21"")"),0.0)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IFERROR(__xludf.DUMMYFUNCTION("IMPORTRANGE(""https://docs.google.com/spreadsheets/d/1IYY_tgx_IHuhSq3AJ5eI5OnqOPBNLWSHKh2a30DoXe8/edit?usp=sharing"",""นครศรีธรรมราช!I22"")"),0.0)</f>
        <v>0</v>
      </c>
      <c r="J82" s="238">
        <f>IFERROR(__xludf.DUMMYFUNCTION("IMPORTRANGE(""https://docs.google.com/spreadsheets/d/1IYY_tgx_IHuhSq3AJ5eI5OnqOPBNLWSHKh2a30DoXe8/edit?usp=sharing"",""นครศรีธรรมราช!J22"")"),0.0)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IFERROR(__xludf.DUMMYFUNCTION("IMPORTRANGE(""https://docs.google.com/spreadsheets/d/1IYY_tgx_IHuhSq3AJ5eI5OnqOPBNLWSHKh2a30DoXe8/edit?usp=sharing"",""นครศรีธรรมราช!I23"")"),0.0)</f>
        <v>0</v>
      </c>
      <c r="J83" s="238">
        <f>IFERROR(__xludf.DUMMYFUNCTION("IMPORTRANGE(""https://docs.google.com/spreadsheets/d/1IYY_tgx_IHuhSq3AJ5eI5OnqOPBNLWSHKh2a30DoXe8/edit?usp=sharing"",""นครศรีธรรมราช!J23"")"),0.0)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IFERROR(__xludf.DUMMYFUNCTION("IMPORTRANGE(""https://docs.google.com/spreadsheets/d/1IYY_tgx_IHuhSq3AJ5eI5OnqOPBNLWSHKh2a30DoXe8/edit?usp=sharing"",""นครศรีธรรมราช!I24"")"),0.0)</f>
        <v>0</v>
      </c>
      <c r="J84" s="223">
        <f>IFERROR(__xludf.DUMMYFUNCTION("IMPORTRANGE(""https://docs.google.com/spreadsheets/d/1IYY_tgx_IHuhSq3AJ5eI5OnqOPBNLWSHKh2a30DoXe8/edit?usp=sharing"",""นครศรีธรรมราช!J24"")"),0.0)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IFERROR(__xludf.DUMMYFUNCTION("IMPORTRANGE(""https://docs.google.com/spreadsheets/d/1IYY_tgx_IHuhSq3AJ5eI5OnqOPBNLWSHKh2a30DoXe8/edit?usp=sharing"",""นครศรีธรรมราช!I25"")"),0.0)</f>
        <v>0</v>
      </c>
      <c r="J85" s="223">
        <f>IFERROR(__xludf.DUMMYFUNCTION("IMPORTRANGE(""https://docs.google.com/spreadsheets/d/1IYY_tgx_IHuhSq3AJ5eI5OnqOPBNLWSHKh2a30DoXe8/edit?usp=sharing"",""นครศรีธรรมราช!J25"")"),0.0)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IFERROR(__xludf.DUMMYFUNCTION("IMPORTRANGE(""https://docs.google.com/spreadsheets/d/1IYY_tgx_IHuhSq3AJ5eI5OnqOPBNLWSHKh2a30DoXe8/edit?usp=sharing"",""นครศรีธรรมราช!I26"")"),0.0)</f>
        <v>0</v>
      </c>
      <c r="J86" s="238">
        <f>IFERROR(__xludf.DUMMYFUNCTION("IMPORTRANGE(""https://docs.google.com/spreadsheets/d/1IYY_tgx_IHuhSq3AJ5eI5OnqOPBNLWSHKh2a30DoXe8/edit?usp=sharing"",""นครศรีธรรมราช!J26"")"),0.0)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IFERROR(__xludf.DUMMYFUNCTION("IMPORTRANGE(""https://docs.google.com/spreadsheets/d/1IYY_tgx_IHuhSq3AJ5eI5OnqOPBNLWSHKh2a30DoXe8/edit?usp=sharing"",""นครศรีธรรมราช!I27"")"),0.0)</f>
        <v>0</v>
      </c>
      <c r="J87" s="238">
        <f>IFERROR(__xludf.DUMMYFUNCTION("IMPORTRANGE(""https://docs.google.com/spreadsheets/d/1IYY_tgx_IHuhSq3AJ5eI5OnqOPBNLWSHKh2a30DoXe8/edit?usp=sharing"",""นครศรีธรรมราช!J27"")"),0.0)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IFERROR(__xludf.DUMMYFUNCTION("IMPORTRANGE(""https://docs.google.com/spreadsheets/d/1IYY_tgx_IHuhSq3AJ5eI5OnqOPBNLWSHKh2a30DoXe8/edit?usp=sharing"",""นครศรีธรรมราช!I28"")"),0.0)</f>
        <v>0</v>
      </c>
      <c r="J88" s="238">
        <f>IFERROR(__xludf.DUMMYFUNCTION("IMPORTRANGE(""https://docs.google.com/spreadsheets/d/1IYY_tgx_IHuhSq3AJ5eI5OnqOPBNLWSHKh2a30DoXe8/edit?usp=sharing"",""นครศรีธรรมราช!J28"")"),0.0)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IFERROR(__xludf.DUMMYFUNCTION("IMPORTRANGE(""https://docs.google.com/spreadsheets/d/1IYY_tgx_IHuhSq3AJ5eI5OnqOPBNLWSHKh2a30DoXe8/edit?usp=sharing"",""นครศรีธรรมราช!J29"")"),0.0)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IFERROR(__xludf.DUMMYFUNCTION("IMPORTRANGE(""https://docs.google.com/spreadsheets/d/1IYY_tgx_IHuhSq3AJ5eI5OnqOPBNLWSHKh2a30DoXe8/edit?usp=sharing"",""นครศรีธรรมราช!J30"")"),0.0)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IFERROR(__xludf.DUMMYFUNCTION("IMPORTRANGE(""https://docs.google.com/spreadsheets/d/1IYY_tgx_IHuhSq3AJ5eI5OnqOPBNLWSHKh2a30DoXe8/edit?usp=sharing"",""นครศรีธรรมราช!I32"")"),7.0)</f>
        <v>7</v>
      </c>
      <c r="J92" s="172">
        <f>IFERROR(__xludf.DUMMYFUNCTION("IMPORTRANGE(""https://docs.google.com/spreadsheets/d/1IYY_tgx_IHuhSq3AJ5eI5OnqOPBNLWSHKh2a30DoXe8/edit?usp=sharing"",""นครศรีธรรมราช!J32"")"),0.0)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IFERROR(__xludf.DUMMYFUNCTION("IMPORTRANGE(""https://docs.google.com/spreadsheets/d/1IYY_tgx_IHuhSq3AJ5eI5OnqOPBNLWSHKh2a30DoXe8/edit?usp=sharing"",""นครศรีธรรมราช!I33"")"),2.0)</f>
        <v>2</v>
      </c>
      <c r="J93" s="172">
        <f>IFERROR(__xludf.DUMMYFUNCTION("IMPORTRANGE(""https://docs.google.com/spreadsheets/d/1IYY_tgx_IHuhSq3AJ5eI5OnqOPBNLWSHKh2a30DoXe8/edit?usp=sharing"",""นครศรีธรรมราช!J33"")"),0.0)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319800</v>
      </c>
      <c r="M94" s="183">
        <f t="shared" si="53"/>
        <v>80790</v>
      </c>
      <c r="N94" s="183">
        <f t="shared" si="53"/>
        <v>196790</v>
      </c>
      <c r="O94" s="182">
        <f t="shared" ref="O94:O96" si="55">IF(L94&gt;0,N94*100/L94,0)</f>
        <v>61.53533458</v>
      </c>
      <c r="P94" s="182">
        <f t="shared" ref="P94:P96" si="56">IF(M94&gt;0,N94*100/M94,0)</f>
        <v>243.5821265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319800</v>
      </c>
      <c r="M96" s="188">
        <f t="shared" si="57"/>
        <v>80790</v>
      </c>
      <c r="N96" s="188">
        <f t="shared" si="57"/>
        <v>196790</v>
      </c>
      <c r="O96" s="187">
        <f t="shared" si="55"/>
        <v>61.53533458</v>
      </c>
      <c r="P96" s="187">
        <f t="shared" si="56"/>
        <v>243.5821265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135000</v>
      </c>
      <c r="M98" s="201">
        <f>IFERROR(__xludf.DUMMYFUNCTION("IMPORTRANGE(""https://docs.google.com/spreadsheets/d/1Yj_ptqi66GCucihVvJfMjLAmec39IyEx_6qawtMGysU/edit?usp=sharing"",""สบก!AR84"")"),80790.0)</f>
        <v>80790</v>
      </c>
      <c r="N98" s="202">
        <f>IFERROR(__xludf.DUMMYFUNCTION("IMPORTRANGE(""https://docs.google.com/spreadsheets/d/1Yj_ptqi66GCucihVvJfMjLAmec39IyEx_6qawtMGysU/edit?usp=sharing"",""สบก!AS84"")"),11990.0)</f>
        <v>11990</v>
      </c>
      <c r="O98" s="203">
        <f>IF(L98&gt;0,N98*100/L98,0)</f>
        <v>8.881481481</v>
      </c>
      <c r="P98" s="203">
        <f>IF(M98&gt;0,N98*100/M98,0)</f>
        <v>14.84094566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IFERROR(__xludf.DUMMYFUNCTION("IMPORTRANGE(""https://docs.google.com/spreadsheets/d/1Yj_ptqi66GCucihVvJfMjLAmec39IyEx_6qawtMGysU/edit?usp=sharing"",""สบก!AN84"")"),0.0)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IFERROR(__xludf.DUMMYFUNCTION("IMPORTRANGE(""https://docs.google.com/spreadsheets/d/1Yj_ptqi66GCucihVvJfMjLAmec39IyEx_6qawtMGysU/edit?usp=sharing"",""สบก!AO84"")"),135000.0)</f>
        <v>135000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IFERROR(__xludf.DUMMYFUNCTION("IMPORTRANGE(""https://docs.google.com/spreadsheets/d/1Yj_ptqi66GCucihVvJfMjLAmec39IyEx_6qawtMGysU/edit?usp=sharing"",""สบก!AP84"")"),184800.0)</f>
        <v>184800</v>
      </c>
      <c r="M102" s="125"/>
      <c r="N102" s="115">
        <f>IFERROR(__xludf.DUMMYFUNCTION("IMPORTRANGE(""https://docs.google.com/spreadsheets/d/1Yj_ptqi66GCucihVvJfMjLAmec39IyEx_6qawtMGysU/edit?usp=sharing"",""สบก!AT84"")"),184800.0)</f>
        <v>184800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IFERROR(__xludf.DUMMYFUNCTION("IMPORTRANGE(""https://docs.google.com/spreadsheets/d/1IYY_tgx_IHuhSq3AJ5eI5OnqOPBNLWSHKh2a30DoXe8/edit?usp=sharing"",""นครศรีธรรมราช!J39"")"),0.0)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IFERROR(__xludf.DUMMYFUNCTION("IMPORTRANGE(""https://docs.google.com/spreadsheets/d/1IYY_tgx_IHuhSq3AJ5eI5OnqOPBNLWSHKh2a30DoXe8/edit?usp=sharing"",""นครศรีธรรมราช!J40"")"),1.0)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IFERROR(__xludf.DUMMYFUNCTION("IMPORTRANGE(""https://docs.google.com/spreadsheets/d/1IYY_tgx_IHuhSq3AJ5eI5OnqOPBNLWSHKh2a30DoXe8/edit?usp=sharing"",""นครศรีธรรมราช!J41"")"),1.0)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IFERROR(__xludf.DUMMYFUNCTION("IMPORTRANGE(""https://docs.google.com/spreadsheets/d/1IYY_tgx_IHuhSq3AJ5eI5OnqOPBNLWSHKh2a30DoXe8/edit?usp=sharing"",""นครศรีธรรมราช!J42"")"),1.0)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IFERROR(__xludf.DUMMYFUNCTION("IMPORTRANGE(""https://docs.google.com/spreadsheets/d/1IYY_tgx_IHuhSq3AJ5eI5OnqOPBNLWSHKh2a30DoXe8/edit?usp=sharing"",""นครศรีธรรมราช!I43"")"),1.0)</f>
        <v>1</v>
      </c>
      <c r="J108" s="238">
        <f>IFERROR(__xludf.DUMMYFUNCTION("IMPORTRANGE(""https://docs.google.com/spreadsheets/d/1IYY_tgx_IHuhSq3AJ5eI5OnqOPBNLWSHKh2a30DoXe8/edit?usp=sharing"",""นครศรีธรรมราช!J43"")"),0.0)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IFERROR(__xludf.DUMMYFUNCTION("IMPORTRANGE(""https://docs.google.com/spreadsheets/d/1IYY_tgx_IHuhSq3AJ5eI5OnqOPBNLWSHKh2a30DoXe8/edit?usp=sharing"",""นครศรีธรรมราช!I44"")"),7.0)</f>
        <v>7</v>
      </c>
      <c r="J109" s="238">
        <f>IFERROR(__xludf.DUMMYFUNCTION("IMPORTRANGE(""https://docs.google.com/spreadsheets/d/1IYY_tgx_IHuhSq3AJ5eI5OnqOPBNLWSHKh2a30DoXe8/edit?usp=sharing"",""นครศรีธรรมราช!J44"")"),0.0)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IFERROR(__xludf.DUMMYFUNCTION("IMPORTRANGE(""https://docs.google.com/spreadsheets/d/1IYY_tgx_IHuhSq3AJ5eI5OnqOPBNLWSHKh2a30DoXe8/edit?usp=sharing"",""นครศรีธรรมราช!I45"")"),7.0)</f>
        <v>7</v>
      </c>
      <c r="J110" s="238">
        <f>IFERROR(__xludf.DUMMYFUNCTION("IMPORTRANGE(""https://docs.google.com/spreadsheets/d/1IYY_tgx_IHuhSq3AJ5eI5OnqOPBNLWSHKh2a30DoXe8/edit?usp=sharing"",""นครศรีธรรมราช!J45"")"),7.0)</f>
        <v>7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IFERROR(__xludf.DUMMYFUNCTION("IMPORTRANGE(""https://docs.google.com/spreadsheets/d/1IYY_tgx_IHuhSq3AJ5eI5OnqOPBNLWSHKh2a30DoXe8/edit?usp=sharing"",""นครศรีธรรมราช!I46"")"),7.0)</f>
        <v>7</v>
      </c>
      <c r="J111" s="238">
        <f>IFERROR(__xludf.DUMMYFUNCTION("IMPORTRANGE(""https://docs.google.com/spreadsheets/d/1IYY_tgx_IHuhSq3AJ5eI5OnqOPBNLWSHKh2a30DoXe8/edit?usp=sharing"",""นครศรีธรรมราช!J46"")"),0.0)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IFERROR(__xludf.DUMMYFUNCTION("IMPORTRANGE(""https://docs.google.com/spreadsheets/d/1IYY_tgx_IHuhSq3AJ5eI5OnqOPBNLWSHKh2a30DoXe8/edit?usp=sharing"",""นครศรีธรรมราช!I47"")"),7.0)</f>
        <v>7</v>
      </c>
      <c r="J112" s="238">
        <f>IFERROR(__xludf.DUMMYFUNCTION("IMPORTRANGE(""https://docs.google.com/spreadsheets/d/1IYY_tgx_IHuhSq3AJ5eI5OnqOPBNLWSHKh2a30DoXe8/edit?usp=sharing"",""นครศรีธรรมราช!J47"")"),0.0)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IFERROR(__xludf.DUMMYFUNCTION("IMPORTRANGE(""https://docs.google.com/spreadsheets/d/1IYY_tgx_IHuhSq3AJ5eI5OnqOPBNLWSHKh2a30DoXe8/edit?usp=sharing"",""นครศรีธรรมราช!I48"")"),2.0)</f>
        <v>2</v>
      </c>
      <c r="J113" s="238">
        <f>IFERROR(__xludf.DUMMYFUNCTION("IMPORTRANGE(""https://docs.google.com/spreadsheets/d/1IYY_tgx_IHuhSq3AJ5eI5OnqOPBNLWSHKh2a30DoXe8/edit?usp=sharing"",""นครศรีธรรมราช!J48"")"),0.0)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IFERROR(__xludf.DUMMYFUNCTION("IMPORTRANGE(""https://docs.google.com/spreadsheets/d/1IYY_tgx_IHuhSq3AJ5eI5OnqOPBNLWSHKh2a30DoXe8/edit?usp=sharing"",""นครศรีธรรมราช!J49"")"),0.0)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IFERROR(__xludf.DUMMYFUNCTION("IMPORTRANGE(""https://docs.google.com/spreadsheets/d/1IYY_tgx_IHuhSq3AJ5eI5OnqOPBNLWSHKh2a30DoXe8/edit?usp=sharing"",""นครศรีธรรมราช!J50"")"),0.0)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IFERROR(__xludf.DUMMYFUNCTION("IMPORTRANGE(""https://docs.google.com/spreadsheets/d/1IYY_tgx_IHuhSq3AJ5eI5OnqOPBNLWSHKh2a30DoXe8/edit?usp=sharing"",""นครศรีธรรมราช!I52"")"),0.0)</f>
        <v>0</v>
      </c>
      <c r="J117" s="172">
        <f>IFERROR(__xludf.DUMMYFUNCTION("IMPORTRANGE(""https://docs.google.com/spreadsheets/d/1IYY_tgx_IHuhSq3AJ5eI5OnqOPBNLWSHKh2a30DoXe8/edit?usp=sharing"",""นครศรีธรรมราช!J52"")"),0.0)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IFERROR(__xludf.DUMMYFUNCTION("IMPORTRANGE(""https://docs.google.com/spreadsheets/d/1Yj_ptqi66GCucihVvJfMjLAmec39IyEx_6qawtMGysU/edit?usp=sharing"",""สบก!BA84"")"),0.0)</f>
        <v>0</v>
      </c>
      <c r="N122" s="202">
        <f>IFERROR(__xludf.DUMMYFUNCTION("IMPORTRANGE(""https://docs.google.com/spreadsheets/d/1Yj_ptqi66GCucihVvJfMjLAmec39IyEx_6qawtMGysU/edit?usp=sharing"",""สบก!BB84"")"),0.0)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IFERROR(__xludf.DUMMYFUNCTION("IMPORTRANGE(""https://docs.google.com/spreadsheets/d/1Yj_ptqi66GCucihVvJfMjLAmec39IyEx_6qawtMGysU/edit?usp=sharing"",""สบก!AW84"")"),0.0)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IFERROR(__xludf.DUMMYFUNCTION("IMPORTRANGE(""https://docs.google.com/spreadsheets/d/1Yj_ptqi66GCucihVvJfMjLAmec39IyEx_6qawtMGysU/edit?usp=sharing"",""สบก!AX84"")"),0.0)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IFERROR(__xludf.DUMMYFUNCTION("IMPORTRANGE(""https://docs.google.com/spreadsheets/d/1Yj_ptqi66GCucihVvJfMjLAmec39IyEx_6qawtMGysU/edit?usp=sharing"",""สบก!AY84"")"),0.0)</f>
        <v>0</v>
      </c>
      <c r="M126" s="125"/>
      <c r="N126" s="115">
        <f>IFERROR(__xludf.DUMMYFUNCTION("IMPORTRANGE(""https://docs.google.com/spreadsheets/d/1Yj_ptqi66GCucihVvJfMjLAmec39IyEx_6qawtMGysU/edit?usp=sharing"",""สบก!BC84"")"),0.0)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IFERROR(__xludf.DUMMYFUNCTION("IMPORTRANGE(""https://docs.google.com/spreadsheets/d/1IYY_tgx_IHuhSq3AJ5eI5OnqOPBNLWSHKh2a30DoXe8/edit?usp=sharing"",""นครศรีธรรมราช!J58"")"),0.0)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IFERROR(__xludf.DUMMYFUNCTION("IMPORTRANGE(""https://docs.google.com/spreadsheets/d/1IYY_tgx_IHuhSq3AJ5eI5OnqOPBNLWSHKh2a30DoXe8/edit?usp=sharing"",""นครศรีธรรมราช!J59"")"),0.0)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IFERROR(__xludf.DUMMYFUNCTION("IMPORTRANGE(""https://docs.google.com/spreadsheets/d/1IYY_tgx_IHuhSq3AJ5eI5OnqOPBNLWSHKh2a30DoXe8/edit?usp=sharing"",""นครศรีธรรมราช!J60"")"),0.0)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IFERROR(__xludf.DUMMYFUNCTION("IMPORTRANGE(""https://docs.google.com/spreadsheets/d/1IYY_tgx_IHuhSq3AJ5eI5OnqOPBNLWSHKh2a30DoXe8/edit?usp=sharing"",""นครศรีธรรมราช!J61"")"),0.0)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IFERROR(__xludf.DUMMYFUNCTION("IMPORTRANGE(""https://docs.google.com/spreadsheets/d/1IYY_tgx_IHuhSq3AJ5eI5OnqOPBNLWSHKh2a30DoXe8/edit?usp=sharing"",""นครศรีธรรมราช!I62"")"),0.0)</f>
        <v>0</v>
      </c>
      <c r="J132" s="238">
        <f>IFERROR(__xludf.DUMMYFUNCTION("IMPORTRANGE(""https://docs.google.com/spreadsheets/d/1IYY_tgx_IHuhSq3AJ5eI5OnqOPBNLWSHKh2a30DoXe8/edit?usp=sharing"",""นครศรีธรรมราช!J62"")"),0.0)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IFERROR(__xludf.DUMMYFUNCTION("IMPORTRANGE(""https://docs.google.com/spreadsheets/d/1IYY_tgx_IHuhSq3AJ5eI5OnqOPBNLWSHKh2a30DoXe8/edit?usp=sharing"",""นครศรีธรรมราช!I63"")"),0.0)</f>
        <v>0</v>
      </c>
      <c r="J133" s="238">
        <f>IFERROR(__xludf.DUMMYFUNCTION("IMPORTRANGE(""https://docs.google.com/spreadsheets/d/1IYY_tgx_IHuhSq3AJ5eI5OnqOPBNLWSHKh2a30DoXe8/edit?usp=sharing"",""นครศรีธรรมราช!J63"")"),0.0)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IFERROR(__xludf.DUMMYFUNCTION("IMPORTRANGE(""https://docs.google.com/spreadsheets/d/1IYY_tgx_IHuhSq3AJ5eI5OnqOPBNLWSHKh2a30DoXe8/edit?usp=sharing"",""นครศรีธรรมราช!J64"")"),0.0)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IFERROR(__xludf.DUMMYFUNCTION("IMPORTRANGE(""https://docs.google.com/spreadsheets/d/1IYY_tgx_IHuhSq3AJ5eI5OnqOPBNLWSHKh2a30DoXe8/edit?usp=sharing"",""นครศรีธรรมราช!J65"")"),0.0)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IFERROR(__xludf.DUMMYFUNCTION("IMPORTRANGE(""https://docs.google.com/spreadsheets/d/1IYY_tgx_IHuhSq3AJ5eI5OnqOPBNLWSHKh2a30DoXe8/edit?usp=sharing"",""นครศรีธรรมราช!I68"")"),100.0)</f>
        <v>100</v>
      </c>
      <c r="J138" s="301">
        <f>IFERROR(__xludf.DUMMYFUNCTION("IMPORTRANGE(""https://docs.google.com/spreadsheets/d/1IYY_tgx_IHuhSq3AJ5eI5OnqOPBNLWSHKh2a30DoXe8/edit?usp=sharing"",""นครศรีธรรมราช!J68"")"),52.0)</f>
        <v>52</v>
      </c>
      <c r="K138" s="302">
        <f>IF(I138&gt;0,J138*100/I138,0)</f>
        <v>52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818600</v>
      </c>
      <c r="M140" s="183">
        <f t="shared" si="65"/>
        <v>486750</v>
      </c>
      <c r="N140" s="183">
        <f t="shared" si="65"/>
        <v>172158</v>
      </c>
      <c r="O140" s="182">
        <f t="shared" ref="O140:O142" si="67">IF(L140&gt;0,N140*100/L140,0)</f>
        <v>21.03078427</v>
      </c>
      <c r="P140" s="182">
        <f t="shared" ref="P140:P142" si="68">IF(M140&gt;0,N140*100/M140,0)</f>
        <v>35.36887519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818600</v>
      </c>
      <c r="M142" s="188">
        <f t="shared" si="69"/>
        <v>486750</v>
      </c>
      <c r="N142" s="188">
        <f t="shared" si="69"/>
        <v>172158</v>
      </c>
      <c r="O142" s="187">
        <f t="shared" si="67"/>
        <v>21.03078427</v>
      </c>
      <c r="P142" s="187">
        <f t="shared" si="68"/>
        <v>35.36887519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818600</v>
      </c>
      <c r="M144" s="201">
        <f>IFERROR(__xludf.DUMMYFUNCTION("IMPORTRANGE(""https://docs.google.com/spreadsheets/d/1Yj_ptqi66GCucihVvJfMjLAmec39IyEx_6qawtMGysU/edit?usp=sharing"",""สบก!BJ84"")"),486750.0)</f>
        <v>486750</v>
      </c>
      <c r="N144" s="202">
        <f>IFERROR(__xludf.DUMMYFUNCTION("IMPORTRANGE(""https://docs.google.com/spreadsheets/d/1Yj_ptqi66GCucihVvJfMjLAmec39IyEx_6qawtMGysU/edit?usp=sharing"",""สบก!BK84"")"),172158.0)</f>
        <v>172158</v>
      </c>
      <c r="O144" s="203">
        <f>IF(L144&gt;0,N144*100/L144,0)</f>
        <v>21.03078427</v>
      </c>
      <c r="P144" s="203">
        <f>IF(M144&gt;0,N144*100/M144,0)</f>
        <v>35.36887519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IFERROR(__xludf.DUMMYFUNCTION("IMPORTRANGE(""https://docs.google.com/spreadsheets/d/1Yj_ptqi66GCucihVvJfMjLAmec39IyEx_6qawtMGysU/edit?usp=sharing"",""สบก!BF84"")"),330100.0)</f>
        <v>330100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IFERROR(__xludf.DUMMYFUNCTION("IMPORTRANGE(""https://docs.google.com/spreadsheets/d/1Yj_ptqi66GCucihVvJfMjLAmec39IyEx_6qawtMGysU/edit?usp=sharing"",""สบก!BG84"")"),488500.0)</f>
        <v>488500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IFERROR(__xludf.DUMMYFUNCTION("IMPORTRANGE(""https://docs.google.com/spreadsheets/d/1Yj_ptqi66GCucihVvJfMjLAmec39IyEx_6qawtMGysU/edit?usp=sharing"",""สบก!BH84"")"),0.0)</f>
        <v>0</v>
      </c>
      <c r="M148" s="125"/>
      <c r="N148" s="115">
        <f>IFERROR(__xludf.DUMMYFUNCTION("IMPORTRANGE(""https://docs.google.com/spreadsheets/d/1Yj_ptqi66GCucihVvJfMjLAmec39IyEx_6qawtMGysU/edit?usp=sharing"",""สบก!BL84"")"),0.0)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IFERROR(__xludf.DUMMYFUNCTION("IMPORTRANGE(""https://docs.google.com/spreadsheets/d/1IYY_tgx_IHuhSq3AJ5eI5OnqOPBNLWSHKh2a30DoXe8/edit?usp=sharing"",""นครศรีธรรมราช!I74"")"),4.0)</f>
        <v>4</v>
      </c>
      <c r="J149" s="309">
        <f>IFERROR(__xludf.DUMMYFUNCTION("IMPORTRANGE(""https://docs.google.com/spreadsheets/d/1IYY_tgx_IHuhSq3AJ5eI5OnqOPBNLWSHKh2a30DoXe8/edit?usp=sharing"",""นครศรีธรรมราช!J74"")"),1.0)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IFERROR(__xludf.DUMMYFUNCTION("IMPORTRANGE(""https://docs.google.com/spreadsheets/d/1IYY_tgx_IHuhSq3AJ5eI5OnqOPBNLWSHKh2a30DoXe8/edit?usp=sharing"",""นครศรีธรรมราช!J79"")"),0.0)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IFERROR(__xludf.DUMMYFUNCTION("IMPORTRANGE(""https://docs.google.com/spreadsheets/d/1IYY_tgx_IHuhSq3AJ5eI5OnqOPBNLWSHKh2a30DoXe8/edit?usp=sharing"",""นครศรีธรรมราช!J80"")"),1.0)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IFERROR(__xludf.DUMMYFUNCTION("IMPORTRANGE(""https://docs.google.com/spreadsheets/d/1IYY_tgx_IHuhSq3AJ5eI5OnqOPBNLWSHKh2a30DoXe8/edit?usp=sharing"",""นครศรีธรรมราช!J81"")"),1.0)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IFERROR(__xludf.DUMMYFUNCTION("IMPORTRANGE(""https://docs.google.com/spreadsheets/d/1IYY_tgx_IHuhSq3AJ5eI5OnqOPBNLWSHKh2a30DoXe8/edit?usp=sharing"",""นครศรีธรรมราช!J82"")"),1.0)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IFERROR(__xludf.DUMMYFUNCTION("IMPORTRANGE(""https://docs.google.com/spreadsheets/d/1IYY_tgx_IHuhSq3AJ5eI5OnqOPBNLWSHKh2a30DoXe8/edit?usp=sharing"",""นครศรีธรรมราช!I83"")"),4.0)</f>
        <v>4</v>
      </c>
      <c r="J158" s="223">
        <f>IFERROR(__xludf.DUMMYFUNCTION("IMPORTRANGE(""https://docs.google.com/spreadsheets/d/1IYY_tgx_IHuhSq3AJ5eI5OnqOPBNLWSHKh2a30DoXe8/edit?usp=sharing"",""นครศรีธรรมราช!J83"")"),1.0)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IFERROR(__xludf.DUMMYFUNCTION("IMPORTRANGE(""https://docs.google.com/spreadsheets/d/1IYY_tgx_IHuhSq3AJ5eI5OnqOPBNLWSHKh2a30DoXe8/edit?usp=sharing"",""นครศรีธรรมราช!J84"")"),30.0)</f>
        <v>30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IFERROR(__xludf.DUMMYFUNCTION("IMPORTRANGE(""https://docs.google.com/spreadsheets/d/1IYY_tgx_IHuhSq3AJ5eI5OnqOPBNLWSHKh2a30DoXe8/edit?usp=sharing"",""นครศรีธรรมราช!J85"")"),30.0)</f>
        <v>30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IFERROR(__xludf.DUMMYFUNCTION("IMPORTRANGE(""https://docs.google.com/spreadsheets/d/1IYY_tgx_IHuhSq3AJ5eI5OnqOPBNLWSHKh2a30DoXe8/edit?usp=sharing"",""นครศรีธรรมราช!J86"")"),0.0)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IFERROR(__xludf.DUMMYFUNCTION("IMPORTRANGE(""https://docs.google.com/spreadsheets/d/1IYY_tgx_IHuhSq3AJ5eI5OnqOPBNLWSHKh2a30DoXe8/edit?usp=sharing"",""นครศรีธรรมราช!J87"")"),0.0)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IFERROR(__xludf.DUMMYFUNCTION("IMPORTRANGE(""https://docs.google.com/spreadsheets/d/1IYY_tgx_IHuhSq3AJ5eI5OnqOPBNLWSHKh2a30DoXe8/edit?usp=sharing"",""นครศรีธรรมราช!J88"")"),0.0)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IFERROR(__xludf.DUMMYFUNCTION("IMPORTRANGE(""https://docs.google.com/spreadsheets/d/1IYY_tgx_IHuhSq3AJ5eI5OnqOPBNLWSHKh2a30DoXe8/edit?usp=sharing"",""นครศรีธรรมราช!I89"")"),4.0)</f>
        <v>4</v>
      </c>
      <c r="J164" s="317">
        <f>IFERROR(__xludf.DUMMYFUNCTION("IMPORTRANGE(""https://docs.google.com/spreadsheets/d/1IYY_tgx_IHuhSq3AJ5eI5OnqOPBNLWSHKh2a30DoXe8/edit?usp=sharing"",""นครศรีธรรมราช!J89"")"),0.0)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IFERROR(__xludf.DUMMYFUNCTION("IMPORTRANGE(""https://docs.google.com/spreadsheets/d/1IYY_tgx_IHuhSq3AJ5eI5OnqOPBNLWSHKh2a30DoXe8/edit?usp=sharing"",""นครศรีธรรมราช!J94"")"),0.0)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IFERROR(__xludf.DUMMYFUNCTION("IMPORTRANGE(""https://docs.google.com/spreadsheets/d/1IYY_tgx_IHuhSq3AJ5eI5OnqOPBNLWSHKh2a30DoXe8/edit?usp=sharing"",""นครศรีธรรมราช!J95"")"),1.0)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IFERROR(__xludf.DUMMYFUNCTION("IMPORTRANGE(""https://docs.google.com/spreadsheets/d/1IYY_tgx_IHuhSq3AJ5eI5OnqOPBNLWSHKh2a30DoXe8/edit?usp=sharing"",""นครศรีธรรมราช!J96"")"),1.0)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IFERROR(__xludf.DUMMYFUNCTION("IMPORTRANGE(""https://docs.google.com/spreadsheets/d/1IYY_tgx_IHuhSq3AJ5eI5OnqOPBNLWSHKh2a30DoXe8/edit?usp=sharing"",""นครศรีธรรมราช!J97"")"),1.0)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IFERROR(__xludf.DUMMYFUNCTION("IMPORTRANGE(""https://docs.google.com/spreadsheets/d/1IYY_tgx_IHuhSq3AJ5eI5OnqOPBNLWSHKh2a30DoXe8/edit?usp=sharing"",""นครศรีธรรมราช!I98"")"),4.0)</f>
        <v>4</v>
      </c>
      <c r="J173" s="223">
        <f>IFERROR(__xludf.DUMMYFUNCTION("IMPORTRANGE(""https://docs.google.com/spreadsheets/d/1IYY_tgx_IHuhSq3AJ5eI5OnqOPBNLWSHKh2a30DoXe8/edit?usp=sharing"",""นครศรีธรรมราช!J98"")"),0.0)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IFERROR(__xludf.DUMMYFUNCTION("IMPORTRANGE(""https://docs.google.com/spreadsheets/d/1IYY_tgx_IHuhSq3AJ5eI5OnqOPBNLWSHKh2a30DoXe8/edit?usp=sharing"",""นครศรีธรรมราช!J99"")"),0.0)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IFERROR(__xludf.DUMMYFUNCTION("IMPORTRANGE(""https://docs.google.com/spreadsheets/d/1IYY_tgx_IHuhSq3AJ5eI5OnqOPBNLWSHKh2a30DoXe8/edit?usp=sharing"",""นครศรีธรรมราช!J100"")"),0.0)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IFERROR(__xludf.DUMMYFUNCTION("IMPORTRANGE(""https://docs.google.com/spreadsheets/d/1IYY_tgx_IHuhSq3AJ5eI5OnqOPBNLWSHKh2a30DoXe8/edit?usp=sharing"",""นครศรีธรรมราช!I101"")"),2.0)</f>
        <v>2</v>
      </c>
      <c r="J176" s="317">
        <f>IFERROR(__xludf.DUMMYFUNCTION("IMPORTRANGE(""https://docs.google.com/spreadsheets/d/1IYY_tgx_IHuhSq3AJ5eI5OnqOPBNLWSHKh2a30DoXe8/edit?usp=sharing"",""นครศรีธรรมราช!J101"")"),0.0)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IFERROR(__xludf.DUMMYFUNCTION("IMPORTRANGE(""https://docs.google.com/spreadsheets/d/1IYY_tgx_IHuhSq3AJ5eI5OnqOPBNLWSHKh2a30DoXe8/edit?usp=sharing"",""นครศรีธรรมราช!J106"")"),0.0)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IFERROR(__xludf.DUMMYFUNCTION("IMPORTRANGE(""https://docs.google.com/spreadsheets/d/1IYY_tgx_IHuhSq3AJ5eI5OnqOPBNLWSHKh2a30DoXe8/edit?usp=sharing"",""นครศรีธรรมราช!J107"")"),1.0)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IFERROR(__xludf.DUMMYFUNCTION("IMPORTRANGE(""https://docs.google.com/spreadsheets/d/1IYY_tgx_IHuhSq3AJ5eI5OnqOPBNLWSHKh2a30DoXe8/edit?usp=sharing"",""นครศรีธรรมราช!J108"")"),1.0)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IFERROR(__xludf.DUMMYFUNCTION("IMPORTRANGE(""https://docs.google.com/spreadsheets/d/1IYY_tgx_IHuhSq3AJ5eI5OnqOPBNLWSHKh2a30DoXe8/edit?usp=sharing"",""นครศรีธรรมราช!J109"")"),1.0)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IFERROR(__xludf.DUMMYFUNCTION("IMPORTRANGE(""https://docs.google.com/spreadsheets/d/1IYY_tgx_IHuhSq3AJ5eI5OnqOPBNLWSHKh2a30DoXe8/edit?usp=sharing"",""นครศรีธรรมราช!I110"")"),2.0)</f>
        <v>2</v>
      </c>
      <c r="J185" s="238">
        <f>IFERROR(__xludf.DUMMYFUNCTION("IMPORTRANGE(""https://docs.google.com/spreadsheets/d/1IYY_tgx_IHuhSq3AJ5eI5OnqOPBNLWSHKh2a30DoXe8/edit?usp=sharing"",""นครศรีธรรมราช!J110"")"),0.0)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IFERROR(__xludf.DUMMYFUNCTION("IMPORTRANGE(""https://docs.google.com/spreadsheets/d/1IYY_tgx_IHuhSq3AJ5eI5OnqOPBNLWSHKh2a30DoXe8/edit?usp=sharing"",""นครศรีธรรมราช!I111"")"),2.0)</f>
        <v>2</v>
      </c>
      <c r="J186" s="238">
        <f>IFERROR(__xludf.DUMMYFUNCTION("IMPORTRANGE(""https://docs.google.com/spreadsheets/d/1IYY_tgx_IHuhSq3AJ5eI5OnqOPBNLWSHKh2a30DoXe8/edit?usp=sharing"",""นครศรีธรรมราช!J111"")"),0.0)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IFERROR(__xludf.DUMMYFUNCTION("IMPORTRANGE(""https://docs.google.com/spreadsheets/d/1IYY_tgx_IHuhSq3AJ5eI5OnqOPBNLWSHKh2a30DoXe8/edit?usp=sharing"",""นครศรีธรรมราช!J112"")"),0.0)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IFERROR(__xludf.DUMMYFUNCTION("IMPORTRANGE(""https://docs.google.com/spreadsheets/d/1IYY_tgx_IHuhSq3AJ5eI5OnqOPBNLWSHKh2a30DoXe8/edit?usp=sharing"",""นครศรีธรรมราช!J113"")"),0.0)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IFERROR(__xludf.DUMMYFUNCTION("IMPORTRANGE(""https://docs.google.com/spreadsheets/d/1IYY_tgx_IHuhSq3AJ5eI5OnqOPBNLWSHKh2a30DoXe8/edit?usp=sharing"",""นครศรีธรรมราช!I114"")"),50000.0)</f>
        <v>50000</v>
      </c>
      <c r="J189" s="317">
        <f>IFERROR(__xludf.DUMMYFUNCTION("IMPORTRANGE(""https://docs.google.com/spreadsheets/d/1IYY_tgx_IHuhSq3AJ5eI5OnqOPBNLWSHKh2a30DoXe8/edit?usp=sharing"",""นครศรีธรรมราช!J114"")"),0.0)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IFERROR(__xludf.DUMMYFUNCTION("IMPORTRANGE(""https://docs.google.com/spreadsheets/d/1IYY_tgx_IHuhSq3AJ5eI5OnqOPBNLWSHKh2a30DoXe8/edit?usp=sharing"",""นครศรีธรรมราช!J119"")"),0.0)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IFERROR(__xludf.DUMMYFUNCTION("IMPORTRANGE(""https://docs.google.com/spreadsheets/d/1IYY_tgx_IHuhSq3AJ5eI5OnqOPBNLWSHKh2a30DoXe8/edit?usp=sharing"",""นครศรีธรรมราช!J120"")"),1.0)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IFERROR(__xludf.DUMMYFUNCTION("IMPORTRANGE(""https://docs.google.com/spreadsheets/d/1IYY_tgx_IHuhSq3AJ5eI5OnqOPBNLWSHKh2a30DoXe8/edit?usp=sharing"",""นครศรีธรรมราช!J121"")"),1.0)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IFERROR(__xludf.DUMMYFUNCTION("IMPORTRANGE(""https://docs.google.com/spreadsheets/d/1IYY_tgx_IHuhSq3AJ5eI5OnqOPBNLWSHKh2a30DoXe8/edit?usp=sharing"",""นครศรีธรรมราช!J122"")"),1.0)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IFERROR(__xludf.DUMMYFUNCTION("IMPORTRANGE(""https://docs.google.com/spreadsheets/d/1IYY_tgx_IHuhSq3AJ5eI5OnqOPBNLWSHKh2a30DoXe8/edit?usp=sharing"",""นครศรีธรรมราช!I124"")"),50000.0)</f>
        <v>50000</v>
      </c>
      <c r="J199" s="223">
        <f>IFERROR(__xludf.DUMMYFUNCTION("IMPORTRANGE(""https://docs.google.com/spreadsheets/d/1IYY_tgx_IHuhSq3AJ5eI5OnqOPBNLWSHKh2a30DoXe8/edit?usp=sharing"",""นครศรีธรรมราช!J124"")"),0.0)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IFERROR(__xludf.DUMMYFUNCTION("IMPORTRANGE(""https://docs.google.com/spreadsheets/d/1IYY_tgx_IHuhSq3AJ5eI5OnqOPBNLWSHKh2a30DoXe8/edit?usp=sharing"",""นครศรีธรรมราช!I125"")"),50000.0)</f>
        <v>50000</v>
      </c>
      <c r="J200" s="223">
        <f>IFERROR(__xludf.DUMMYFUNCTION("IMPORTRANGE(""https://docs.google.com/spreadsheets/d/1IYY_tgx_IHuhSq3AJ5eI5OnqOPBNLWSHKh2a30DoXe8/edit?usp=sharing"",""นครศรีธรรมราช!J125"")"),0.0)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IFERROR(__xludf.DUMMYFUNCTION("IMPORTRANGE(""https://docs.google.com/spreadsheets/d/1IYY_tgx_IHuhSq3AJ5eI5OnqOPBNLWSHKh2a30DoXe8/edit?usp=sharing"",""นครศรีธรรมราช!I126"")"),0.0)</f>
        <v>0</v>
      </c>
      <c r="J201" s="223">
        <f>IFERROR(__xludf.DUMMYFUNCTION("IMPORTRANGE(""https://docs.google.com/spreadsheets/d/1IYY_tgx_IHuhSq3AJ5eI5OnqOPBNLWSHKh2a30DoXe8/edit?usp=sharing"",""นครศรีธรรมราช!J126"")"),0.0)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IFERROR(__xludf.DUMMYFUNCTION("IMPORTRANGE(""https://docs.google.com/spreadsheets/d/1IYY_tgx_IHuhSq3AJ5eI5OnqOPBNLWSHKh2a30DoXe8/edit?usp=sharing"",""นครศรีธรรมราช!J127"")"),0.0)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IFERROR(__xludf.DUMMYFUNCTION("IMPORTRANGE(""https://docs.google.com/spreadsheets/d/1IYY_tgx_IHuhSq3AJ5eI5OnqOPBNLWSHKh2a30DoXe8/edit?usp=sharing"",""นครศรีธรรมราช!J128"")"),0.0)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IFERROR(__xludf.DUMMYFUNCTION("IMPORTRANGE(""https://docs.google.com/spreadsheets/d/1IYY_tgx_IHuhSq3AJ5eI5OnqOPBNLWSHKh2a30DoXe8/edit?usp=sharing"",""นครศรีธรรมราช!I129"")"),100.0)</f>
        <v>100</v>
      </c>
      <c r="J204" s="317">
        <f>IFERROR(__xludf.DUMMYFUNCTION("IMPORTRANGE(""https://docs.google.com/spreadsheets/d/1IYY_tgx_IHuhSq3AJ5eI5OnqOPBNLWSHKh2a30DoXe8/edit?usp=sharing"",""นครศรีธรรมราช!J129"")"),52.0)</f>
        <v>52</v>
      </c>
      <c r="K204" s="318">
        <f>IF(I204&gt;0,J204*100/I204,0)</f>
        <v>52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IFERROR(__xludf.DUMMYFUNCTION("IMPORTRANGE(""https://docs.google.com/spreadsheets/d/1IYY_tgx_IHuhSq3AJ5eI5OnqOPBNLWSHKh2a30DoXe8/edit?usp=sharing"",""นครศรีธรรมราช!J134"")"),0.0)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IFERROR(__xludf.DUMMYFUNCTION("IMPORTRANGE(""https://docs.google.com/spreadsheets/d/1IYY_tgx_IHuhSq3AJ5eI5OnqOPBNLWSHKh2a30DoXe8/edit?usp=sharing"",""นครศรีธรรมราช!J135"")"),1.0)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IFERROR(__xludf.DUMMYFUNCTION("IMPORTRANGE(""https://docs.google.com/spreadsheets/d/1IYY_tgx_IHuhSq3AJ5eI5OnqOPBNLWSHKh2a30DoXe8/edit?usp=sharing"",""นครศรีธรรมราช!J136"")"),1.0)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IFERROR(__xludf.DUMMYFUNCTION("IMPORTRANGE(""https://docs.google.com/spreadsheets/d/1IYY_tgx_IHuhSq3AJ5eI5OnqOPBNLWSHKh2a30DoXe8/edit?usp=sharing"",""นครศรีธรรมราช!J137"")"),1.0)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IFERROR(__xludf.DUMMYFUNCTION("IMPORTRANGE(""https://docs.google.com/spreadsheets/d/1IYY_tgx_IHuhSq3AJ5eI5OnqOPBNLWSHKh2a30DoXe8/edit?usp=sharing"",""นครศรีธรรมราช!I138"")"),100.0)</f>
        <v>100</v>
      </c>
      <c r="J213" s="238">
        <f>IFERROR(__xludf.DUMMYFUNCTION("IMPORTRANGE(""https://docs.google.com/spreadsheets/d/1IYY_tgx_IHuhSq3AJ5eI5OnqOPBNLWSHKh2a30DoXe8/edit?usp=sharing"",""นครศรีธรรมราช!J138"")"),52.0)</f>
        <v>52</v>
      </c>
      <c r="K213" s="258">
        <f>IF(I213&gt;0,J213*100/I213,0)</f>
        <v>52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IFERROR(__xludf.DUMMYFUNCTION("IMPORTRANGE(""https://docs.google.com/spreadsheets/d/1IYY_tgx_IHuhSq3AJ5eI5OnqOPBNLWSHKh2a30DoXe8/edit?usp=sharing"",""นครศรีธรรมราช!I140"")"),0.0)</f>
        <v>0</v>
      </c>
      <c r="J215" s="238">
        <f>IFERROR(__xludf.DUMMYFUNCTION("IMPORTRANGE(""https://docs.google.com/spreadsheets/d/1IYY_tgx_IHuhSq3AJ5eI5OnqOPBNLWSHKh2a30DoXe8/edit?usp=sharing"",""นครศรีธรรมราช!J140"")"),0.0)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IFERROR(__xludf.DUMMYFUNCTION("IMPORTRANGE(""https://docs.google.com/spreadsheets/d/1IYY_tgx_IHuhSq3AJ5eI5OnqOPBNLWSHKh2a30DoXe8/edit?usp=sharing"",""นครศรีธรรมราช!I141"")"),6.0)</f>
        <v>6</v>
      </c>
      <c r="J216" s="238">
        <f>IFERROR(__xludf.DUMMYFUNCTION("IMPORTRANGE(""https://docs.google.com/spreadsheets/d/1IYY_tgx_IHuhSq3AJ5eI5OnqOPBNLWSHKh2a30DoXe8/edit?usp=sharing"",""นครศรีธรรมราช!J141"")"),0.0)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IFERROR(__xludf.DUMMYFUNCTION("IMPORTRANGE(""https://docs.google.com/spreadsheets/d/1IYY_tgx_IHuhSq3AJ5eI5OnqOPBNLWSHKh2a30DoXe8/edit?usp=sharing"",""นครศรีธรรมราช!J142"")"),0.0)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IFERROR(__xludf.DUMMYFUNCTION("IMPORTRANGE(""https://docs.google.com/spreadsheets/d/1IYY_tgx_IHuhSq3AJ5eI5OnqOPBNLWSHKh2a30DoXe8/edit?usp=sharing"",""นครศรีธรรมราช!J143"")"),0.0)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IFERROR(__xludf.DUMMYFUNCTION("IMPORTRANGE(""https://docs.google.com/spreadsheets/d/1IYY_tgx_IHuhSq3AJ5eI5OnqOPBNLWSHKh2a30DoXe8/edit?usp=sharing"",""นครศรีธรรมราช!I144"")"),15.0)</f>
        <v>15</v>
      </c>
      <c r="J219" s="301">
        <f>IFERROR(__xludf.DUMMYFUNCTION("IMPORTRANGE(""https://docs.google.com/spreadsheets/d/1IYY_tgx_IHuhSq3AJ5eI5OnqOPBNLWSHKh2a30DoXe8/edit?usp=sharing"",""นครศรีธรรมราช!J144"")"),15.0)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IFERROR(__xludf.DUMMYFUNCTION("IMPORTRANGE(""https://docs.google.com/spreadsheets/d/1Yj_ptqi66GCucihVvJfMjLAmec39IyEx_6qawtMGysU/edit?usp=sharing"",""สบก!BS84"")"),21125.0)</f>
        <v>21125</v>
      </c>
      <c r="N224" s="202">
        <f>IFERROR(__xludf.DUMMYFUNCTION("IMPORTRANGE(""https://docs.google.com/spreadsheets/d/1Yj_ptqi66GCucihVvJfMjLAmec39IyEx_6qawtMGysU/edit?usp=sharing"",""สบก!BT84"")"),21125.0)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IFERROR(__xludf.DUMMYFUNCTION("IMPORTRANGE(""https://docs.google.com/spreadsheets/d/1Yj_ptqi66GCucihVvJfMjLAmec39IyEx_6qawtMGysU/edit?usp=sharing"",""สบก!BO84"")"),0.0)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IFERROR(__xludf.DUMMYFUNCTION("IMPORTRANGE(""https://docs.google.com/spreadsheets/d/1Yj_ptqi66GCucihVvJfMjLAmec39IyEx_6qawtMGysU/edit?usp=sharing"",""สบก!BP84"")"),21125.0)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IFERROR(__xludf.DUMMYFUNCTION("IMPORTRANGE(""https://docs.google.com/spreadsheets/d/1Yj_ptqi66GCucihVvJfMjLAmec39IyEx_6qawtMGysU/edit?usp=sharing"",""สบก!BQ84"")"),0.0)</f>
        <v>0</v>
      </c>
      <c r="M228" s="125"/>
      <c r="N228" s="115">
        <f>IFERROR(__xludf.DUMMYFUNCTION("IMPORTRANGE(""https://docs.google.com/spreadsheets/d/1Yj_ptqi66GCucihVvJfMjLAmec39IyEx_6qawtMGysU/edit?usp=sharing"",""สบก!BU84"")"),0.0)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IFERROR(__xludf.DUMMYFUNCTION("IMPORTRANGE(""https://docs.google.com/spreadsheets/d/1IYY_tgx_IHuhSq3AJ5eI5OnqOPBNLWSHKh2a30DoXe8/edit?usp=sharing"",""นครศรีธรรมราช!I149"")"),15.0)</f>
        <v>15</v>
      </c>
      <c r="J229" s="301">
        <f>IFERROR(__xludf.DUMMYFUNCTION("IMPORTRANGE(""https://docs.google.com/spreadsheets/d/1IYY_tgx_IHuhSq3AJ5eI5OnqOPBNLWSHKh2a30DoXe8/edit?usp=sharing"",""นครศรีธรรมราช!J149"")"),15.0)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IFERROR(__xludf.DUMMYFUNCTION("IMPORTRANGE(""https://docs.google.com/spreadsheets/d/1IYY_tgx_IHuhSq3AJ5eI5OnqOPBNLWSHKh2a30DoXe8/edit?usp=sharing"",""นครศรีธรรมราช!J151"")"),0.0)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IFERROR(__xludf.DUMMYFUNCTION("IMPORTRANGE(""https://docs.google.com/spreadsheets/d/1IYY_tgx_IHuhSq3AJ5eI5OnqOPBNLWSHKh2a30DoXe8/edit?usp=sharing"",""นครศรีธรรมราช!J152"")"),1.0)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IFERROR(__xludf.DUMMYFUNCTION("IMPORTRANGE(""https://docs.google.com/spreadsheets/d/1IYY_tgx_IHuhSq3AJ5eI5OnqOPBNLWSHKh2a30DoXe8/edit?usp=sharing"",""นครศรีธรรมราช!J153"")"),1.0)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IFERROR(__xludf.DUMMYFUNCTION("IMPORTRANGE(""https://docs.google.com/spreadsheets/d/1IYY_tgx_IHuhSq3AJ5eI5OnqOPBNLWSHKh2a30DoXe8/edit?usp=sharing"",""นครศรีธรรมราช!J154"")"),1.0)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IFERROR(__xludf.DUMMYFUNCTION("IMPORTRANGE(""https://docs.google.com/spreadsheets/d/1IYY_tgx_IHuhSq3AJ5eI5OnqOPBNLWSHKh2a30DoXe8/edit?usp=sharing"",""นครศรีธรรมราช!I155"")"),15.0)</f>
        <v>15</v>
      </c>
      <c r="J235" s="223">
        <f>IFERROR(__xludf.DUMMYFUNCTION("IMPORTRANGE(""https://docs.google.com/spreadsheets/d/1IYY_tgx_IHuhSq3AJ5eI5OnqOPBNLWSHKh2a30DoXe8/edit?usp=sharing"",""นครศรีธรรมราช!J155"")"),15.0)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IFERROR(__xludf.DUMMYFUNCTION("IMPORTRANGE(""https://docs.google.com/spreadsheets/d/1IYY_tgx_IHuhSq3AJ5eI5OnqOPBNLWSHKh2a30DoXe8/edit?usp=sharing"",""นครศรีธรรมราช!J156"")"),1.0)</f>
        <v>1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IFERROR(__xludf.DUMMYFUNCTION("IMPORTRANGE(""https://docs.google.com/spreadsheets/d/1IYY_tgx_IHuhSq3AJ5eI5OnqOPBNLWSHKh2a30DoXe8/edit?usp=sharing"",""นครศรีธรรมราช!J157"")"),0.0)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IFERROR(__xludf.DUMMYFUNCTION("IMPORTRANGE(""https://docs.google.com/spreadsheets/d/1IYY_tgx_IHuhSq3AJ5eI5OnqOPBNLWSHKh2a30DoXe8/edit?usp=sharing"",""นครศรีธรรมราช!I158"")"),0.0)</f>
        <v>0</v>
      </c>
      <c r="J238" s="301">
        <f>IFERROR(__xludf.DUMMYFUNCTION("IMPORTRANGE(""https://docs.google.com/spreadsheets/d/1IYY_tgx_IHuhSq3AJ5eI5OnqOPBNLWSHKh2a30DoXe8/edit?usp=sharing"",""นครศรีธรรมราช!J158"")"),0.0)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IFERROR(__xludf.DUMMYFUNCTION("IMPORTRANGE(""https://docs.google.com/spreadsheets/d/1IYY_tgx_IHuhSq3AJ5eI5OnqOPBNLWSHKh2a30DoXe8/edit?usp=sharing"",""นครศรีธรรมราช!J159"")"),"")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IFERROR(__xludf.DUMMYFUNCTION("IMPORTRANGE(""https://docs.google.com/spreadsheets/d/1IYY_tgx_IHuhSq3AJ5eI5OnqOPBNLWSHKh2a30DoXe8/edit?usp=sharing"",""นครศรีธรรมราช!J161"")"),0.0)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IFERROR(__xludf.DUMMYFUNCTION("IMPORTRANGE(""https://docs.google.com/spreadsheets/d/1IYY_tgx_IHuhSq3AJ5eI5OnqOPBNLWSHKh2a30DoXe8/edit?usp=sharing"",""นครศรีธรรมราช!J162"")"),0.0)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IFERROR(__xludf.DUMMYFUNCTION("IMPORTRANGE(""https://docs.google.com/spreadsheets/d/1IYY_tgx_IHuhSq3AJ5eI5OnqOPBNLWSHKh2a30DoXe8/edit?usp=sharing"",""นครศรีธรรมราช!J163"")"),0.0)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IFERROR(__xludf.DUMMYFUNCTION("IMPORTRANGE(""https://docs.google.com/spreadsheets/d/1IYY_tgx_IHuhSq3AJ5eI5OnqOPBNLWSHKh2a30DoXe8/edit?usp=sharing"",""นครศรีธรรมราช!I164"")"),0.0)</f>
        <v>0</v>
      </c>
      <c r="J244" s="222">
        <f>IFERROR(__xludf.DUMMYFUNCTION("IMPORTRANGE(""https://docs.google.com/spreadsheets/d/1IYY_tgx_IHuhSq3AJ5eI5OnqOPBNLWSHKh2a30DoXe8/edit?usp=sharing"",""นครศรีธรรมราช!J164"")"),0.0)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IFERROR(__xludf.DUMMYFUNCTION("IMPORTRANGE(""https://docs.google.com/spreadsheets/d/1IYY_tgx_IHuhSq3AJ5eI5OnqOPBNLWSHKh2a30DoXe8/edit?usp=sharing"",""นครศรีธรรมราช!J165"")"),0.0)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IFERROR(__xludf.DUMMYFUNCTION("IMPORTRANGE(""https://docs.google.com/spreadsheets/d/1IYY_tgx_IHuhSq3AJ5eI5OnqOPBNLWSHKh2a30DoXe8/edit?usp=sharing"",""นครศรีธรรมราช!J166"")"),0.0)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IFERROR(__xludf.DUMMYFUNCTION("IMPORTRANGE(""https://docs.google.com/spreadsheets/d/1IYY_tgx_IHuhSq3AJ5eI5OnqOPBNLWSHKh2a30DoXe8/edit?usp=sharing"",""นครศรีธรรมราช!I169"")"),0.0)</f>
        <v>0</v>
      </c>
      <c r="J249" s="349">
        <f>IFERROR(__xludf.DUMMYFUNCTION("IMPORTRANGE(""https://docs.google.com/spreadsheets/d/1IYY_tgx_IHuhSq3AJ5eI5OnqOPBNLWSHKh2a30DoXe8/edit?usp=sharing"",""นครศรีธรรมราช!J169"")"),0.0)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IFERROR(__xludf.DUMMYFUNCTION("IMPORTRANGE(""https://docs.google.com/spreadsheets/d/1Yj_ptqi66GCucihVvJfMjLAmec39IyEx_6qawtMGysU/edit?usp=sharing"",""สบก!CB84"")"),0.0)</f>
        <v>0</v>
      </c>
      <c r="N254" s="202">
        <f>IFERROR(__xludf.DUMMYFUNCTION("IMPORTRANGE(""https://docs.google.com/spreadsheets/d/1Yj_ptqi66GCucihVvJfMjLAmec39IyEx_6qawtMGysU/edit?usp=sharing"",""สบก!CC84"")"),0.0)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IFERROR(__xludf.DUMMYFUNCTION("IMPORTRANGE(""https://docs.google.com/spreadsheets/d/1Yj_ptqi66GCucihVvJfMjLAmec39IyEx_6qawtMGysU/edit?usp=sharing"",""สบก!BX84"")"),0.0)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IFERROR(__xludf.DUMMYFUNCTION("IMPORTRANGE(""https://docs.google.com/spreadsheets/d/1Yj_ptqi66GCucihVvJfMjLAmec39IyEx_6qawtMGysU/edit?usp=sharing"",""สบก!BY84"")"),0.0)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IFERROR(__xludf.DUMMYFUNCTION("IMPORTRANGE(""https://docs.google.com/spreadsheets/d/1Yj_ptqi66GCucihVvJfMjLAmec39IyEx_6qawtMGysU/edit?usp=sharing"",""สบก!BZ84"")"),0.0)</f>
        <v>0</v>
      </c>
      <c r="M258" s="125"/>
      <c r="N258" s="115">
        <f>IFERROR(__xludf.DUMMYFUNCTION("IMPORTRANGE(""https://docs.google.com/spreadsheets/d/1Yj_ptqi66GCucihVvJfMjLAmec39IyEx_6qawtMGysU/edit?usp=sharing"",""สบก!CD84"")"),0.0)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IFERROR(__xludf.DUMMYFUNCTION("IMPORTRANGE(""https://docs.google.com/spreadsheets/d/1IYY_tgx_IHuhSq3AJ5eI5OnqOPBNLWSHKh2a30DoXe8/edit?usp=sharing"",""นครศรีธรรมราช!J175"")"),0.0)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IFERROR(__xludf.DUMMYFUNCTION("IMPORTRANGE(""https://docs.google.com/spreadsheets/d/1IYY_tgx_IHuhSq3AJ5eI5OnqOPBNLWSHKh2a30DoXe8/edit?usp=sharing"",""นครศรีธรรมราช!J176"")"),0.0)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IFERROR(__xludf.DUMMYFUNCTION("IMPORTRANGE(""https://docs.google.com/spreadsheets/d/1IYY_tgx_IHuhSq3AJ5eI5OnqOPBNLWSHKh2a30DoXe8/edit?usp=sharing"",""นครศรีธรรมราช!J177"")"),0.0)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IFERROR(__xludf.DUMMYFUNCTION("IMPORTRANGE(""https://docs.google.com/spreadsheets/d/1IYY_tgx_IHuhSq3AJ5eI5OnqOPBNLWSHKh2a30DoXe8/edit?usp=sharing"",""นครศรีธรรมราช!J178"")"),0.0)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IFERROR(__xludf.DUMMYFUNCTION("IMPORTRANGE(""https://docs.google.com/spreadsheets/d/1IYY_tgx_IHuhSq3AJ5eI5OnqOPBNLWSHKh2a30DoXe8/edit?usp=sharing"",""นครศรีธรรมราช!I179"")"),0.0)</f>
        <v>0</v>
      </c>
      <c r="J264" s="223">
        <f>IFERROR(__xludf.DUMMYFUNCTION("IMPORTRANGE(""https://docs.google.com/spreadsheets/d/1IYY_tgx_IHuhSq3AJ5eI5OnqOPBNLWSHKh2a30DoXe8/edit?usp=sharing"",""นครศรีธรรมราช!J179"")"),0.0)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IFERROR(__xludf.DUMMYFUNCTION("IMPORTRANGE(""https://docs.google.com/spreadsheets/d/1IYY_tgx_IHuhSq3AJ5eI5OnqOPBNLWSHKh2a30DoXe8/edit?usp=sharing"",""นครศรีธรรมราช!I180"")"),0.0)</f>
        <v>0</v>
      </c>
      <c r="J265" s="223">
        <f>IFERROR(__xludf.DUMMYFUNCTION("IMPORTRANGE(""https://docs.google.com/spreadsheets/d/1IYY_tgx_IHuhSq3AJ5eI5OnqOPBNLWSHKh2a30DoXe8/edit?usp=sharing"",""นครศรีธรรมราช!J180"")"),0.0)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IFERROR(__xludf.DUMMYFUNCTION("IMPORTRANGE(""https://docs.google.com/spreadsheets/d/1IYY_tgx_IHuhSq3AJ5eI5OnqOPBNLWSHKh2a30DoXe8/edit?usp=sharing"",""นครศรีธรรมราช!I181"")"),0.0)</f>
        <v>0</v>
      </c>
      <c r="J266" s="223">
        <f>IFERROR(__xludf.DUMMYFUNCTION("IMPORTRANGE(""https://docs.google.com/spreadsheets/d/1IYY_tgx_IHuhSq3AJ5eI5OnqOPBNLWSHKh2a30DoXe8/edit?usp=sharing"",""นครศรีธรรมราช!J181"")"),0.0)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IFERROR(__xludf.DUMMYFUNCTION("IMPORTRANGE(""https://docs.google.com/spreadsheets/d/1IYY_tgx_IHuhSq3AJ5eI5OnqOPBNLWSHKh2a30DoXe8/edit?usp=sharing"",""นครศรีธรรมราช!I182"")"),0.0)</f>
        <v>0</v>
      </c>
      <c r="J267" s="223">
        <f>IFERROR(__xludf.DUMMYFUNCTION("IMPORTRANGE(""https://docs.google.com/spreadsheets/d/1IYY_tgx_IHuhSq3AJ5eI5OnqOPBNLWSHKh2a30DoXe8/edit?usp=sharing"",""นครศรีธรรมราช!J182"")"),0.0)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IFERROR(__xludf.DUMMYFUNCTION("IMPORTRANGE(""https://docs.google.com/spreadsheets/d/1IYY_tgx_IHuhSq3AJ5eI5OnqOPBNLWSHKh2a30DoXe8/edit?usp=sharing"",""นครศรีธรรมราช!J183"")"),0.0)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IFERROR(__xludf.DUMMYFUNCTION("IMPORTRANGE(""https://docs.google.com/spreadsheets/d/1IYY_tgx_IHuhSq3AJ5eI5OnqOPBNLWSHKh2a30DoXe8/edit?usp=sharing"",""นครศรีธรรมราช!J184"")"),0.0)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IFERROR(__xludf.DUMMYFUNCTION("IMPORTRANGE(""https://docs.google.com/spreadsheets/d/1IYY_tgx_IHuhSq3AJ5eI5OnqOPBNLWSHKh2a30DoXe8/edit?usp=sharing"",""นครศรีธรรมราช!I185"")"),0.0)</f>
        <v>0</v>
      </c>
      <c r="J270" s="349">
        <f>IFERROR(__xludf.DUMMYFUNCTION("IMPORTRANGE(""https://docs.google.com/spreadsheets/d/1IYY_tgx_IHuhSq3AJ5eI5OnqOPBNLWSHKh2a30DoXe8/edit?usp=sharing"",""นครศรีธรรมราช!J185"")"),0.0)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IFERROR(__xludf.DUMMYFUNCTION("IMPORTRANGE(""https://docs.google.com/spreadsheets/d/1Yj_ptqi66GCucihVvJfMjLAmec39IyEx_6qawtMGysU/edit?usp=sharing"",""สบก!CK84"")"),0.0)</f>
        <v>0</v>
      </c>
      <c r="N275" s="202">
        <f>IFERROR(__xludf.DUMMYFUNCTION("IMPORTRANGE(""https://docs.google.com/spreadsheets/d/1Yj_ptqi66GCucihVvJfMjLAmec39IyEx_6qawtMGysU/edit?usp=sharing"",""สบก!CL84"")"),0.0)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IFERROR(__xludf.DUMMYFUNCTION("IMPORTRANGE(""https://docs.google.com/spreadsheets/d/1Yj_ptqi66GCucihVvJfMjLAmec39IyEx_6qawtMGysU/edit?usp=sharing"",""สบก!CG84"")"),0.0)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IFERROR(__xludf.DUMMYFUNCTION("IMPORTRANGE(""https://docs.google.com/spreadsheets/d/1Yj_ptqi66GCucihVvJfMjLAmec39IyEx_6qawtMGysU/edit?usp=sharing"",""สบก!CH84"")"),0.0)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IFERROR(__xludf.DUMMYFUNCTION("IMPORTRANGE(""https://docs.google.com/spreadsheets/d/1Yj_ptqi66GCucihVvJfMjLAmec39IyEx_6qawtMGysU/edit?usp=sharing"",""สบก!CI84"")"),0.0)</f>
        <v>0</v>
      </c>
      <c r="M279" s="125"/>
      <c r="N279" s="115">
        <f>IFERROR(__xludf.DUMMYFUNCTION("IMPORTRANGE(""https://docs.google.com/spreadsheets/d/1Yj_ptqi66GCucihVvJfMjLAmec39IyEx_6qawtMGysU/edit?usp=sharing"",""สบก!CM84"")"),0.0)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IFERROR(__xludf.DUMMYFUNCTION("IMPORTRANGE(""https://docs.google.com/spreadsheets/d/1IYY_tgx_IHuhSq3AJ5eI5OnqOPBNLWSHKh2a30DoXe8/edit?usp=sharing"",""นครศรีธรรมราช!J191"")"),0.0)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IFERROR(__xludf.DUMMYFUNCTION("IMPORTRANGE(""https://docs.google.com/spreadsheets/d/1IYY_tgx_IHuhSq3AJ5eI5OnqOPBNLWSHKh2a30DoXe8/edit?usp=sharing"",""นครศรีธรรมราช!J192"")"),0.0)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IFERROR(__xludf.DUMMYFUNCTION("IMPORTRANGE(""https://docs.google.com/spreadsheets/d/1IYY_tgx_IHuhSq3AJ5eI5OnqOPBNLWSHKh2a30DoXe8/edit?usp=sharing"",""นครศรีธรรมราช!J193"")"),0.0)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IFERROR(__xludf.DUMMYFUNCTION("IMPORTRANGE(""https://docs.google.com/spreadsheets/d/1IYY_tgx_IHuhSq3AJ5eI5OnqOPBNLWSHKh2a30DoXe8/edit?usp=sharing"",""นครศรีธรรมราช!J194"")"),0.0)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IFERROR(__xludf.DUMMYFUNCTION("IMPORTRANGE(""https://docs.google.com/spreadsheets/d/1IYY_tgx_IHuhSq3AJ5eI5OnqOPBNLWSHKh2a30DoXe8/edit?usp=sharing"",""นครศรีธรรมราช!I195"")"),0.0)</f>
        <v>0</v>
      </c>
      <c r="J285" s="223">
        <f>IFERROR(__xludf.DUMMYFUNCTION("IMPORTRANGE(""https://docs.google.com/spreadsheets/d/1IYY_tgx_IHuhSq3AJ5eI5OnqOPBNLWSHKh2a30DoXe8/edit?usp=sharing"",""นครศรีธรรมราช!J195"")"),0.0)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IFERROR(__xludf.DUMMYFUNCTION("IMPORTRANGE(""https://docs.google.com/spreadsheets/d/1IYY_tgx_IHuhSq3AJ5eI5OnqOPBNLWSHKh2a30DoXe8/edit?usp=sharing"",""นครศรีธรรมราช!J196"")"),0.0)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IFERROR(__xludf.DUMMYFUNCTION("IMPORTRANGE(""https://docs.google.com/spreadsheets/d/1IYY_tgx_IHuhSq3AJ5eI5OnqOPBNLWSHKh2a30DoXe8/edit?usp=sharing"",""นครศรีธรรมราช!J197"")"),0.0)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IFERROR(__xludf.DUMMYFUNCTION("IMPORTRANGE(""https://docs.google.com/spreadsheets/d/1IYY_tgx_IHuhSq3AJ5eI5OnqOPBNLWSHKh2a30DoXe8/edit?usp=sharing"",""นครศรีธรรมราช!I199"")"),0.0)</f>
        <v>0</v>
      </c>
      <c r="J289" s="349">
        <f>IFERROR(__xludf.DUMMYFUNCTION("IMPORTRANGE(""https://docs.google.com/spreadsheets/d/1IYY_tgx_IHuhSq3AJ5eI5OnqOPBNLWSHKh2a30DoXe8/edit?usp=sharing"",""นครศรีธรรมราช!J199"")"),0.0)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IFERROR(__xludf.DUMMYFUNCTION("IMPORTRANGE(""https://docs.google.com/spreadsheets/d/1Yj_ptqi66GCucihVvJfMjLAmec39IyEx_6qawtMGysU/edit?usp=sharing"",""สบก!CT84"")"),0.0)</f>
        <v>0</v>
      </c>
      <c r="N294" s="202">
        <f>IFERROR(__xludf.DUMMYFUNCTION("IMPORTRANGE(""https://docs.google.com/spreadsheets/d/1Yj_ptqi66GCucihVvJfMjLAmec39IyEx_6qawtMGysU/edit?usp=sharing"",""สบก!CU84"")"),0.0)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IFERROR(__xludf.DUMMYFUNCTION("IMPORTRANGE(""https://docs.google.com/spreadsheets/d/1Yj_ptqi66GCucihVvJfMjLAmec39IyEx_6qawtMGysU/edit?usp=sharing"",""สบก!CP84"")"),0.0)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IFERROR(__xludf.DUMMYFUNCTION("IMPORTRANGE(""https://docs.google.com/spreadsheets/d/1Yj_ptqi66GCucihVvJfMjLAmec39IyEx_6qawtMGysU/edit?usp=sharing"",""สบก!CQ84"")"),0.0)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IFERROR(__xludf.DUMMYFUNCTION("IMPORTRANGE(""https://docs.google.com/spreadsheets/d/1Yj_ptqi66GCucihVvJfMjLAmec39IyEx_6qawtMGysU/edit?usp=sharing"",""สบก!CR84"")"),0.0)</f>
        <v>0</v>
      </c>
      <c r="M298" s="125"/>
      <c r="N298" s="115">
        <f>IFERROR(__xludf.DUMMYFUNCTION("IMPORTRANGE(""https://docs.google.com/spreadsheets/d/1Yj_ptqi66GCucihVvJfMjLAmec39IyEx_6qawtMGysU/edit?usp=sharing"",""สบก!CV84"")"),0.0)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IFERROR(__xludf.DUMMYFUNCTION("IMPORTRANGE(""https://docs.google.com/spreadsheets/d/1IYY_tgx_IHuhSq3AJ5eI5OnqOPBNLWSHKh2a30DoXe8/edit?usp=sharing"",""นครศรีธรรมราช!J205"")"),0.0)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IFERROR(__xludf.DUMMYFUNCTION("IMPORTRANGE(""https://docs.google.com/spreadsheets/d/1IYY_tgx_IHuhSq3AJ5eI5OnqOPBNLWSHKh2a30DoXe8/edit?usp=sharing"",""นครศรีธรรมราช!J206"")"),0.0)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IFERROR(__xludf.DUMMYFUNCTION("IMPORTRANGE(""https://docs.google.com/spreadsheets/d/1IYY_tgx_IHuhSq3AJ5eI5OnqOPBNLWSHKh2a30DoXe8/edit?usp=sharing"",""นครศรีธรรมราช!J207"")"),0.0)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IFERROR(__xludf.DUMMYFUNCTION("IMPORTRANGE(""https://docs.google.com/spreadsheets/d/1IYY_tgx_IHuhSq3AJ5eI5OnqOPBNLWSHKh2a30DoXe8/edit?usp=sharing"",""นครศรีธรรมราช!J208"")"),0.0)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IFERROR(__xludf.DUMMYFUNCTION("IMPORTRANGE(""https://docs.google.com/spreadsheets/d/1IYY_tgx_IHuhSq3AJ5eI5OnqOPBNLWSHKh2a30DoXe8/edit?usp=sharing"",""นครศรีธรรมราช!I209"")"),0.0)</f>
        <v>0</v>
      </c>
      <c r="J304" s="238">
        <f>IFERROR(__xludf.DUMMYFUNCTION("IMPORTRANGE(""https://docs.google.com/spreadsheets/d/1IYY_tgx_IHuhSq3AJ5eI5OnqOPBNLWSHKh2a30DoXe8/edit?usp=sharing"",""นครศรีธรรมราช!J209"")"),0.0)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IFERROR(__xludf.DUMMYFUNCTION("IMPORTRANGE(""https://docs.google.com/spreadsheets/d/1IYY_tgx_IHuhSq3AJ5eI5OnqOPBNLWSHKh2a30DoXe8/edit?usp=sharing"",""นครศรีธรรมราช!I211"")"),0.0)</f>
        <v>0</v>
      </c>
      <c r="J306" s="238">
        <f>IFERROR(__xludf.DUMMYFUNCTION("IMPORTRANGE(""https://docs.google.com/spreadsheets/d/1IYY_tgx_IHuhSq3AJ5eI5OnqOPBNLWSHKh2a30DoXe8/edit?usp=sharing"",""นครศรีธรรมราช!J211"")"),0.0)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IFERROR(__xludf.DUMMYFUNCTION("IMPORTRANGE(""https://docs.google.com/spreadsheets/d/1IYY_tgx_IHuhSq3AJ5eI5OnqOPBNLWSHKh2a30DoXe8/edit?usp=sharing"",""นครศรีธรรมราช!J212"")"),0.0)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IFERROR(__xludf.DUMMYFUNCTION("IMPORTRANGE(""https://docs.google.com/spreadsheets/d/1IYY_tgx_IHuhSq3AJ5eI5OnqOPBNLWSHKh2a30DoXe8/edit?usp=sharing"",""นครศรีธรรมราช!J213"")"),0.0)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IFERROR(__xludf.DUMMYFUNCTION("IMPORTRANGE(""https://docs.google.com/spreadsheets/d/1IYY_tgx_IHuhSq3AJ5eI5OnqOPBNLWSHKh2a30DoXe8/edit?usp=sharing"",""นครศรีธรรมราช!I214"")"),0.0)</f>
        <v>0</v>
      </c>
      <c r="J309" s="366">
        <f>IFERROR(__xludf.DUMMYFUNCTION("IMPORTRANGE(""https://docs.google.com/spreadsheets/d/1IYY_tgx_IHuhSq3AJ5eI5OnqOPBNLWSHKh2a30DoXe8/edit?usp=sharing"",""นครศรีธรรมราช!J214"")"),0.0)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IFERROR(__xludf.DUMMYFUNCTION("IMPORTRANGE(""https://docs.google.com/spreadsheets/d/1Yj_ptqi66GCucihVvJfMjLAmec39IyEx_6qawtMGysU/edit?usp=sharing"",""สบก!DC84"")"),0.0)</f>
        <v>0</v>
      </c>
      <c r="N314" s="202">
        <f>IFERROR(__xludf.DUMMYFUNCTION("IMPORTRANGE(""https://docs.google.com/spreadsheets/d/1Yj_ptqi66GCucihVvJfMjLAmec39IyEx_6qawtMGysU/edit?usp=sharing"",""สบก!DD84"")"),0.0)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IFERROR(__xludf.DUMMYFUNCTION("IMPORTRANGE(""https://docs.google.com/spreadsheets/d/1Yj_ptqi66GCucihVvJfMjLAmec39IyEx_6qawtMGysU/edit?usp=sharing"",""สบก!CY84"")"),0.0)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IFERROR(__xludf.DUMMYFUNCTION("IMPORTRANGE(""https://docs.google.com/spreadsheets/d/1Yj_ptqi66GCucihVvJfMjLAmec39IyEx_6qawtMGysU/edit?usp=sharing"",""สบก!CZ84"")"),0.0)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IFERROR(__xludf.DUMMYFUNCTION("IMPORTRANGE(""https://docs.google.com/spreadsheets/d/1Yj_ptqi66GCucihVvJfMjLAmec39IyEx_6qawtMGysU/edit?usp=sharing"",""สบก!DA84"")"),0.0)</f>
        <v>0</v>
      </c>
      <c r="M318" s="125"/>
      <c r="N318" s="115">
        <f>IFERROR(__xludf.DUMMYFUNCTION("IMPORTRANGE(""https://docs.google.com/spreadsheets/d/1Yj_ptqi66GCucihVvJfMjLAmec39IyEx_6qawtMGysU/edit?usp=sharing"",""สบก!DE84"")"),0.0)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IFERROR(__xludf.DUMMYFUNCTION("IMPORTRANGE(""https://docs.google.com/spreadsheets/d/1IYY_tgx_IHuhSq3AJ5eI5OnqOPBNLWSHKh2a30DoXe8/edit?usp=sharing"",""นครศรีธรรมราช!J220"")"),0.0)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IFERROR(__xludf.DUMMYFUNCTION("IMPORTRANGE(""https://docs.google.com/spreadsheets/d/1IYY_tgx_IHuhSq3AJ5eI5OnqOPBNLWSHKh2a30DoXe8/edit?usp=sharing"",""นครศรีธรรมราช!J221"")"),0.0)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IFERROR(__xludf.DUMMYFUNCTION("IMPORTRANGE(""https://docs.google.com/spreadsheets/d/1IYY_tgx_IHuhSq3AJ5eI5OnqOPBNLWSHKh2a30DoXe8/edit?usp=sharing"",""นครศรีธรรมราช!J222"")"),0.0)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IFERROR(__xludf.DUMMYFUNCTION("IMPORTRANGE(""https://docs.google.com/spreadsheets/d/1IYY_tgx_IHuhSq3AJ5eI5OnqOPBNLWSHKh2a30DoXe8/edit?usp=sharing"",""นครศรีธรรมราช!J223"")"),0.0)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IFERROR(__xludf.DUMMYFUNCTION("IMPORTRANGE(""https://docs.google.com/spreadsheets/d/1IYY_tgx_IHuhSq3AJ5eI5OnqOPBNLWSHKh2a30DoXe8/edit?usp=sharing"",""นครศรีธรรมราช!I224"")"),0.0)</f>
        <v>0</v>
      </c>
      <c r="J324" s="238">
        <f>IFERROR(__xludf.DUMMYFUNCTION("IMPORTRANGE(""https://docs.google.com/spreadsheets/d/1IYY_tgx_IHuhSq3AJ5eI5OnqOPBNLWSHKh2a30DoXe8/edit?usp=sharing"",""นครศรีธรรมราช!J224"")"),0.0)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IFERROR(__xludf.DUMMYFUNCTION("IMPORTRANGE(""https://docs.google.com/spreadsheets/d/1IYY_tgx_IHuhSq3AJ5eI5OnqOPBNLWSHKh2a30DoXe8/edit?usp=sharing"",""นครศรีธรรมราช!J225"")"),0.0)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IFERROR(__xludf.DUMMYFUNCTION("IMPORTRANGE(""https://docs.google.com/spreadsheets/d/1IYY_tgx_IHuhSq3AJ5eI5OnqOPBNLWSHKh2a30DoXe8/edit?usp=sharing"",""นครศรีธรรมราช!J226"")"),0.0)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IFERROR(__xludf.DUMMYFUNCTION("IMPORTRANGE(""https://docs.google.com/spreadsheets/d/1IYY_tgx_IHuhSq3AJ5eI5OnqOPBNLWSHKh2a30DoXe8/edit?usp=sharing"",""นครศรีธรรมราช!I228"")"),310.0)</f>
        <v>310</v>
      </c>
      <c r="J328" s="372">
        <f>IFERROR(__xludf.DUMMYFUNCTION("IMPORTRANGE(""https://docs.google.com/spreadsheets/d/1IYY_tgx_IHuhSq3AJ5eI5OnqOPBNLWSHKh2a30DoXe8/edit?usp=sharing"",""นครศรีธรรมราช!J228"")"),15.0)</f>
        <v>15</v>
      </c>
      <c r="K328" s="350">
        <f>IF(I328&gt;0,J328*100/I328,0)</f>
        <v>4.838709677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684340</v>
      </c>
      <c r="M329" s="183">
        <f t="shared" si="99"/>
        <v>377960</v>
      </c>
      <c r="N329" s="183">
        <f t="shared" si="99"/>
        <v>249951</v>
      </c>
      <c r="O329" s="182">
        <f t="shared" ref="O329:O331" si="101">IF(L329&gt;0,N329*100/L329,0)</f>
        <v>36.52438846</v>
      </c>
      <c r="P329" s="182">
        <f t="shared" ref="P329:P331" si="102">IF(M329&gt;0,N329*100/M329,0)</f>
        <v>66.13160123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684340</v>
      </c>
      <c r="M331" s="188">
        <f t="shared" si="103"/>
        <v>377960</v>
      </c>
      <c r="N331" s="188">
        <f t="shared" si="103"/>
        <v>249951</v>
      </c>
      <c r="O331" s="187">
        <f t="shared" si="101"/>
        <v>36.52438846</v>
      </c>
      <c r="P331" s="187">
        <f t="shared" si="102"/>
        <v>66.13160123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667340</v>
      </c>
      <c r="M333" s="201">
        <f>IFERROR(__xludf.DUMMYFUNCTION("IMPORTRANGE(""https://docs.google.com/spreadsheets/d/1Yj_ptqi66GCucihVvJfMjLAmec39IyEx_6qawtMGysU/edit?usp=sharing"",""สบก!DL84"")"),377960.0)</f>
        <v>377960</v>
      </c>
      <c r="N333" s="202">
        <f>IFERROR(__xludf.DUMMYFUNCTION("IMPORTRANGE(""https://docs.google.com/spreadsheets/d/1Yj_ptqi66GCucihVvJfMjLAmec39IyEx_6qawtMGysU/edit?usp=sharing"",""สบก!DM84"")"),236451.0)</f>
        <v>236451</v>
      </c>
      <c r="O333" s="203">
        <f>IF(L333&gt;0,N333*100/L333,0)</f>
        <v>35.43186382</v>
      </c>
      <c r="P333" s="203">
        <f>IF(M333&gt;0,N333*100/M333,0)</f>
        <v>62.55979469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IFERROR(__xludf.DUMMYFUNCTION("IMPORTRANGE(""https://docs.google.com/spreadsheets/d/1Yj_ptqi66GCucihVvJfMjLAmec39IyEx_6qawtMGysU/edit?usp=sharing"",""สบก!DH84"")"),194400.0)</f>
        <v>194400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IFERROR(__xludf.DUMMYFUNCTION("IMPORTRANGE(""https://docs.google.com/spreadsheets/d/1Yj_ptqi66GCucihVvJfMjLAmec39IyEx_6qawtMGysU/edit?usp=sharing"",""สบก!DI84"")"),472940.0)</f>
        <v>472940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IFERROR(__xludf.DUMMYFUNCTION("IMPORTRANGE(""https://docs.google.com/spreadsheets/d/1Yj_ptqi66GCucihVvJfMjLAmec39IyEx_6qawtMGysU/edit?usp=sharing"",""สบก!DJ84"")"),17000.0)</f>
        <v>17000</v>
      </c>
      <c r="M337" s="125"/>
      <c r="N337" s="115">
        <f>IFERROR(__xludf.DUMMYFUNCTION("IMPORTRANGE(""https://docs.google.com/spreadsheets/d/1Yj_ptqi66GCucihVvJfMjLAmec39IyEx_6qawtMGysU/edit?usp=sharing"",""สบก!DN84"")"),13500.0)</f>
        <v>13500</v>
      </c>
      <c r="O337" s="125">
        <f>IF(L337&gt;0,N337*100/L337,0)</f>
        <v>79.41176471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IFERROR(__xludf.DUMMYFUNCTION("IMPORTRANGE(""https://docs.google.com/spreadsheets/d/1IYY_tgx_IHuhSq3AJ5eI5OnqOPBNLWSHKh2a30DoXe8/edit?usp=sharing"",""นครศรีธรรมราช!I234"")"),0.0)</f>
        <v>0</v>
      </c>
      <c r="J339" s="222">
        <f>IFERROR(__xludf.DUMMYFUNCTION("IMPORTRANGE(""https://docs.google.com/spreadsheets/d/1IYY_tgx_IHuhSq3AJ5eI5OnqOPBNLWSHKh2a30DoXe8/edit?usp=sharing"",""นครศรีธรรมราช!J234"")"),79.0)</f>
        <v>79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IFERROR(__xludf.DUMMYFUNCTION("IMPORTRANGE(""https://docs.google.com/spreadsheets/d/1IYY_tgx_IHuhSq3AJ5eI5OnqOPBNLWSHKh2a30DoXe8/edit?usp=sharing"",""นครศรีธรรมราช!I235"")"),2720.0)</f>
        <v>2720</v>
      </c>
      <c r="J340" s="222">
        <f>IFERROR(__xludf.DUMMYFUNCTION("IMPORTRANGE(""https://docs.google.com/spreadsheets/d/1IYY_tgx_IHuhSq3AJ5eI5OnqOPBNLWSHKh2a30DoXe8/edit?usp=sharing"",""นครศรีธรรมราช!J235"")"),630.95)</f>
        <v>630.95</v>
      </c>
      <c r="K340" s="375">
        <f t="shared" si="104"/>
        <v>23.19669118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IFERROR(__xludf.DUMMYFUNCTION("IMPORTRANGE(""https://docs.google.com/spreadsheets/d/1IYY_tgx_IHuhSq3AJ5eI5OnqOPBNLWSHKh2a30DoXe8/edit?usp=sharing"",""นครศรีธรรมราช!I236"")"),310.0)</f>
        <v>310</v>
      </c>
      <c r="J341" s="222">
        <f>IFERROR(__xludf.DUMMYFUNCTION("IMPORTRANGE(""https://docs.google.com/spreadsheets/d/1IYY_tgx_IHuhSq3AJ5eI5OnqOPBNLWSHKh2a30DoXe8/edit?usp=sharing"",""นครศรีธรรมราช!J236"")"),94.0)</f>
        <v>94</v>
      </c>
      <c r="K341" s="375">
        <f t="shared" si="104"/>
        <v>30.32258065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IFERROR(__xludf.DUMMYFUNCTION("IMPORTRANGE(""https://docs.google.com/spreadsheets/d/1IYY_tgx_IHuhSq3AJ5eI5OnqOPBNLWSHKh2a30DoXe8/edit?usp=sharing"",""นครศรีธรรมราช!I237"")"),0.0)</f>
        <v>0</v>
      </c>
      <c r="J342" s="222">
        <f>IFERROR(__xludf.DUMMYFUNCTION("IMPORTRANGE(""https://docs.google.com/spreadsheets/d/1IYY_tgx_IHuhSq3AJ5eI5OnqOPBNLWSHKh2a30DoXe8/edit?usp=sharing"",""นครศรีธรรมราช!J237"")"),792.5)</f>
        <v>792.5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IFERROR(__xludf.DUMMYFUNCTION("IMPORTRANGE(""https://docs.google.com/spreadsheets/d/1IYY_tgx_IHuhSq3AJ5eI5OnqOPBNLWSHKh2a30DoXe8/edit?usp=sharing"",""นครศรีธรรมราช!I238"")"),310.0)</f>
        <v>310</v>
      </c>
      <c r="J343" s="222">
        <f>IFERROR(__xludf.DUMMYFUNCTION("IMPORTRANGE(""https://docs.google.com/spreadsheets/d/1IYY_tgx_IHuhSq3AJ5eI5OnqOPBNLWSHKh2a30DoXe8/edit?usp=sharing"",""นครศรีธรรมราช!J238"")"),0.0)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IFERROR(__xludf.DUMMYFUNCTION("IMPORTRANGE(""https://docs.google.com/spreadsheets/d/1IYY_tgx_IHuhSq3AJ5eI5OnqOPBNLWSHKh2a30DoXe8/edit?usp=sharing"",""นครศรีธรรมราช!I239"")"),0.0)</f>
        <v>0</v>
      </c>
      <c r="J344" s="222">
        <f>IFERROR(__xludf.DUMMYFUNCTION("IMPORTRANGE(""https://docs.google.com/spreadsheets/d/1IYY_tgx_IHuhSq3AJ5eI5OnqOPBNLWSHKh2a30DoXe8/edit?usp=sharing"",""นครศรีธรรมราช!J239"")"),0.0)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IFERROR(__xludf.DUMMYFUNCTION("IMPORTRANGE(""https://docs.google.com/spreadsheets/d/1IYY_tgx_IHuhSq3AJ5eI5OnqOPBNLWSHKh2a30DoXe8/edit?usp=sharing"",""นครศรีธรรมราช!I240"")"),310.0)</f>
        <v>310</v>
      </c>
      <c r="J345" s="222">
        <f>IFERROR(__xludf.DUMMYFUNCTION("IMPORTRANGE(""https://docs.google.com/spreadsheets/d/1IYY_tgx_IHuhSq3AJ5eI5OnqOPBNLWSHKh2a30DoXe8/edit?usp=sharing"",""นครศรีธรรมราช!J240"")"),15.0)</f>
        <v>15</v>
      </c>
      <c r="K345" s="375">
        <f t="shared" si="104"/>
        <v>4.838709677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IFERROR(__xludf.DUMMYFUNCTION("IMPORTRANGE(""https://docs.google.com/spreadsheets/d/1IYY_tgx_IHuhSq3AJ5eI5OnqOPBNLWSHKh2a30DoXe8/edit?usp=sharing"",""นครศรีธรรมราช!I241"")"),0.0)</f>
        <v>0</v>
      </c>
      <c r="J346" s="222">
        <f>IFERROR(__xludf.DUMMYFUNCTION("IMPORTRANGE(""https://docs.google.com/spreadsheets/d/1IYY_tgx_IHuhSq3AJ5eI5OnqOPBNLWSHKh2a30DoXe8/edit?usp=sharing"",""นครศรีธรรมราช!J241"")"),161.56)</f>
        <v>161.56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IFERROR(__xludf.DUMMYFUNCTION("IMPORTRANGE(""https://docs.google.com/spreadsheets/d/1IYY_tgx_IHuhSq3AJ5eI5OnqOPBNLWSHKh2a30DoXe8/edit?usp=sharing"",""นครศรีธรรมราช!L242"")"),1192431.0)</f>
        <v>1192431</v>
      </c>
      <c r="M347" s="391"/>
      <c r="N347" s="391">
        <f>IFERROR(__xludf.DUMMYFUNCTION("IMPORTRANGE(""https://docs.google.com/spreadsheets/d/1IYY_tgx_IHuhSq3AJ5eI5OnqOPBNLWSHKh2a30DoXe8/edit?usp=sharing"",""นครศรีธรรมราช!M242"")"),135787.87)</f>
        <v>135787.87</v>
      </c>
      <c r="O347" s="391">
        <f>+IF(L347&gt;0,N347*100/L347,0)</f>
        <v>11.38748238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IFERROR(__xludf.DUMMYFUNCTION("IMPORTRANGE(""https://docs.google.com/spreadsheets/d/1IYY_tgx_IHuhSq3AJ5eI5OnqOPBNLWSHKh2a30DoXe8/edit?usp=sharing"",""นครศรีธรรมราช!I244"")"),0.0)</f>
        <v>0</v>
      </c>
      <c r="J349" s="404">
        <f>IFERROR(__xludf.DUMMYFUNCTION("IMPORTRANGE(""https://docs.google.com/spreadsheets/d/1IYY_tgx_IHuhSq3AJ5eI5OnqOPBNLWSHKh2a30DoXe8/edit?usp=sharing"",""นครศรีธรรมราช!J244"")"),0.0)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IFERROR(__xludf.DUMMYFUNCTION("IMPORTRANGE(""https://docs.google.com/spreadsheets/d/1IYY_tgx_IHuhSq3AJ5eI5OnqOPBNLWSHKh2a30DoXe8/edit?usp=sharing"",""นครศรีธรรมราช!L244"")"),0.0)</f>
        <v>0</v>
      </c>
      <c r="M349" s="406"/>
      <c r="N349" s="406">
        <f>IFERROR(__xludf.DUMMYFUNCTION("IMPORTRANGE(""https://docs.google.com/spreadsheets/d/1IYY_tgx_IHuhSq3AJ5eI5OnqOPBNLWSHKh2a30DoXe8/edit?usp=sharing"",""นครศรีธรรมราช!M244"")"),0.0)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IFERROR(__xludf.DUMMYFUNCTION("IMPORTRANGE(""https://docs.google.com/spreadsheets/d/1IYY_tgx_IHuhSq3AJ5eI5OnqOPBNLWSHKh2a30DoXe8/edit?usp=sharing"",""นครศรีธรรมราช!I245"")"),0.0)</f>
        <v>0</v>
      </c>
      <c r="J350" s="404">
        <f>IFERROR(__xludf.DUMMYFUNCTION("IMPORTRANGE(""https://docs.google.com/spreadsheets/d/1IYY_tgx_IHuhSq3AJ5eI5OnqOPBNLWSHKh2a30DoXe8/edit?usp=sharing"",""นครศรีธรรมราช!J245"")"),0.0)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IFERROR(__xludf.DUMMYFUNCTION("IMPORTRANGE(""https://docs.google.com/spreadsheets/d/1IYY_tgx_IHuhSq3AJ5eI5OnqOPBNLWSHKh2a30DoXe8/edit?usp=sharing"",""นครศรีธรรมราช!L246"")"),0.0)</f>
        <v>0</v>
      </c>
      <c r="M351" s="197"/>
      <c r="N351" s="197">
        <f>IFERROR(__xludf.DUMMYFUNCTION("IMPORTRANGE(""https://docs.google.com/spreadsheets/d/1IYY_tgx_IHuhSq3AJ5eI5OnqOPBNLWSHKh2a30DoXe8/edit?usp=sharing"",""นครศรีธรรมราช!M246"")"),0.0)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IFERROR(__xludf.DUMMYFUNCTION("IMPORTRANGE(""https://docs.google.com/spreadsheets/d/1IYY_tgx_IHuhSq3AJ5eI5OnqOPBNLWSHKh2a30DoXe8/edit?usp=sharing"",""นครศรีธรรมราช!L247"")"),0.0)</f>
        <v>0</v>
      </c>
      <c r="M352" s="198"/>
      <c r="N352" s="197">
        <f>IFERROR(__xludf.DUMMYFUNCTION("IMPORTRANGE(""https://docs.google.com/spreadsheets/d/1IYY_tgx_IHuhSq3AJ5eI5OnqOPBNLWSHKh2a30DoXe8/edit?usp=sharing"",""นครศรีธรรมราช!M247"")"),0.0)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IFERROR(__xludf.DUMMYFUNCTION("IMPORTRANGE(""https://docs.google.com/spreadsheets/d/1IYY_tgx_IHuhSq3AJ5eI5OnqOPBNLWSHKh2a30DoXe8/edit?usp=sharing"",""นครศรีธรรมราช!L248"")"),0.0)</f>
        <v>0</v>
      </c>
      <c r="M353" s="203"/>
      <c r="N353" s="203">
        <f>IFERROR(__xludf.DUMMYFUNCTION("IMPORTRANGE(""https://docs.google.com/spreadsheets/d/1IYY_tgx_IHuhSq3AJ5eI5OnqOPBNLWSHKh2a30DoXe8/edit?usp=sharing"",""นครศรีธรรมราช!M248"")"),0.0)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IFERROR(__xludf.DUMMYFUNCTION("IMPORTRANGE(""https://docs.google.com/spreadsheets/d/1IYY_tgx_IHuhSq3AJ5eI5OnqOPBNLWSHKh2a30DoXe8/edit?usp=sharing"",""นครศรีธรรมราช!L249"")"),0.0)</f>
        <v>0</v>
      </c>
      <c r="M354" s="203"/>
      <c r="N354" s="200">
        <f>IFERROR(__xludf.DUMMYFUNCTION("IMPORTRANGE(""https://docs.google.com/spreadsheets/d/1IYY_tgx_IHuhSq3AJ5eI5OnqOPBNLWSHKh2a30DoXe8/edit?usp=sharing"",""นครศรีธรรมราช!M249"")"),0.0)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IFERROR(__xludf.DUMMYFUNCTION("IMPORTRANGE(""https://docs.google.com/spreadsheets/d/1IYY_tgx_IHuhSq3AJ5eI5OnqOPBNLWSHKh2a30DoXe8/edit?usp=sharing"",""นครศรีธรรมราช!M250"")"),0.0)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IFERROR(__xludf.DUMMYFUNCTION("IMPORTRANGE(""https://docs.google.com/spreadsheets/d/1IYY_tgx_IHuhSq3AJ5eI5OnqOPBNLWSHKh2a30DoXe8/edit?usp=sharing"",""นครศรีธรรมราช!M251"")"),0.0)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IFERROR(__xludf.DUMMYFUNCTION("IMPORTRANGE(""https://docs.google.com/spreadsheets/d/1IYY_tgx_IHuhSq3AJ5eI5OnqOPBNLWSHKh2a30DoXe8/edit?usp=sharing"",""นครศรีธรรมราช!M252"")"),0.0)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IFERROR(__xludf.DUMMYFUNCTION("IMPORTRANGE(""https://docs.google.com/spreadsheets/d/1IYY_tgx_IHuhSq3AJ5eI5OnqOPBNLWSHKh2a30DoXe8/edit?usp=sharing"",""นครศรีธรรมราช!M253"")"),0.0)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IFERROR(__xludf.DUMMYFUNCTION("IMPORTRANGE(""https://docs.google.com/spreadsheets/d/1IYY_tgx_IHuhSq3AJ5eI5OnqOPBNLWSHKh2a30DoXe8/edit?usp=sharing"",""นครศรีธรรมราช!J255"")"),0.0)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IFERROR(__xludf.DUMMYFUNCTION("IMPORTRANGE(""https://docs.google.com/spreadsheets/d/1IYY_tgx_IHuhSq3AJ5eI5OnqOPBNLWSHKh2a30DoXe8/edit?usp=sharing"",""นครศรีธรรมราช!J256"")"),0.0)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IFERROR(__xludf.DUMMYFUNCTION("IMPORTRANGE(""https://docs.google.com/spreadsheets/d/1IYY_tgx_IHuhSq3AJ5eI5OnqOPBNLWSHKh2a30DoXe8/edit?usp=sharing"",""นครศรีธรรมราช!J257"")"),0.0)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IFERROR(__xludf.DUMMYFUNCTION("IMPORTRANGE(""https://docs.google.com/spreadsheets/d/1IYY_tgx_IHuhSq3AJ5eI5OnqOPBNLWSHKh2a30DoXe8/edit?usp=sharing"",""นครศรีธรรมราช!J258"")"),0.0)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IFERROR(__xludf.DUMMYFUNCTION("IMPORTRANGE(""https://docs.google.com/spreadsheets/d/1IYY_tgx_IHuhSq3AJ5eI5OnqOPBNLWSHKh2a30DoXe8/edit?usp=sharing"",""นครศรีธรรมราช!J166"")"),0.0)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IFERROR(__xludf.DUMMYFUNCTION("IMPORTRANGE(""https://docs.google.com/spreadsheets/d/1IYY_tgx_IHuhSq3AJ5eI5OnqOPBNLWSHKh2a30DoXe8/edit?usp=sharing"",""นครศรีธรรมราช!J166"")"),0.0)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IFERROR(__xludf.DUMMYFUNCTION("IMPORTRANGE(""https://docs.google.com/spreadsheets/d/1IYY_tgx_IHuhSq3AJ5eI5OnqOPBNLWSHKh2a30DoXe8/edit?usp=sharing"",""นครศรีธรรมราช!J166"")"),0.0)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IFERROR(__xludf.DUMMYFUNCTION("IMPORTRANGE(""https://docs.google.com/spreadsheets/d/1IYY_tgx_IHuhSq3AJ5eI5OnqOPBNLWSHKh2a30DoXe8/edit?usp=sharing"",""นครศรีธรรมราช!J166"")"),0.0)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IFERROR(__xludf.DUMMYFUNCTION("IMPORTRANGE(""https://docs.google.com/spreadsheets/d/1IYY_tgx_IHuhSq3AJ5eI5OnqOPBNLWSHKh2a30DoXe8/edit?usp=sharing"",""นครศรีธรรมราช!I263"")"),0.0)</f>
        <v>0</v>
      </c>
      <c r="J368" s="222">
        <f>IFERROR(__xludf.DUMMYFUNCTION("IMPORTRANGE(""https://docs.google.com/spreadsheets/d/1IYY_tgx_IHuhSq3AJ5eI5OnqOPBNLWSHKh2a30DoXe8/edit?usp=sharing"",""นครศรีธรรมราช!J263"")"),0.0)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IFERROR(__xludf.DUMMYFUNCTION("IMPORTRANGE(""https://docs.google.com/spreadsheets/d/1IYY_tgx_IHuhSq3AJ5eI5OnqOPBNLWSHKh2a30DoXe8/edit?usp=sharing"",""นครศรีธรรมราช!I164"")"),0.0)</f>
        <v>0</v>
      </c>
      <c r="J369" s="238">
        <f>IFERROR(__xludf.DUMMYFUNCTION("IMPORTRANGE(""https://docs.google.com/spreadsheets/d/1IYY_tgx_IHuhSq3AJ5eI5OnqOPBNLWSHKh2a30DoXe8/edit?usp=sharing"",""นครศรีธรรมราช!J164"")"),0.0)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IFERROR(__xludf.DUMMYFUNCTION("IMPORTRANGE(""https://docs.google.com/spreadsheets/d/1IYY_tgx_IHuhSq3AJ5eI5OnqOPBNLWSHKh2a30DoXe8/edit?usp=sharing"",""นครศรีธรรมราช!I265"")"),0.0)</f>
        <v>0</v>
      </c>
      <c r="J370" s="238">
        <f>IFERROR(__xludf.DUMMYFUNCTION("IMPORTRANGE(""https://docs.google.com/spreadsheets/d/1IYY_tgx_IHuhSq3AJ5eI5OnqOPBNLWSHKh2a30DoXe8/edit?usp=sharing"",""นครศรีธรรมราช!J265"")"),0.0)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IFERROR(__xludf.DUMMYFUNCTION("IMPORTRANGE(""https://docs.google.com/spreadsheets/d/1IYY_tgx_IHuhSq3AJ5eI5OnqOPBNLWSHKh2a30DoXe8/edit?usp=sharing"",""นครศรีธรรมราช!I164"")"),0.0)</f>
        <v>0</v>
      </c>
      <c r="J371" s="223">
        <f>IFERROR(__xludf.DUMMYFUNCTION("IMPORTRANGE(""https://docs.google.com/spreadsheets/d/1IYY_tgx_IHuhSq3AJ5eI5OnqOPBNLWSHKh2a30DoXe8/edit?usp=sharing"",""นครศรีธรรมราช!J164"")"),0.0)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IFERROR(__xludf.DUMMYFUNCTION("IMPORTRANGE(""https://docs.google.com/spreadsheets/d/1IYY_tgx_IHuhSq3AJ5eI5OnqOPBNLWSHKh2a30DoXe8/edit?usp=sharing"",""นครศรีธรรมราช!I267"")"),0.0)</f>
        <v>0</v>
      </c>
      <c r="J372" s="223">
        <f>IFERROR(__xludf.DUMMYFUNCTION("IMPORTRANGE(""https://docs.google.com/spreadsheets/d/1IYY_tgx_IHuhSq3AJ5eI5OnqOPBNLWSHKh2a30DoXe8/edit?usp=sharing"",""นครศรีธรรมราช!J267"")"),0.0)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IFERROR(__xludf.DUMMYFUNCTION("IMPORTRANGE(""https://docs.google.com/spreadsheets/d/1IYY_tgx_IHuhSq3AJ5eI5OnqOPBNLWSHKh2a30DoXe8/edit?usp=sharing"",""นครศรีธรรมราช!I164"")"),0.0)</f>
        <v>0</v>
      </c>
      <c r="J373" s="238">
        <f>IFERROR(__xludf.DUMMYFUNCTION("IMPORTRANGE(""https://docs.google.com/spreadsheets/d/1IYY_tgx_IHuhSq3AJ5eI5OnqOPBNLWSHKh2a30DoXe8/edit?usp=sharing"",""นครศรีธรรมราช!J164"")"),0.0)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IFERROR(__xludf.DUMMYFUNCTION("IMPORTRANGE(""https://docs.google.com/spreadsheets/d/1IYY_tgx_IHuhSq3AJ5eI5OnqOPBNLWSHKh2a30DoXe8/edit?usp=sharing"",""นครศรีธรรมราช!I164"")"),0.0)</f>
        <v>0</v>
      </c>
      <c r="J374" s="222">
        <f>IFERROR(__xludf.DUMMYFUNCTION("IMPORTRANGE(""https://docs.google.com/spreadsheets/d/1IYY_tgx_IHuhSq3AJ5eI5OnqOPBNLWSHKh2a30DoXe8/edit?usp=sharing"",""นครศรีธรรมราช!J164"")"),0.0)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IFERROR(__xludf.DUMMYFUNCTION("IMPORTRANGE(""https://docs.google.com/spreadsheets/d/1IYY_tgx_IHuhSq3AJ5eI5OnqOPBNLWSHKh2a30DoXe8/edit?usp=sharing"",""นครศรีธรรมราช!I270"")"),0.0)</f>
        <v>0</v>
      </c>
      <c r="J375" s="222">
        <f>IFERROR(__xludf.DUMMYFUNCTION("IMPORTRANGE(""https://docs.google.com/spreadsheets/d/1IYY_tgx_IHuhSq3AJ5eI5OnqOPBNLWSHKh2a30DoXe8/edit?usp=sharing"",""นครศรีธรรมราช!J270"")"),0.0)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IFERROR(__xludf.DUMMYFUNCTION("IMPORTRANGE(""https://docs.google.com/spreadsheets/d/1IYY_tgx_IHuhSq3AJ5eI5OnqOPBNLWSHKh2a30DoXe8/edit?usp=sharing"",""นครศรีธรรมราช!I271"")"),0.0)</f>
        <v>0</v>
      </c>
      <c r="J376" s="223">
        <f>IFERROR(__xludf.DUMMYFUNCTION("IMPORTRANGE(""https://docs.google.com/spreadsheets/d/1IYY_tgx_IHuhSq3AJ5eI5OnqOPBNLWSHKh2a30DoXe8/edit?usp=sharing"",""นครศรีธรรมราช!J271"")"),0.0)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IFERROR(__xludf.DUMMYFUNCTION("IMPORTRANGE(""https://docs.google.com/spreadsheets/d/1IYY_tgx_IHuhSq3AJ5eI5OnqOPBNLWSHKh2a30DoXe8/edit?usp=sharing"",""นครศรีธรรมราช!I272"")"),0.0)</f>
        <v>0</v>
      </c>
      <c r="J377" s="238">
        <f>IFERROR(__xludf.DUMMYFUNCTION("IMPORTRANGE(""https://docs.google.com/spreadsheets/d/1IYY_tgx_IHuhSq3AJ5eI5OnqOPBNLWSHKh2a30DoXe8/edit?usp=sharing"",""นครศรีธรรมราช!J272"")"),0.0)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IFERROR(__xludf.DUMMYFUNCTION("IMPORTRANGE(""https://docs.google.com/spreadsheets/d/1IYY_tgx_IHuhSq3AJ5eI5OnqOPBNLWSHKh2a30DoXe8/edit?usp=sharing"",""นครศรีธรรมราช!J273"")"),0.0)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IFERROR(__xludf.DUMMYFUNCTION("IMPORTRANGE(""https://docs.google.com/spreadsheets/d/1IYY_tgx_IHuhSq3AJ5eI5OnqOPBNLWSHKh2a30DoXe8/edit?usp=sharing"",""นครศรีธรรมราช!J274"")"),0.0)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IFERROR(__xludf.DUMMYFUNCTION("IMPORTRANGE(""https://docs.google.com/spreadsheets/d/1IYY_tgx_IHuhSq3AJ5eI5OnqOPBNLWSHKh2a30DoXe8/edit?usp=sharing"",""นครศรีธรรมราช!I275"")"),200.0)</f>
        <v>200</v>
      </c>
      <c r="J380" s="404">
        <f>IFERROR(__xludf.DUMMYFUNCTION("IMPORTRANGE(""https://docs.google.com/spreadsheets/d/1IYY_tgx_IHuhSq3AJ5eI5OnqOPBNLWSHKh2a30DoXe8/edit?usp=sharing"",""นครศรีธรรมราช!J275"")"),0.0)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IFERROR(__xludf.DUMMYFUNCTION("IMPORTRANGE(""https://docs.google.com/spreadsheets/d/1IYY_tgx_IHuhSq3AJ5eI5OnqOPBNLWSHKh2a30DoXe8/edit?usp=sharing"",""นครศรีธรรมราช!L275"")"),207560.0)</f>
        <v>207560</v>
      </c>
      <c r="M380" s="406"/>
      <c r="N380" s="406">
        <f>IFERROR(__xludf.DUMMYFUNCTION("IMPORTRANGE(""https://docs.google.com/spreadsheets/d/1IYY_tgx_IHuhSq3AJ5eI5OnqOPBNLWSHKh2a30DoXe8/edit?usp=sharing"",""นครศรีธรรมราช!M275"")"),1940.0)</f>
        <v>1940</v>
      </c>
      <c r="O380" s="406">
        <f>+IF(L380&gt;0,N380*100/L380,0)</f>
        <v>0.9346694932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IFERROR(__xludf.DUMMYFUNCTION("IMPORTRANGE(""https://docs.google.com/spreadsheets/d/1IYY_tgx_IHuhSq3AJ5eI5OnqOPBNLWSHKh2a30DoXe8/edit?usp=sharing"",""นครศรีธรรมราช!I276"")"),20.0)</f>
        <v>20</v>
      </c>
      <c r="J381" s="404">
        <f>IFERROR(__xludf.DUMMYFUNCTION("IMPORTRANGE(""https://docs.google.com/spreadsheets/d/1IYY_tgx_IHuhSq3AJ5eI5OnqOPBNLWSHKh2a30DoXe8/edit?usp=sharing"",""นครศรีธรรมราช!J276"")"),0.0)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IFERROR(__xludf.DUMMYFUNCTION("IMPORTRANGE(""https://docs.google.com/spreadsheets/d/1IYY_tgx_IHuhSq3AJ5eI5OnqOPBNLWSHKh2a30DoXe8/edit?usp=sharing"",""นครศรีธรรมราช!L277"")"),0.0)</f>
        <v>0</v>
      </c>
      <c r="M382" s="197"/>
      <c r="N382" s="197">
        <f>IFERROR(__xludf.DUMMYFUNCTION("IMPORTRANGE(""https://docs.google.com/spreadsheets/d/1IYY_tgx_IHuhSq3AJ5eI5OnqOPBNLWSHKh2a30DoXe8/edit?usp=sharing"",""นครศรีธรรมราช!M277"")"),0.0)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IFERROR(__xludf.DUMMYFUNCTION("IMPORTRANGE(""https://docs.google.com/spreadsheets/d/1IYY_tgx_IHuhSq3AJ5eI5OnqOPBNLWSHKh2a30DoXe8/edit?usp=sharing"",""นครศรีธรรมราช!L278"")"),207560.0)</f>
        <v>207560</v>
      </c>
      <c r="M383" s="198"/>
      <c r="N383" s="198">
        <f>IFERROR(__xludf.DUMMYFUNCTION("IMPORTRANGE(""https://docs.google.com/spreadsheets/d/1IYY_tgx_IHuhSq3AJ5eI5OnqOPBNLWSHKh2a30DoXe8/edit?usp=sharing"",""นครศรีธรรมราช!M278"")"),1940.0)</f>
        <v>1940</v>
      </c>
      <c r="O383" s="198">
        <f t="shared" si="110"/>
        <v>0.9346694932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IFERROR(__xludf.DUMMYFUNCTION("IMPORTRANGE(""https://docs.google.com/spreadsheets/d/1IYY_tgx_IHuhSq3AJ5eI5OnqOPBNLWSHKh2a30DoXe8/edit?usp=sharing"",""นครศรีธรรมราช!L279"")"),0.0)</f>
        <v>0</v>
      </c>
      <c r="M384" s="203"/>
      <c r="N384" s="203">
        <f>IFERROR(__xludf.DUMMYFUNCTION("IMPORTRANGE(""https://docs.google.com/spreadsheets/d/1IYY_tgx_IHuhSq3AJ5eI5OnqOPBNLWSHKh2a30DoXe8/edit?usp=sharing"",""นครศรีธรรมราช!M279"")"),0.0)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IFERROR(__xludf.DUMMYFUNCTION("IMPORTRANGE(""https://docs.google.com/spreadsheets/d/1IYY_tgx_IHuhSq3AJ5eI5OnqOPBNLWSHKh2a30DoXe8/edit?usp=sharing"",""นครศรีธรรมราช!L280"")"),207560.0)</f>
        <v>207560</v>
      </c>
      <c r="M385" s="203"/>
      <c r="N385" s="200">
        <f>IFERROR(__xludf.DUMMYFUNCTION("IMPORTRANGE(""https://docs.google.com/spreadsheets/d/1IYY_tgx_IHuhSq3AJ5eI5OnqOPBNLWSHKh2a30DoXe8/edit?usp=sharing"",""นครศรีธรรมราช!M280"")"),1940.0)</f>
        <v>1940</v>
      </c>
      <c r="O385" s="203">
        <f t="shared" si="110"/>
        <v>0.9346694932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IFERROR(__xludf.DUMMYFUNCTION("IMPORTRANGE(""https://docs.google.com/spreadsheets/d/1IYY_tgx_IHuhSq3AJ5eI5OnqOPBNLWSHKh2a30DoXe8/edit?usp=sharing"",""นครศรีธรรมราช!M281"")"),0.0)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IFERROR(__xludf.DUMMYFUNCTION("IMPORTRANGE(""https://docs.google.com/spreadsheets/d/1IYY_tgx_IHuhSq3AJ5eI5OnqOPBNLWSHKh2a30DoXe8/edit?usp=sharing"",""นครศรีธรรมราช!M282"")"),0.0)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IFERROR(__xludf.DUMMYFUNCTION("IMPORTRANGE(""https://docs.google.com/spreadsheets/d/1IYY_tgx_IHuhSq3AJ5eI5OnqOPBNLWSHKh2a30DoXe8/edit?usp=sharing"",""นครศรีธรรมราช!M283"")"),0.0)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IFERROR(__xludf.DUMMYFUNCTION("IMPORTRANGE(""https://docs.google.com/spreadsheets/d/1IYY_tgx_IHuhSq3AJ5eI5OnqOPBNLWSHKh2a30DoXe8/edit?usp=sharing"",""นครศรีธรรมราช!M284"")"),1940.0)</f>
        <v>1940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IFERROR(__xludf.DUMMYFUNCTION("IMPORTRANGE(""https://docs.google.com/spreadsheets/d/1IYY_tgx_IHuhSq3AJ5eI5OnqOPBNLWSHKh2a30DoXe8/edit?usp=sharing"",""นครศรีธรรมราช!J286"")"),0.0)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IFERROR(__xludf.DUMMYFUNCTION("IMPORTRANGE(""https://docs.google.com/spreadsheets/d/1IYY_tgx_IHuhSq3AJ5eI5OnqOPBNLWSHKh2a30DoXe8/edit?usp=sharing"",""นครศรีธรรมราช!J287"")"),1.0)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IFERROR(__xludf.DUMMYFUNCTION("IMPORTRANGE(""https://docs.google.com/spreadsheets/d/1IYY_tgx_IHuhSq3AJ5eI5OnqOPBNLWSHKh2a30DoXe8/edit?usp=sharing"",""นครศรีธรรมราช!J288"")"),1.0)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IFERROR(__xludf.DUMMYFUNCTION("IMPORTRANGE(""https://docs.google.com/spreadsheets/d/1IYY_tgx_IHuhSq3AJ5eI5OnqOPBNLWSHKh2a30DoXe8/edit?usp=sharing"",""นครศรีธรรมราช!J289"")"),1.0)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IFERROR(__xludf.DUMMYFUNCTION("IMPORTRANGE(""https://docs.google.com/spreadsheets/d/1IYY_tgx_IHuhSq3AJ5eI5OnqOPBNLWSHKh2a30DoXe8/edit?usp=sharing"",""นครศรีธรรมราช!I291"")"),20.0)</f>
        <v>20</v>
      </c>
      <c r="J396" s="232">
        <f>IFERROR(__xludf.DUMMYFUNCTION("IMPORTRANGE(""https://docs.google.com/spreadsheets/d/1IYY_tgx_IHuhSq3AJ5eI5OnqOPBNLWSHKh2a30DoXe8/edit?usp=sharing"",""นครศรีธรรมราช!J291"")"),0.0)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IFERROR(__xludf.DUMMYFUNCTION("IMPORTRANGE(""https://docs.google.com/spreadsheets/d/1IYY_tgx_IHuhSq3AJ5eI5OnqOPBNLWSHKh2a30DoXe8/edit?usp=sharing"",""นครศรีธรรมราช!I292"")"),200.0)</f>
        <v>200</v>
      </c>
      <c r="J397" s="232">
        <f>IFERROR(__xludf.DUMMYFUNCTION("IMPORTRANGE(""https://docs.google.com/spreadsheets/d/1IYY_tgx_IHuhSq3AJ5eI5OnqOPBNLWSHKh2a30DoXe8/edit?usp=sharing"",""นครศรีธรรมราช!J292"")"),0.0)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IFERROR(__xludf.DUMMYFUNCTION("IMPORTRANGE(""https://docs.google.com/spreadsheets/d/1IYY_tgx_IHuhSq3AJ5eI5OnqOPBNLWSHKh2a30DoXe8/edit?usp=sharing"",""นครศรีธรรมราช!I293"")"),20.0)</f>
        <v>20</v>
      </c>
      <c r="J398" s="232">
        <f>IFERROR(__xludf.DUMMYFUNCTION("IMPORTRANGE(""https://docs.google.com/spreadsheets/d/1IYY_tgx_IHuhSq3AJ5eI5OnqOPBNLWSHKh2a30DoXe8/edit?usp=sharing"",""นครศรีธรรมราช!J293"")"),0.0)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IFERROR(__xludf.DUMMYFUNCTION("IMPORTRANGE(""https://docs.google.com/spreadsheets/d/1IYY_tgx_IHuhSq3AJ5eI5OnqOPBNLWSHKh2a30DoXe8/edit?usp=sharing"",""นครศรีธรรมราช!J294"")"),0.0)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IFERROR(__xludf.DUMMYFUNCTION("IMPORTRANGE(""https://docs.google.com/spreadsheets/d/1IYY_tgx_IHuhSq3AJ5eI5OnqOPBNLWSHKh2a30DoXe8/edit?usp=sharing"",""นครศรีธรรมราช!J295"")"),0.0)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IFERROR(__xludf.DUMMYFUNCTION("IMPORTRANGE(""https://docs.google.com/spreadsheets/d/1IYY_tgx_IHuhSq3AJ5eI5OnqOPBNLWSHKh2a30DoXe8/edit?usp=sharing"",""นครศรีธรรมราช!I296"")"),120.0)</f>
        <v>120</v>
      </c>
      <c r="J401" s="404">
        <f>IFERROR(__xludf.DUMMYFUNCTION("IMPORTRANGE(""https://docs.google.com/spreadsheets/d/1IYY_tgx_IHuhSq3AJ5eI5OnqOPBNLWSHKh2a30DoXe8/edit?usp=sharing"",""นครศรีธรรมราช!J296"")"),0.0)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IFERROR(__xludf.DUMMYFUNCTION("IMPORTRANGE(""https://docs.google.com/spreadsheets/d/1IYY_tgx_IHuhSq3AJ5eI5OnqOPBNLWSHKh2a30DoXe8/edit?usp=sharing"",""นครศรีธรรมราช!L296"")"),114760.0)</f>
        <v>114760</v>
      </c>
      <c r="M401" s="406"/>
      <c r="N401" s="406">
        <f>IFERROR(__xludf.DUMMYFUNCTION("IMPORTRANGE(""https://docs.google.com/spreadsheets/d/1IYY_tgx_IHuhSq3AJ5eI5OnqOPBNLWSHKh2a30DoXe8/edit?usp=sharing"",""นครศรีธรรมราช!M296"")"),1520.0)</f>
        <v>1520</v>
      </c>
      <c r="O401" s="406">
        <f>+IF(L401&gt;0,N401*100/L401,0)</f>
        <v>1.324503311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IFERROR(__xludf.DUMMYFUNCTION("IMPORTRANGE(""https://docs.google.com/spreadsheets/d/1IYY_tgx_IHuhSq3AJ5eI5OnqOPBNLWSHKh2a30DoXe8/edit?usp=sharing"",""นครศรีธรรมราช!I297"")"),40.0)</f>
        <v>40</v>
      </c>
      <c r="J402" s="404">
        <f>IFERROR(__xludf.DUMMYFUNCTION("IMPORTRANGE(""https://docs.google.com/spreadsheets/d/1IYY_tgx_IHuhSq3AJ5eI5OnqOPBNLWSHKh2a30DoXe8/edit?usp=sharing"",""นครศรีธรรมราช!J297"")"),0.0)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IFERROR(__xludf.DUMMYFUNCTION("IMPORTRANGE(""https://docs.google.com/spreadsheets/d/1IYY_tgx_IHuhSq3AJ5eI5OnqOPBNLWSHKh2a30DoXe8/edit?usp=sharing"",""นครศรีธรรมราช!L298"")"),0.0)</f>
        <v>0</v>
      </c>
      <c r="M403" s="197"/>
      <c r="N403" s="203">
        <f>IFERROR(__xludf.DUMMYFUNCTION("IMPORTRANGE(""https://docs.google.com/spreadsheets/d/1IYY_tgx_IHuhSq3AJ5eI5OnqOPBNLWSHKh2a30DoXe8/edit?usp=sharing"",""นครศรีธรรมราช!M298"")"),0.0)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IFERROR(__xludf.DUMMYFUNCTION("IMPORTRANGE(""https://docs.google.com/spreadsheets/d/1IYY_tgx_IHuhSq3AJ5eI5OnqOPBNLWSHKh2a30DoXe8/edit?usp=sharing"",""นครศรีธรรมราช!L299"")"),114760.0)</f>
        <v>114760</v>
      </c>
      <c r="M404" s="198"/>
      <c r="N404" s="203">
        <f>IFERROR(__xludf.DUMMYFUNCTION("IMPORTRANGE(""https://docs.google.com/spreadsheets/d/1IYY_tgx_IHuhSq3AJ5eI5OnqOPBNLWSHKh2a30DoXe8/edit?usp=sharing"",""นครศรีธรรมราช!M299"")"),1520.0)</f>
        <v>1520</v>
      </c>
      <c r="O404" s="203">
        <f t="shared" si="113"/>
        <v>1.324503311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IFERROR(__xludf.DUMMYFUNCTION("IMPORTRANGE(""https://docs.google.com/spreadsheets/d/1IYY_tgx_IHuhSq3AJ5eI5OnqOPBNLWSHKh2a30DoXe8/edit?usp=sharing"",""นครศรีธรรมราช!L300"")"),0.0)</f>
        <v>0</v>
      </c>
      <c r="M405" s="203"/>
      <c r="N405" s="203">
        <f>IFERROR(__xludf.DUMMYFUNCTION("IMPORTRANGE(""https://docs.google.com/spreadsheets/d/1IYY_tgx_IHuhSq3AJ5eI5OnqOPBNLWSHKh2a30DoXe8/edit?usp=sharing"",""นครศรีธรรมราช!M300"")"),0.0)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IFERROR(__xludf.DUMMYFUNCTION("IMPORTRANGE(""https://docs.google.com/spreadsheets/d/1IYY_tgx_IHuhSq3AJ5eI5OnqOPBNLWSHKh2a30DoXe8/edit?usp=sharing"",""นครศรีธรรมราช!L301"")"),114760.0)</f>
        <v>114760</v>
      </c>
      <c r="M406" s="203"/>
      <c r="N406" s="203">
        <f>IFERROR(__xludf.DUMMYFUNCTION("IMPORTRANGE(""https://docs.google.com/spreadsheets/d/1IYY_tgx_IHuhSq3AJ5eI5OnqOPBNLWSHKh2a30DoXe8/edit?usp=sharing"",""นครศรีธรรมราช!M301"")"),1520.0)</f>
        <v>1520</v>
      </c>
      <c r="O406" s="203">
        <f t="shared" si="113"/>
        <v>1.324503311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IFERROR(__xludf.DUMMYFUNCTION("IMPORTRANGE(""https://docs.google.com/spreadsheets/d/1IYY_tgx_IHuhSq3AJ5eI5OnqOPBNLWSHKh2a30DoXe8/edit?usp=sharing"",""นครศรีธรรมราช!M302"")"),0.0)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IFERROR(__xludf.DUMMYFUNCTION("IMPORTRANGE(""https://docs.google.com/spreadsheets/d/1IYY_tgx_IHuhSq3AJ5eI5OnqOPBNLWSHKh2a30DoXe8/edit?usp=sharing"",""นครศรีธรรมราช!M303"")"),0.0)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IFERROR(__xludf.DUMMYFUNCTION("IMPORTRANGE(""https://docs.google.com/spreadsheets/d/1IYY_tgx_IHuhSq3AJ5eI5OnqOPBNLWSHKh2a30DoXe8/edit?usp=sharing"",""นครศรีธรรมราช!M304"")"),0.0)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IFERROR(__xludf.DUMMYFUNCTION("IMPORTRANGE(""https://docs.google.com/spreadsheets/d/1IYY_tgx_IHuhSq3AJ5eI5OnqOPBNLWSHKh2a30DoXe8/edit?usp=sharing"",""นครศรีธรรมราช!M305"")"),1520.0)</f>
        <v>1520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IFERROR(__xludf.DUMMYFUNCTION("IMPORTRANGE(""https://docs.google.com/spreadsheets/d/1IYY_tgx_IHuhSq3AJ5eI5OnqOPBNLWSHKh2a30DoXe8/edit?usp=sharing"",""นครศรีธรรมราช!J307"")"),0.0)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IFERROR(__xludf.DUMMYFUNCTION("IMPORTRANGE(""https://docs.google.com/spreadsheets/d/1IYY_tgx_IHuhSq3AJ5eI5OnqOPBNLWSHKh2a30DoXe8/edit?usp=sharing"",""นครศรีธรรมราช!J308"")"),1.0)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IFERROR(__xludf.DUMMYFUNCTION("IMPORTRANGE(""https://docs.google.com/spreadsheets/d/1IYY_tgx_IHuhSq3AJ5eI5OnqOPBNLWSHKh2a30DoXe8/edit?usp=sharing"",""นครศรีธรรมราช!J309"")"),1.0)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IFERROR(__xludf.DUMMYFUNCTION("IMPORTRANGE(""https://docs.google.com/spreadsheets/d/1IYY_tgx_IHuhSq3AJ5eI5OnqOPBNLWSHKh2a30DoXe8/edit?usp=sharing"",""นครศรีธรรมราช!J310"")"),1.0)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IFERROR(__xludf.DUMMYFUNCTION("IMPORTRANGE(""https://docs.google.com/spreadsheets/d/1IYY_tgx_IHuhSq3AJ5eI5OnqOPBNLWSHKh2a30DoXe8/edit?usp=sharing"",""นครศรีธรรมราช!I311"")"),40.0)</f>
        <v>40</v>
      </c>
      <c r="J416" s="235">
        <f>IFERROR(__xludf.DUMMYFUNCTION("IMPORTRANGE(""https://docs.google.com/spreadsheets/d/1IYY_tgx_IHuhSq3AJ5eI5OnqOPBNLWSHKh2a30DoXe8/edit?usp=sharing"",""นครศรีธรรมราช!J311"")"),0.0)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IFERROR(__xludf.DUMMYFUNCTION("IMPORTRANGE(""https://docs.google.com/spreadsheets/d/1IYY_tgx_IHuhSq3AJ5eI5OnqOPBNLWSHKh2a30DoXe8/edit?usp=sharing"",""นครศรีธรรมราช!I312"")"),0.0)</f>
        <v>0</v>
      </c>
      <c r="J417" s="425">
        <f>IFERROR(__xludf.DUMMYFUNCTION("IMPORTRANGE(""https://docs.google.com/spreadsheets/d/1IYY_tgx_IHuhSq3AJ5eI5OnqOPBNLWSHKh2a30DoXe8/edit?usp=sharing"",""นครศรีธรรมราช!J312"")"),0.0)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IFERROR(__xludf.DUMMYFUNCTION("IMPORTRANGE(""https://docs.google.com/spreadsheets/d/1IYY_tgx_IHuhSq3AJ5eI5OnqOPBNLWSHKh2a30DoXe8/edit?usp=sharing"",""นครศรีธรรมราช!I313"")"),0.0)</f>
        <v>0</v>
      </c>
      <c r="J418" s="426">
        <f>IFERROR(__xludf.DUMMYFUNCTION("IMPORTRANGE(""https://docs.google.com/spreadsheets/d/1IYY_tgx_IHuhSq3AJ5eI5OnqOPBNLWSHKh2a30DoXe8/edit?usp=sharing"",""นครศรีธรรมราช!J313"")"),0.0)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IFERROR(__xludf.DUMMYFUNCTION("IMPORTRANGE(""https://docs.google.com/spreadsheets/d/1IYY_tgx_IHuhSq3AJ5eI5OnqOPBNLWSHKh2a30DoXe8/edit?usp=sharing"",""นครศรีธรรมราช!I314"")"),0.0)</f>
        <v>0</v>
      </c>
      <c r="J419" s="427">
        <f>IFERROR(__xludf.DUMMYFUNCTION("IMPORTRANGE(""https://docs.google.com/spreadsheets/d/1IYY_tgx_IHuhSq3AJ5eI5OnqOPBNLWSHKh2a30DoXe8/edit?usp=sharing"",""นครศรีธรรมราช!J314"")"),0.0)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IFERROR(__xludf.DUMMYFUNCTION("IMPORTRANGE(""https://docs.google.com/spreadsheets/d/1IYY_tgx_IHuhSq3AJ5eI5OnqOPBNLWSHKh2a30DoXe8/edit?usp=sharing"",""นครศรีธรรมราช!I315"")"),0.0)</f>
        <v>0</v>
      </c>
      <c r="J420" s="427">
        <f>IFERROR(__xludf.DUMMYFUNCTION("IMPORTRANGE(""https://docs.google.com/spreadsheets/d/1IYY_tgx_IHuhSq3AJ5eI5OnqOPBNLWSHKh2a30DoXe8/edit?usp=sharing"",""นครศรีธรรมราช!J315"")"),0.0)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IFERROR(__xludf.DUMMYFUNCTION("IMPORTRANGE(""https://docs.google.com/spreadsheets/d/1IYY_tgx_IHuhSq3AJ5eI5OnqOPBNLWSHKh2a30DoXe8/edit?usp=sharing"",""นครศรีธรรมราช!I316"")"),20.0)</f>
        <v>20</v>
      </c>
      <c r="J421" s="425">
        <f>IFERROR(__xludf.DUMMYFUNCTION("IMPORTRANGE(""https://docs.google.com/spreadsheets/d/1IYY_tgx_IHuhSq3AJ5eI5OnqOPBNLWSHKh2a30DoXe8/edit?usp=sharing"",""นครศรีธรรมราช!J316"")"),0.0)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IFERROR(__xludf.DUMMYFUNCTION("IMPORTRANGE(""https://docs.google.com/spreadsheets/d/1IYY_tgx_IHuhSq3AJ5eI5OnqOPBNLWSHKh2a30DoXe8/edit?usp=sharing"",""นครศรีธรรมราช!I317"")"),60.0)</f>
        <v>60</v>
      </c>
      <c r="J422" s="426">
        <f>IFERROR(__xludf.DUMMYFUNCTION("IMPORTRANGE(""https://docs.google.com/spreadsheets/d/1IYY_tgx_IHuhSq3AJ5eI5OnqOPBNLWSHKh2a30DoXe8/edit?usp=sharing"",""นครศรีธรรมราช!J317"")"),0.0)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IFERROR(__xludf.DUMMYFUNCTION("IMPORTRANGE(""https://docs.google.com/spreadsheets/d/1IYY_tgx_IHuhSq3AJ5eI5OnqOPBNLWSHKh2a30DoXe8/edit?usp=sharing"",""นครศรีธรรมราช!I318"")"),20.0)</f>
        <v>20</v>
      </c>
      <c r="J423" s="427">
        <f>IFERROR(__xludf.DUMMYFUNCTION("IMPORTRANGE(""https://docs.google.com/spreadsheets/d/1IYY_tgx_IHuhSq3AJ5eI5OnqOPBNLWSHKh2a30DoXe8/edit?usp=sharing"",""นครศรีธรรมราช!J318"")"),0.0)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IFERROR(__xludf.DUMMYFUNCTION("IMPORTRANGE(""https://docs.google.com/spreadsheets/d/1IYY_tgx_IHuhSq3AJ5eI5OnqOPBNLWSHKh2a30DoXe8/edit?usp=sharing"",""นครศรีธรรมราช!I319"")"),20.0)</f>
        <v>20</v>
      </c>
      <c r="J424" s="427">
        <f>IFERROR(__xludf.DUMMYFUNCTION("IMPORTRANGE(""https://docs.google.com/spreadsheets/d/1IYY_tgx_IHuhSq3AJ5eI5OnqOPBNLWSHKh2a30DoXe8/edit?usp=sharing"",""นครศรีธรรมราช!J319"")"),0.0)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IFERROR(__xludf.DUMMYFUNCTION("IMPORTRANGE(""https://docs.google.com/spreadsheets/d/1IYY_tgx_IHuhSq3AJ5eI5OnqOPBNLWSHKh2a30DoXe8/edit?usp=sharing"",""นครศรีธรรมราช!I320"")"),20.0)</f>
        <v>20</v>
      </c>
      <c r="J425" s="427">
        <f>IFERROR(__xludf.DUMMYFUNCTION("IMPORTRANGE(""https://docs.google.com/spreadsheets/d/1IYY_tgx_IHuhSq3AJ5eI5OnqOPBNLWSHKh2a30DoXe8/edit?usp=sharing"",""นครศรีธรรมราช!J320"")"),0.0)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IFERROR(__xludf.DUMMYFUNCTION("IMPORTRANGE(""https://docs.google.com/spreadsheets/d/1IYY_tgx_IHuhSq3AJ5eI5OnqOPBNLWSHKh2a30DoXe8/edit?usp=sharing"",""นครศรีธรรมราช!I321"")"),20.0)</f>
        <v>20</v>
      </c>
      <c r="J426" s="425">
        <f>IFERROR(__xludf.DUMMYFUNCTION("IMPORTRANGE(""https://docs.google.com/spreadsheets/d/1IYY_tgx_IHuhSq3AJ5eI5OnqOPBNLWSHKh2a30DoXe8/edit?usp=sharing"",""นครศรีธรรมราช!J321"")"),0.0)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IFERROR(__xludf.DUMMYFUNCTION("IMPORTRANGE(""https://docs.google.com/spreadsheets/d/1IYY_tgx_IHuhSq3AJ5eI5OnqOPBNLWSHKh2a30DoXe8/edit?usp=sharing"",""นครศรีธรรมราช!I322"")"),60.0)</f>
        <v>60</v>
      </c>
      <c r="J427" s="426">
        <f>IFERROR(__xludf.DUMMYFUNCTION("IMPORTRANGE(""https://docs.google.com/spreadsheets/d/1IYY_tgx_IHuhSq3AJ5eI5OnqOPBNLWSHKh2a30DoXe8/edit?usp=sharing"",""นครศรีธรรมราช!J322"")"),0.0)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IFERROR(__xludf.DUMMYFUNCTION("IMPORTRANGE(""https://docs.google.com/spreadsheets/d/1IYY_tgx_IHuhSq3AJ5eI5OnqOPBNLWSHKh2a30DoXe8/edit?usp=sharing"",""นครศรีธรรมราช!I323"")"),20.0)</f>
        <v>20</v>
      </c>
      <c r="J428" s="427">
        <f>IFERROR(__xludf.DUMMYFUNCTION("IMPORTRANGE(""https://docs.google.com/spreadsheets/d/1IYY_tgx_IHuhSq3AJ5eI5OnqOPBNLWSHKh2a30DoXe8/edit?usp=sharing"",""นครศรีธรรมราช!J323"")"),0.0)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IFERROR(__xludf.DUMMYFUNCTION("IMPORTRANGE(""https://docs.google.com/spreadsheets/d/1IYY_tgx_IHuhSq3AJ5eI5OnqOPBNLWSHKh2a30DoXe8/edit?usp=sharing"",""นครศรีธรรมราช!I324"")"),20.0)</f>
        <v>20</v>
      </c>
      <c r="J429" s="427">
        <f>IFERROR(__xludf.DUMMYFUNCTION("IMPORTRANGE(""https://docs.google.com/spreadsheets/d/1IYY_tgx_IHuhSq3AJ5eI5OnqOPBNLWSHKh2a30DoXe8/edit?usp=sharing"",""นครศรีธรรมราช!J324"")"),0.0)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IFERROR(__xludf.DUMMYFUNCTION("IMPORTRANGE(""https://docs.google.com/spreadsheets/d/1IYY_tgx_IHuhSq3AJ5eI5OnqOPBNLWSHKh2a30DoXe8/edit?usp=sharing"",""นครศรีธรรมราช!I325"")"),20.0)</f>
        <v>20</v>
      </c>
      <c r="J430" s="425">
        <f>IFERROR(__xludf.DUMMYFUNCTION("IMPORTRANGE(""https://docs.google.com/spreadsheets/d/1IYY_tgx_IHuhSq3AJ5eI5OnqOPBNLWSHKh2a30DoXe8/edit?usp=sharing"",""นครศรีธรรมราช!J325"")"),0.0)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IFERROR(__xludf.DUMMYFUNCTION("IMPORTRANGE(""https://docs.google.com/spreadsheets/d/1IYY_tgx_IHuhSq3AJ5eI5OnqOPBNLWSHKh2a30DoXe8/edit?usp=sharing"",""นครศรีธรรมราช!I326"")"),0.0)</f>
        <v>0</v>
      </c>
      <c r="J431" s="427">
        <f>IFERROR(__xludf.DUMMYFUNCTION("IMPORTRANGE(""https://docs.google.com/spreadsheets/d/1IYY_tgx_IHuhSq3AJ5eI5OnqOPBNLWSHKh2a30DoXe8/edit?usp=sharing"",""นครศรีธรรมราช!J326"")"),0.0)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IFERROR(__xludf.DUMMYFUNCTION("IMPORTRANGE(""https://docs.google.com/spreadsheets/d/1IYY_tgx_IHuhSq3AJ5eI5OnqOPBNLWSHKh2a30DoXe8/edit?usp=sharing"",""นครศรีธรรมราช!I327"")"),20.0)</f>
        <v>20</v>
      </c>
      <c r="J432" s="427">
        <f>IFERROR(__xludf.DUMMYFUNCTION("IMPORTRANGE(""https://docs.google.com/spreadsheets/d/1IYY_tgx_IHuhSq3AJ5eI5OnqOPBNLWSHKh2a30DoXe8/edit?usp=sharing"",""นครศรีธรรมราช!J327"")"),0.0)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IFERROR(__xludf.DUMMYFUNCTION("IMPORTRANGE(""https://docs.google.com/spreadsheets/d/1IYY_tgx_IHuhSq3AJ5eI5OnqOPBNLWSHKh2a30DoXe8/edit?usp=sharing"",""นครศรีธรรมราช!J328"")"),0.0)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IFERROR(__xludf.DUMMYFUNCTION("IMPORTRANGE(""https://docs.google.com/spreadsheets/d/1IYY_tgx_IHuhSq3AJ5eI5OnqOPBNLWSHKh2a30DoXe8/edit?usp=sharing"",""นครศรีธรรมราช!J329"")"),0.0)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IFERROR(__xludf.DUMMYFUNCTION("IMPORTRANGE(""https://docs.google.com/spreadsheets/d/1IYY_tgx_IHuhSq3AJ5eI5OnqOPBNLWSHKh2a30DoXe8/edit?usp=sharing"",""นครศรีธรรมราช!I330"")"),15.0)</f>
        <v>15</v>
      </c>
      <c r="J435" s="443">
        <f>IFERROR(__xludf.DUMMYFUNCTION("IMPORTRANGE(""https://docs.google.com/spreadsheets/d/1IYY_tgx_IHuhSq3AJ5eI5OnqOPBNLWSHKh2a30DoXe8/edit?usp=sharing"",""นครศรีธรรมราช!J330"")"),15.0)</f>
        <v>15</v>
      </c>
      <c r="K435" s="444">
        <f>IF(I435&gt;0,J435*100/I435,0)</f>
        <v>100</v>
      </c>
      <c r="L435" s="445">
        <f>IFERROR(__xludf.DUMMYFUNCTION("IMPORTRANGE(""https://docs.google.com/spreadsheets/d/1IYY_tgx_IHuhSq3AJ5eI5OnqOPBNLWSHKh2a30DoXe8/edit?usp=sharing"",""นครศรีธรรมราช!L330"")"),83000.0)</f>
        <v>83000</v>
      </c>
      <c r="M435" s="445"/>
      <c r="N435" s="445">
        <f>IFERROR(__xludf.DUMMYFUNCTION("IMPORTRANGE(""https://docs.google.com/spreadsheets/d/1IYY_tgx_IHuhSq3AJ5eI5OnqOPBNLWSHKh2a30DoXe8/edit?usp=sharing"",""นครศรีธรรมราช!M330"")"),11613.0)</f>
        <v>11613</v>
      </c>
      <c r="O435" s="445">
        <f t="shared" ref="O435:O439" si="115">+IF(L435&gt;0,N435*100/L435,0)</f>
        <v>13.99156627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IFERROR(__xludf.DUMMYFUNCTION("IMPORTRANGE(""https://docs.google.com/spreadsheets/d/1IYY_tgx_IHuhSq3AJ5eI5OnqOPBNLWSHKh2a30DoXe8/edit?usp=sharing"",""นครศรีธรรมราช!L331"")"),0.0)</f>
        <v>0</v>
      </c>
      <c r="M436" s="197"/>
      <c r="N436" s="203">
        <f>IFERROR(__xludf.DUMMYFUNCTION("IMPORTRANGE(""https://docs.google.com/spreadsheets/d/1IYY_tgx_IHuhSq3AJ5eI5OnqOPBNLWSHKh2a30DoXe8/edit?usp=sharing"",""นครศรีธรรมราช!M331"")"),0.0)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IFERROR(__xludf.DUMMYFUNCTION("IMPORTRANGE(""https://docs.google.com/spreadsheets/d/1IYY_tgx_IHuhSq3AJ5eI5OnqOPBNLWSHKh2a30DoXe8/edit?usp=sharing"",""นครศรีธรรมราช!L332"")"),83000.0)</f>
        <v>83000</v>
      </c>
      <c r="M437" s="198"/>
      <c r="N437" s="203">
        <f>IFERROR(__xludf.DUMMYFUNCTION("IMPORTRANGE(""https://docs.google.com/spreadsheets/d/1IYY_tgx_IHuhSq3AJ5eI5OnqOPBNLWSHKh2a30DoXe8/edit?usp=sharing"",""นครศรีธรรมราช!M332"")"),11613.0)</f>
        <v>11613</v>
      </c>
      <c r="O437" s="203">
        <f t="shared" si="115"/>
        <v>13.99156627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IFERROR(__xludf.DUMMYFUNCTION("IMPORTRANGE(""https://docs.google.com/spreadsheets/d/1IYY_tgx_IHuhSq3AJ5eI5OnqOPBNLWSHKh2a30DoXe8/edit?usp=sharing"",""นครศรีธรรมราช!L333"")"),0.0)</f>
        <v>0</v>
      </c>
      <c r="M438" s="203"/>
      <c r="N438" s="203">
        <f>IFERROR(__xludf.DUMMYFUNCTION("IMPORTRANGE(""https://docs.google.com/spreadsheets/d/1IYY_tgx_IHuhSq3AJ5eI5OnqOPBNLWSHKh2a30DoXe8/edit?usp=sharing"",""นครศรีธรรมราช!M333"")"),0.0)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IFERROR(__xludf.DUMMYFUNCTION("IMPORTRANGE(""https://docs.google.com/spreadsheets/d/1IYY_tgx_IHuhSq3AJ5eI5OnqOPBNLWSHKh2a30DoXe8/edit?usp=sharing"",""นครศรีธรรมราช!L334"")"),83000.0)</f>
        <v>83000</v>
      </c>
      <c r="M439" s="203"/>
      <c r="N439" s="203">
        <f>IFERROR(__xludf.DUMMYFUNCTION("IMPORTRANGE(""https://docs.google.com/spreadsheets/d/1IYY_tgx_IHuhSq3AJ5eI5OnqOPBNLWSHKh2a30DoXe8/edit?usp=sharing"",""นครศรีธรรมราช!M334"")"),11613.0)</f>
        <v>11613</v>
      </c>
      <c r="O439" s="203">
        <f t="shared" si="115"/>
        <v>13.99156627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IFERROR(__xludf.DUMMYFUNCTION("IMPORTRANGE(""https://docs.google.com/spreadsheets/d/1IYY_tgx_IHuhSq3AJ5eI5OnqOPBNLWSHKh2a30DoXe8/edit?usp=sharing"",""นครศรีธรรมราช!M335"")"),11613.0)</f>
        <v>11613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IFERROR(__xludf.DUMMYFUNCTION("IMPORTRANGE(""https://docs.google.com/spreadsheets/d/1IYY_tgx_IHuhSq3AJ5eI5OnqOPBNLWSHKh2a30DoXe8/edit?usp=sharing"",""นครศรีธรรมราช!M336"")"),0.0)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IFERROR(__xludf.DUMMYFUNCTION("IMPORTRANGE(""https://docs.google.com/spreadsheets/d/1IYY_tgx_IHuhSq3AJ5eI5OnqOPBNLWSHKh2a30DoXe8/edit?usp=sharing"",""นครศรีธรรมราช!M337"")"),0.0)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IFERROR(__xludf.DUMMYFUNCTION("IMPORTRANGE(""https://docs.google.com/spreadsheets/d/1IYY_tgx_IHuhSq3AJ5eI5OnqOPBNLWSHKh2a30DoXe8/edit?usp=sharing"",""นครศรีธรรมราช!M338"")"),0.0)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IFERROR(__xludf.DUMMYFUNCTION("IMPORTRANGE(""https://docs.google.com/spreadsheets/d/1IYY_tgx_IHuhSq3AJ5eI5OnqOPBNLWSHKh2a30DoXe8/edit?usp=sharing"",""นครศรีธรรมราช!J340"")"),0.0)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IFERROR(__xludf.DUMMYFUNCTION("IMPORTRANGE(""https://docs.google.com/spreadsheets/d/1IYY_tgx_IHuhSq3AJ5eI5OnqOPBNLWSHKh2a30DoXe8/edit?usp=sharing"",""นครศรีธรรมราช!J341"")"),1.0)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IFERROR(__xludf.DUMMYFUNCTION("IMPORTRANGE(""https://docs.google.com/spreadsheets/d/1IYY_tgx_IHuhSq3AJ5eI5OnqOPBNLWSHKh2a30DoXe8/edit?usp=sharing"",""นครศรีธรรมราช!J342"")"),1.0)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IFERROR(__xludf.DUMMYFUNCTION("IMPORTRANGE(""https://docs.google.com/spreadsheets/d/1IYY_tgx_IHuhSq3AJ5eI5OnqOPBNLWSHKh2a30DoXe8/edit?usp=sharing"",""นครศรีธรรมราช!J343"")"),1.0)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IFERROR(__xludf.DUMMYFUNCTION("IMPORTRANGE(""https://docs.google.com/spreadsheets/d/1IYY_tgx_IHuhSq3AJ5eI5OnqOPBNLWSHKh2a30DoXe8/edit?usp=sharing"",""นครศรีธรรมราช!I344"")"),15.0)</f>
        <v>15</v>
      </c>
      <c r="J449" s="235">
        <f>IFERROR(__xludf.DUMMYFUNCTION("IMPORTRANGE(""https://docs.google.com/spreadsheets/d/1IYY_tgx_IHuhSq3AJ5eI5OnqOPBNLWSHKh2a30DoXe8/edit?usp=sharing"",""นครศรีธรรมราช!J344"")"),15.0)</f>
        <v>15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IFERROR(__xludf.DUMMYFUNCTION("IMPORTRANGE(""https://docs.google.com/spreadsheets/d/1IYY_tgx_IHuhSq3AJ5eI5OnqOPBNLWSHKh2a30DoXe8/edit?usp=sharing"",""นครศรีธรรมราช!I345"")"),15.0)</f>
        <v>15</v>
      </c>
      <c r="J450" s="223">
        <f>IFERROR(__xludf.DUMMYFUNCTION("IMPORTRANGE(""https://docs.google.com/spreadsheets/d/1IYY_tgx_IHuhSq3AJ5eI5OnqOPBNLWSHKh2a30DoXe8/edit?usp=sharing"",""นครศรีธรรมราช!J345"")"),15.0)</f>
        <v>15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IFERROR(__xludf.DUMMYFUNCTION("IMPORTRANGE(""https://docs.google.com/spreadsheets/d/1IYY_tgx_IHuhSq3AJ5eI5OnqOPBNLWSHKh2a30DoXe8/edit?usp=sharing"",""นครศรีธรรมราช!I346"")"),0.0)</f>
        <v>0</v>
      </c>
      <c r="J451" s="222">
        <f>IFERROR(__xludf.DUMMYFUNCTION("IMPORTRANGE(""https://docs.google.com/spreadsheets/d/1IYY_tgx_IHuhSq3AJ5eI5OnqOPBNLWSHKh2a30DoXe8/edit?usp=sharing"",""นครศรีธรรมราช!J346"")"),0.0)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IFERROR(__xludf.DUMMYFUNCTION("IMPORTRANGE(""https://docs.google.com/spreadsheets/d/1IYY_tgx_IHuhSq3AJ5eI5OnqOPBNLWSHKh2a30DoXe8/edit?usp=sharing"",""นครศรีธรรมราช!I347"")"),0.0)</f>
        <v>0</v>
      </c>
      <c r="J452" s="222">
        <f>IFERROR(__xludf.DUMMYFUNCTION("IMPORTRANGE(""https://docs.google.com/spreadsheets/d/1IYY_tgx_IHuhSq3AJ5eI5OnqOPBNLWSHKh2a30DoXe8/edit?usp=sharing"",""นครศรีธรรมราช!J347"")"),0.0)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IFERROR(__xludf.DUMMYFUNCTION("IMPORTRANGE(""https://docs.google.com/spreadsheets/d/1IYY_tgx_IHuhSq3AJ5eI5OnqOPBNLWSHKh2a30DoXe8/edit?usp=sharing"",""นครศรีธรรมราช!J348"")"),0.0)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IFERROR(__xludf.DUMMYFUNCTION("IMPORTRANGE(""https://docs.google.com/spreadsheets/d/1IYY_tgx_IHuhSq3AJ5eI5OnqOPBNLWSHKh2a30DoXe8/edit?usp=sharing"",""นครศรีธรรมราช!J349"")"),0.0)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IFERROR(__xludf.DUMMYFUNCTION("IMPORTRANGE(""https://docs.google.com/spreadsheets/d/1IYY_tgx_IHuhSq3AJ5eI5OnqOPBNLWSHKh2a30DoXe8/edit?usp=sharing"",""นครศรีธรรมราช!I350"")"),46627.0)</f>
        <v>46627</v>
      </c>
      <c r="J455" s="404">
        <f>IFERROR(__xludf.DUMMYFUNCTION("IMPORTRANGE(""https://docs.google.com/spreadsheets/d/1IYY_tgx_IHuhSq3AJ5eI5OnqOPBNLWSHKh2a30DoXe8/edit?usp=sharing"",""นครศรีธรรมราช!J350"")"),0.0)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IFERROR(__xludf.DUMMYFUNCTION("IMPORTRANGE(""https://docs.google.com/spreadsheets/d/1IYY_tgx_IHuhSq3AJ5eI5OnqOPBNLWSHKh2a30DoXe8/edit?usp=sharing"",""นครศรีธรรมราช!L350"")"),452204.0)</f>
        <v>452204</v>
      </c>
      <c r="M455" s="406"/>
      <c r="N455" s="406">
        <f>IFERROR(__xludf.DUMMYFUNCTION("IMPORTRANGE(""https://docs.google.com/spreadsheets/d/1IYY_tgx_IHuhSq3AJ5eI5OnqOPBNLWSHKh2a30DoXe8/edit?usp=sharing"",""นครศรีธรรมราช!M350"")"),53293.87)</f>
        <v>53293.87</v>
      </c>
      <c r="O455" s="406">
        <f t="shared" ref="O455:O459" si="117">+IF(L455&gt;0,N455*100/L455,0)</f>
        <v>11.78536015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IFERROR(__xludf.DUMMYFUNCTION("IMPORTRANGE(""https://docs.google.com/spreadsheets/d/1IYY_tgx_IHuhSq3AJ5eI5OnqOPBNLWSHKh2a30DoXe8/edit?usp=sharing"",""นครศรีธรรมราช!L351"")"),0.0)</f>
        <v>0</v>
      </c>
      <c r="M456" s="197"/>
      <c r="N456" s="203">
        <f>IFERROR(__xludf.DUMMYFUNCTION("IMPORTRANGE(""https://docs.google.com/spreadsheets/d/1IYY_tgx_IHuhSq3AJ5eI5OnqOPBNLWSHKh2a30DoXe8/edit?usp=sharing"",""นครศรีธรรมราช!M351"")"),0.0)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IFERROR(__xludf.DUMMYFUNCTION("IMPORTRANGE(""https://docs.google.com/spreadsheets/d/1IYY_tgx_IHuhSq3AJ5eI5OnqOPBNLWSHKh2a30DoXe8/edit?usp=sharing"",""นครศรีธรรมราช!L352"")"),452204.0)</f>
        <v>452204</v>
      </c>
      <c r="M457" s="198"/>
      <c r="N457" s="203">
        <f>IFERROR(__xludf.DUMMYFUNCTION("IMPORTRANGE(""https://docs.google.com/spreadsheets/d/1IYY_tgx_IHuhSq3AJ5eI5OnqOPBNLWSHKh2a30DoXe8/edit?usp=sharing"",""นครศรีธรรมราช!M352"")"),53293.87)</f>
        <v>53293.87</v>
      </c>
      <c r="O457" s="203">
        <f t="shared" si="117"/>
        <v>11.78536015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IFERROR(__xludf.DUMMYFUNCTION("IMPORTRANGE(""https://docs.google.com/spreadsheets/d/1IYY_tgx_IHuhSq3AJ5eI5OnqOPBNLWSHKh2a30DoXe8/edit?usp=sharing"",""นครศรีธรรมราช!L353"")"),0.0)</f>
        <v>0</v>
      </c>
      <c r="M458" s="203"/>
      <c r="N458" s="203">
        <f>IFERROR(__xludf.DUMMYFUNCTION("IMPORTRANGE(""https://docs.google.com/spreadsheets/d/1IYY_tgx_IHuhSq3AJ5eI5OnqOPBNLWSHKh2a30DoXe8/edit?usp=sharing"",""นครศรีธรรมราช!M353"")"),0.0)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IFERROR(__xludf.DUMMYFUNCTION("IMPORTRANGE(""https://docs.google.com/spreadsheets/d/1IYY_tgx_IHuhSq3AJ5eI5OnqOPBNLWSHKh2a30DoXe8/edit?usp=sharing"",""นครศรีธรรมราช!L354"")"),452204.0)</f>
        <v>452204</v>
      </c>
      <c r="M459" s="203"/>
      <c r="N459" s="203">
        <f>IFERROR(__xludf.DUMMYFUNCTION("IMPORTRANGE(""https://docs.google.com/spreadsheets/d/1IYY_tgx_IHuhSq3AJ5eI5OnqOPBNLWSHKh2a30DoXe8/edit?usp=sharing"",""นครศรีธรรมราช!M354"")"),53293.87)</f>
        <v>53293.87</v>
      </c>
      <c r="O459" s="203">
        <f t="shared" si="117"/>
        <v>11.78536015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IFERROR(__xludf.DUMMYFUNCTION("IMPORTRANGE(""https://docs.google.com/spreadsheets/d/1IYY_tgx_IHuhSq3AJ5eI5OnqOPBNLWSHKh2a30DoXe8/edit?usp=sharing"",""นครศรีธรรมราช!M355"")"),0.0)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IFERROR(__xludf.DUMMYFUNCTION("IMPORTRANGE(""https://docs.google.com/spreadsheets/d/1IYY_tgx_IHuhSq3AJ5eI5OnqOPBNLWSHKh2a30DoXe8/edit?usp=sharing"",""นครศรีธรรมราช!M356"")"),0.0)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IFERROR(__xludf.DUMMYFUNCTION("IMPORTRANGE(""https://docs.google.com/spreadsheets/d/1IYY_tgx_IHuhSq3AJ5eI5OnqOPBNLWSHKh2a30DoXe8/edit?usp=sharing"",""นครศรีธรรมราช!M357"")"),24483.870000000003)</f>
        <v>24483.87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IFERROR(__xludf.DUMMYFUNCTION("IMPORTRANGE(""https://docs.google.com/spreadsheets/d/1IYY_tgx_IHuhSq3AJ5eI5OnqOPBNLWSHKh2a30DoXe8/edit?usp=sharing"",""นครศรีธรรมราช!M358"")"),28810.0)</f>
        <v>28810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IFERROR(__xludf.DUMMYFUNCTION("IMPORTRANGE(""https://docs.google.com/spreadsheets/d/1IYY_tgx_IHuhSq3AJ5eI5OnqOPBNLWSHKh2a30DoXe8/edit?usp=sharing"",""นครศรีธรรมราช!I359"")"),46627.0)</f>
        <v>46627</v>
      </c>
      <c r="J464" s="301">
        <f>IFERROR(__xludf.DUMMYFUNCTION("IMPORTRANGE(""https://docs.google.com/spreadsheets/d/1IYY_tgx_IHuhSq3AJ5eI5OnqOPBNLWSHKh2a30DoXe8/edit?usp=sharing"",""นครศรีธรรมราช!J359"")"),0.0)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IFERROR(__xludf.DUMMYFUNCTION("IMPORTRANGE(""https://docs.google.com/spreadsheets/d/1IYY_tgx_IHuhSq3AJ5eI5OnqOPBNLWSHKh2a30DoXe8/edit?usp=sharing"",""นครศรีธรรมราช!I360"")"),46627.0)</f>
        <v>46627</v>
      </c>
      <c r="J465" s="453">
        <f>IFERROR(__xludf.DUMMYFUNCTION("IMPORTRANGE(""https://docs.google.com/spreadsheets/d/1IYY_tgx_IHuhSq3AJ5eI5OnqOPBNLWSHKh2a30DoXe8/edit?usp=sharing"",""นครศรีธรรมราช!J360"")"),4678.0)</f>
        <v>4678</v>
      </c>
      <c r="K465" s="236">
        <f t="shared" si="118"/>
        <v>10.03281361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IFERROR(__xludf.DUMMYFUNCTION("IMPORTRANGE(""https://docs.google.com/spreadsheets/d/1IYY_tgx_IHuhSq3AJ5eI5OnqOPBNLWSHKh2a30DoXe8/edit?usp=sharing"",""นครศรีธรรมราช!I361"")"),6576.0)</f>
        <v>6576</v>
      </c>
      <c r="J466" s="453">
        <f>IFERROR(__xludf.DUMMYFUNCTION("IMPORTRANGE(""https://docs.google.com/spreadsheets/d/1IYY_tgx_IHuhSq3AJ5eI5OnqOPBNLWSHKh2a30DoXe8/edit?usp=sharing"",""นครศรีธรรมราช!J361"")"),542.0)</f>
        <v>542</v>
      </c>
      <c r="K466" s="236">
        <f t="shared" si="118"/>
        <v>8.242092457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IFERROR(__xludf.DUMMYFUNCTION("IMPORTRANGE(""https://docs.google.com/spreadsheets/d/1IYY_tgx_IHuhSq3AJ5eI5OnqOPBNLWSHKh2a30DoXe8/edit?usp=sharing"",""นครศรีธรรมราช!I362"")"),0.0)</f>
        <v>0</v>
      </c>
      <c r="J467" s="223">
        <f>IFERROR(__xludf.DUMMYFUNCTION("IMPORTRANGE(""https://docs.google.com/spreadsheets/d/1IYY_tgx_IHuhSq3AJ5eI5OnqOPBNLWSHKh2a30DoXe8/edit?usp=sharing"",""นครศรีธรรมราช!J362"")"),4191.0)</f>
        <v>4191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IFERROR(__xludf.DUMMYFUNCTION("IMPORTRANGE(""https://docs.google.com/spreadsheets/d/1IYY_tgx_IHuhSq3AJ5eI5OnqOPBNLWSHKh2a30DoXe8/edit?usp=sharing"",""นครศรีธรรมราช!I363"")"),0.0)</f>
        <v>0</v>
      </c>
      <c r="J468" s="223">
        <f>IFERROR(__xludf.DUMMYFUNCTION("IMPORTRANGE(""https://docs.google.com/spreadsheets/d/1IYY_tgx_IHuhSq3AJ5eI5OnqOPBNLWSHKh2a30DoXe8/edit?usp=sharing"",""นครศรีธรรมราช!J363"")"),490.0)</f>
        <v>490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IFERROR(__xludf.DUMMYFUNCTION("IMPORTRANGE(""https://docs.google.com/spreadsheets/d/1IYY_tgx_IHuhSq3AJ5eI5OnqOPBNLWSHKh2a30DoXe8/edit?usp=sharing"",""นครศรีธรรมราช!I364"")"),0.0)</f>
        <v>0</v>
      </c>
      <c r="J469" s="223">
        <f>IFERROR(__xludf.DUMMYFUNCTION("IMPORTRANGE(""https://docs.google.com/spreadsheets/d/1IYY_tgx_IHuhSq3AJ5eI5OnqOPBNLWSHKh2a30DoXe8/edit?usp=sharing"",""นครศรีธรรมราช!J364"")"),206.0)</f>
        <v>206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IFERROR(__xludf.DUMMYFUNCTION("IMPORTRANGE(""https://docs.google.com/spreadsheets/d/1IYY_tgx_IHuhSq3AJ5eI5OnqOPBNLWSHKh2a30DoXe8/edit?usp=sharing"",""นครศรีธรรมราช!I365"")"),0.0)</f>
        <v>0</v>
      </c>
      <c r="J470" s="223">
        <f>IFERROR(__xludf.DUMMYFUNCTION("IMPORTRANGE(""https://docs.google.com/spreadsheets/d/1IYY_tgx_IHuhSq3AJ5eI5OnqOPBNLWSHKh2a30DoXe8/edit?usp=sharing"",""นครศรีธรรมราช!J365"")"),26.0)</f>
        <v>26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IFERROR(__xludf.DUMMYFUNCTION("IMPORTRANGE(""https://docs.google.com/spreadsheets/d/1IYY_tgx_IHuhSq3AJ5eI5OnqOPBNLWSHKh2a30DoXe8/edit?usp=sharing"",""นครศรีธรรมราช!I366"")"),0.0)</f>
        <v>0</v>
      </c>
      <c r="J471" s="223">
        <f>IFERROR(__xludf.DUMMYFUNCTION("IMPORTRANGE(""https://docs.google.com/spreadsheets/d/1IYY_tgx_IHuhSq3AJ5eI5OnqOPBNLWSHKh2a30DoXe8/edit?usp=sharing"",""นครศรีธรรมราช!J366"")"),281.0)</f>
        <v>281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IFERROR(__xludf.DUMMYFUNCTION("IMPORTRANGE(""https://docs.google.com/spreadsheets/d/1IYY_tgx_IHuhSq3AJ5eI5OnqOPBNLWSHKh2a30DoXe8/edit?usp=sharing"",""นครศรีธรรมราช!I367"")"),0.0)</f>
        <v>0</v>
      </c>
      <c r="J472" s="223">
        <f>IFERROR(__xludf.DUMMYFUNCTION("IMPORTRANGE(""https://docs.google.com/spreadsheets/d/1IYY_tgx_IHuhSq3AJ5eI5OnqOPBNLWSHKh2a30DoXe8/edit?usp=sharing"",""นครศรีธรรมราช!J367"")"),26.0)</f>
        <v>26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IFERROR(__xludf.DUMMYFUNCTION("IMPORTRANGE(""https://docs.google.com/spreadsheets/d/1IYY_tgx_IHuhSq3AJ5eI5OnqOPBNLWSHKh2a30DoXe8/edit?usp=sharing"",""นครศรีธรรมราช!I368"")"),46627.0)</f>
        <v>46627</v>
      </c>
      <c r="J473" s="453">
        <f>IFERROR(__xludf.DUMMYFUNCTION("IMPORTRANGE(""https://docs.google.com/spreadsheets/d/1IYY_tgx_IHuhSq3AJ5eI5OnqOPBNLWSHKh2a30DoXe8/edit?usp=sharing"",""นครศรีธรรมราช!J368"")"),0.0)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IFERROR(__xludf.DUMMYFUNCTION("IMPORTRANGE(""https://docs.google.com/spreadsheets/d/1IYY_tgx_IHuhSq3AJ5eI5OnqOPBNLWSHKh2a30DoXe8/edit?usp=sharing"",""นครศรีธรรมราช!I369"")"),6576.0)</f>
        <v>6576</v>
      </c>
      <c r="J474" s="453">
        <f>IFERROR(__xludf.DUMMYFUNCTION("IMPORTRANGE(""https://docs.google.com/spreadsheets/d/1IYY_tgx_IHuhSq3AJ5eI5OnqOPBNLWSHKh2a30DoXe8/edit?usp=sharing"",""นครศรีธรรมราช!J369"")"),0.0)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IFERROR(__xludf.DUMMYFUNCTION("IMPORTRANGE(""https://docs.google.com/spreadsheets/d/1IYY_tgx_IHuhSq3AJ5eI5OnqOPBNLWSHKh2a30DoXe8/edit?usp=sharing"",""นครศรีธรรมราช!I370"")"),0.0)</f>
        <v>0</v>
      </c>
      <c r="J475" s="223">
        <f>IFERROR(__xludf.DUMMYFUNCTION("IMPORTRANGE(""https://docs.google.com/spreadsheets/d/1IYY_tgx_IHuhSq3AJ5eI5OnqOPBNLWSHKh2a30DoXe8/edit?usp=sharing"",""นครศรีธรรมราช!J370"")"),0.0)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IFERROR(__xludf.DUMMYFUNCTION("IMPORTRANGE(""https://docs.google.com/spreadsheets/d/1IYY_tgx_IHuhSq3AJ5eI5OnqOPBNLWSHKh2a30DoXe8/edit?usp=sharing"",""นครศรีธรรมราช!I371"")"),0.0)</f>
        <v>0</v>
      </c>
      <c r="J476" s="223">
        <f>IFERROR(__xludf.DUMMYFUNCTION("IMPORTRANGE(""https://docs.google.com/spreadsheets/d/1IYY_tgx_IHuhSq3AJ5eI5OnqOPBNLWSHKh2a30DoXe8/edit?usp=sharing"",""นครศรีธรรมราช!J371"")"),0.0)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IFERROR(__xludf.DUMMYFUNCTION("IMPORTRANGE(""https://docs.google.com/spreadsheets/d/1IYY_tgx_IHuhSq3AJ5eI5OnqOPBNLWSHKh2a30DoXe8/edit?usp=sharing"",""นครศรีธรรมราช!I372"")"),0.0)</f>
        <v>0</v>
      </c>
      <c r="J477" s="223">
        <f>IFERROR(__xludf.DUMMYFUNCTION("IMPORTRANGE(""https://docs.google.com/spreadsheets/d/1IYY_tgx_IHuhSq3AJ5eI5OnqOPBNLWSHKh2a30DoXe8/edit?usp=sharing"",""นครศรีธรรมราช!J372"")"),0.0)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IFERROR(__xludf.DUMMYFUNCTION("IMPORTRANGE(""https://docs.google.com/spreadsheets/d/1IYY_tgx_IHuhSq3AJ5eI5OnqOPBNLWSHKh2a30DoXe8/edit?usp=sharing"",""นครศรีธรรมราช!I373"")"),0.0)</f>
        <v>0</v>
      </c>
      <c r="J478" s="223">
        <f>IFERROR(__xludf.DUMMYFUNCTION("IMPORTRANGE(""https://docs.google.com/spreadsheets/d/1IYY_tgx_IHuhSq3AJ5eI5OnqOPBNLWSHKh2a30DoXe8/edit?usp=sharing"",""นครศรีธรรมราช!J373"")"),0.0)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IFERROR(__xludf.DUMMYFUNCTION("IMPORTRANGE(""https://docs.google.com/spreadsheets/d/1IYY_tgx_IHuhSq3AJ5eI5OnqOPBNLWSHKh2a30DoXe8/edit?usp=sharing"",""นครศรีธรรมราช!I374"")"),0.0)</f>
        <v>0</v>
      </c>
      <c r="J479" s="223">
        <f>IFERROR(__xludf.DUMMYFUNCTION("IMPORTRANGE(""https://docs.google.com/spreadsheets/d/1IYY_tgx_IHuhSq3AJ5eI5OnqOPBNLWSHKh2a30DoXe8/edit?usp=sharing"",""นครศรีธรรมราช!J374"")"),0.0)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IFERROR(__xludf.DUMMYFUNCTION("IMPORTRANGE(""https://docs.google.com/spreadsheets/d/1IYY_tgx_IHuhSq3AJ5eI5OnqOPBNLWSHKh2a30DoXe8/edit?usp=sharing"",""นครศรีธรรมราช!I375"")"),0.0)</f>
        <v>0</v>
      </c>
      <c r="J480" s="223">
        <f>IFERROR(__xludf.DUMMYFUNCTION("IMPORTRANGE(""https://docs.google.com/spreadsheets/d/1IYY_tgx_IHuhSq3AJ5eI5OnqOPBNLWSHKh2a30DoXe8/edit?usp=sharing"",""นครศรีธรรมราช!J375"")"),0.0)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IFERROR(__xludf.DUMMYFUNCTION("IMPORTRANGE(""https://docs.google.com/spreadsheets/d/1IYY_tgx_IHuhSq3AJ5eI5OnqOPBNLWSHKh2a30DoXe8/edit?usp=sharing"",""นครศรีธรรมราช!I376"")"),46627.0)</f>
        <v>46627</v>
      </c>
      <c r="J481" s="453">
        <f>IFERROR(__xludf.DUMMYFUNCTION("IMPORTRANGE(""https://docs.google.com/spreadsheets/d/1IYY_tgx_IHuhSq3AJ5eI5OnqOPBNLWSHKh2a30DoXe8/edit?usp=sharing"",""นครศรีธรรมราช!J376"")"),0.0)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IFERROR(__xludf.DUMMYFUNCTION("IMPORTRANGE(""https://docs.google.com/spreadsheets/d/1IYY_tgx_IHuhSq3AJ5eI5OnqOPBNLWSHKh2a30DoXe8/edit?usp=sharing"",""นครศรีธรรมราช!I377"")"),6576.0)</f>
        <v>6576</v>
      </c>
      <c r="J482" s="453">
        <f>IFERROR(__xludf.DUMMYFUNCTION("IMPORTRANGE(""https://docs.google.com/spreadsheets/d/1IYY_tgx_IHuhSq3AJ5eI5OnqOPBNLWSHKh2a30DoXe8/edit?usp=sharing"",""นครศรีธรรมราช!J377"")"),0.0)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IFERROR(__xludf.DUMMYFUNCTION("IMPORTRANGE(""https://docs.google.com/spreadsheets/d/1IYY_tgx_IHuhSq3AJ5eI5OnqOPBNLWSHKh2a30DoXe8/edit?usp=sharing"",""นครศรีธรรมราช!I378"")"),0.0)</f>
        <v>0</v>
      </c>
      <c r="J483" s="223">
        <f>IFERROR(__xludf.DUMMYFUNCTION("IMPORTRANGE(""https://docs.google.com/spreadsheets/d/1IYY_tgx_IHuhSq3AJ5eI5OnqOPBNLWSHKh2a30DoXe8/edit?usp=sharing"",""นครศรีธรรมราช!J378"")"),0.0)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IFERROR(__xludf.DUMMYFUNCTION("IMPORTRANGE(""https://docs.google.com/spreadsheets/d/1IYY_tgx_IHuhSq3AJ5eI5OnqOPBNLWSHKh2a30DoXe8/edit?usp=sharing"",""นครศรีธรรมราช!I379"")"),0.0)</f>
        <v>0</v>
      </c>
      <c r="J484" s="223">
        <f>IFERROR(__xludf.DUMMYFUNCTION("IMPORTRANGE(""https://docs.google.com/spreadsheets/d/1IYY_tgx_IHuhSq3AJ5eI5OnqOPBNLWSHKh2a30DoXe8/edit?usp=sharing"",""นครศรีธรรมราช!J379"")"),0.0)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IFERROR(__xludf.DUMMYFUNCTION("IMPORTRANGE(""https://docs.google.com/spreadsheets/d/1IYY_tgx_IHuhSq3AJ5eI5OnqOPBNLWSHKh2a30DoXe8/edit?usp=sharing"",""นครศรีธรรมราช!I380"")"),0.0)</f>
        <v>0</v>
      </c>
      <c r="J485" s="223">
        <f>IFERROR(__xludf.DUMMYFUNCTION("IMPORTRANGE(""https://docs.google.com/spreadsheets/d/1IYY_tgx_IHuhSq3AJ5eI5OnqOPBNLWSHKh2a30DoXe8/edit?usp=sharing"",""นครศรีธรรมราช!J380"")"),0.0)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IFERROR(__xludf.DUMMYFUNCTION("IMPORTRANGE(""https://docs.google.com/spreadsheets/d/1IYY_tgx_IHuhSq3AJ5eI5OnqOPBNLWSHKh2a30DoXe8/edit?usp=sharing"",""นครศรีธรรมราช!I381"")"),0.0)</f>
        <v>0</v>
      </c>
      <c r="J486" s="223">
        <f>IFERROR(__xludf.DUMMYFUNCTION("IMPORTRANGE(""https://docs.google.com/spreadsheets/d/1IYY_tgx_IHuhSq3AJ5eI5OnqOPBNLWSHKh2a30DoXe8/edit?usp=sharing"",""นครศรีธรรมราช!J381"")"),0.0)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IFERROR(__xludf.DUMMYFUNCTION("IMPORTRANGE(""https://docs.google.com/spreadsheets/d/1IYY_tgx_IHuhSq3AJ5eI5OnqOPBNLWSHKh2a30DoXe8/edit?usp=sharing"",""นครศรีธรรมราช!I382"")"),0.0)</f>
        <v>0</v>
      </c>
      <c r="J487" s="453">
        <f>IFERROR(__xludf.DUMMYFUNCTION("IMPORTRANGE(""https://docs.google.com/spreadsheets/d/1IYY_tgx_IHuhSq3AJ5eI5OnqOPBNLWSHKh2a30DoXe8/edit?usp=sharing"",""นครศรีธรรมราช!J382"")"),0.0)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IFERROR(__xludf.DUMMYFUNCTION("IMPORTRANGE(""https://docs.google.com/spreadsheets/d/1IYY_tgx_IHuhSq3AJ5eI5OnqOPBNLWSHKh2a30DoXe8/edit?usp=sharing"",""นครศรีธรรมราช!I383"")"),0.0)</f>
        <v>0</v>
      </c>
      <c r="J488" s="453">
        <f>IFERROR(__xludf.DUMMYFUNCTION("IMPORTRANGE(""https://docs.google.com/spreadsheets/d/1IYY_tgx_IHuhSq3AJ5eI5OnqOPBNLWSHKh2a30DoXe8/edit?usp=sharing"",""นครศรีธรรมราช!J383"")"),0.0)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IFERROR(__xludf.DUMMYFUNCTION("IMPORTRANGE(""https://docs.google.com/spreadsheets/d/1IYY_tgx_IHuhSq3AJ5eI5OnqOPBNLWSHKh2a30DoXe8/edit?usp=sharing"",""นครศรีธรรมราช!I384"")"),0.0)</f>
        <v>0</v>
      </c>
      <c r="J489" s="223">
        <f>IFERROR(__xludf.DUMMYFUNCTION("IMPORTRANGE(""https://docs.google.com/spreadsheets/d/1IYY_tgx_IHuhSq3AJ5eI5OnqOPBNLWSHKh2a30DoXe8/edit?usp=sharing"",""นครศรีธรรมราช!J384"")"),0.0)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IFERROR(__xludf.DUMMYFUNCTION("IMPORTRANGE(""https://docs.google.com/spreadsheets/d/1IYY_tgx_IHuhSq3AJ5eI5OnqOPBNLWSHKh2a30DoXe8/edit?usp=sharing"",""นครศรีธรรมราช!I385"")"),0.0)</f>
        <v>0</v>
      </c>
      <c r="J490" s="223">
        <f>IFERROR(__xludf.DUMMYFUNCTION("IMPORTRANGE(""https://docs.google.com/spreadsheets/d/1IYY_tgx_IHuhSq3AJ5eI5OnqOPBNLWSHKh2a30DoXe8/edit?usp=sharing"",""นครศรีธรรมราช!J385"")"),0.0)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IFERROR(__xludf.DUMMYFUNCTION("IMPORTRANGE(""https://docs.google.com/spreadsheets/d/1IYY_tgx_IHuhSq3AJ5eI5OnqOPBNLWSHKh2a30DoXe8/edit?usp=sharing"",""นครศรีธรรมราช!I386"")"),0.0)</f>
        <v>0</v>
      </c>
      <c r="J491" s="223">
        <f>IFERROR(__xludf.DUMMYFUNCTION("IMPORTRANGE(""https://docs.google.com/spreadsheets/d/1IYY_tgx_IHuhSq3AJ5eI5OnqOPBNLWSHKh2a30DoXe8/edit?usp=sharing"",""นครศรีธรรมราช!J386"")"),0.0)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IFERROR(__xludf.DUMMYFUNCTION("IMPORTRANGE(""https://docs.google.com/spreadsheets/d/1IYY_tgx_IHuhSq3AJ5eI5OnqOPBNLWSHKh2a30DoXe8/edit?usp=sharing"",""นครศรีธรรมราช!I387"")"),0.0)</f>
        <v>0</v>
      </c>
      <c r="J492" s="223">
        <f>IFERROR(__xludf.DUMMYFUNCTION("IMPORTRANGE(""https://docs.google.com/spreadsheets/d/1IYY_tgx_IHuhSq3AJ5eI5OnqOPBNLWSHKh2a30DoXe8/edit?usp=sharing"",""นครศรีธรรมราช!J387"")"),0.0)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IFERROR(__xludf.DUMMYFUNCTION("IMPORTRANGE(""https://docs.google.com/spreadsheets/d/1IYY_tgx_IHuhSq3AJ5eI5OnqOPBNLWSHKh2a30DoXe8/edit?usp=sharing"",""นครศรีธรรมราช!I388"")"),0.0)</f>
        <v>0</v>
      </c>
      <c r="J493" s="223">
        <f>IFERROR(__xludf.DUMMYFUNCTION("IMPORTRANGE(""https://docs.google.com/spreadsheets/d/1IYY_tgx_IHuhSq3AJ5eI5OnqOPBNLWSHKh2a30DoXe8/edit?usp=sharing"",""นครศรีธรรมราช!J388"")"),0.0)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IFERROR(__xludf.DUMMYFUNCTION("IMPORTRANGE(""https://docs.google.com/spreadsheets/d/1IYY_tgx_IHuhSq3AJ5eI5OnqOPBNLWSHKh2a30DoXe8/edit?usp=sharing"",""นครศรีธรรมราช!I389"")"),0.0)</f>
        <v>0</v>
      </c>
      <c r="J494" s="469">
        <f>IFERROR(__xludf.DUMMYFUNCTION("IMPORTRANGE(""https://docs.google.com/spreadsheets/d/1IYY_tgx_IHuhSq3AJ5eI5OnqOPBNLWSHKh2a30DoXe8/edit?usp=sharing"",""นครศรีธรรมราช!J389"")"),0.0)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IFERROR(__xludf.DUMMYFUNCTION("IMPORTRANGE(""https://docs.google.com/spreadsheets/d/1IYY_tgx_IHuhSq3AJ5eI5OnqOPBNLWSHKh2a30DoXe8/edit?usp=sharing"",""นครศรีธรรมราช!I390"")"),0.0)</f>
        <v>0</v>
      </c>
      <c r="J495" s="469">
        <f>IFERROR(__xludf.DUMMYFUNCTION("IMPORTRANGE(""https://docs.google.com/spreadsheets/d/1IYY_tgx_IHuhSq3AJ5eI5OnqOPBNLWSHKh2a30DoXe8/edit?usp=sharing"",""นครศรีธรรมราช!J390"")"),0.0)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IFERROR(__xludf.DUMMYFUNCTION("IMPORTRANGE(""https://docs.google.com/spreadsheets/d/1IYY_tgx_IHuhSq3AJ5eI5OnqOPBNLWSHKh2a30DoXe8/edit?usp=sharing"",""นครศรีธรรมราช!I391"")"),0.0)</f>
        <v>0</v>
      </c>
      <c r="J496" s="469">
        <f>IFERROR(__xludf.DUMMYFUNCTION("IMPORTRANGE(""https://docs.google.com/spreadsheets/d/1IYY_tgx_IHuhSq3AJ5eI5OnqOPBNLWSHKh2a30DoXe8/edit?usp=sharing"",""นครศรีธรรมราช!J391"")"),0.0)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IFERROR(__xludf.DUMMYFUNCTION("IMPORTRANGE(""https://docs.google.com/spreadsheets/d/1IYY_tgx_IHuhSq3AJ5eI5OnqOPBNLWSHKh2a30DoXe8/edit?usp=sharing"",""นครศรีธรรมราช!I392"")"),0.0)</f>
        <v>0</v>
      </c>
      <c r="J497" s="476">
        <f>IFERROR(__xludf.DUMMYFUNCTION("IMPORTRANGE(""https://docs.google.com/spreadsheets/d/1IYY_tgx_IHuhSq3AJ5eI5OnqOPBNLWSHKh2a30DoXe8/edit?usp=sharing"",""นครศรีธรรมราช!J392"")"),0.0)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IFERROR(__xludf.DUMMYFUNCTION("IMPORTRANGE(""https://docs.google.com/spreadsheets/d/1IYY_tgx_IHuhSq3AJ5eI5OnqOPBNLWSHKh2a30DoXe8/edit?usp=sharing"",""นครศรีธรรมราช!I393"")"),0.0)</f>
        <v>0</v>
      </c>
      <c r="J498" s="453">
        <f>IFERROR(__xludf.DUMMYFUNCTION("IMPORTRANGE(""https://docs.google.com/spreadsheets/d/1IYY_tgx_IHuhSq3AJ5eI5OnqOPBNLWSHKh2a30DoXe8/edit?usp=sharing"",""นครศรีธรรมราช!J393"")"),0.0)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IFERROR(__xludf.DUMMYFUNCTION("IMPORTRANGE(""https://docs.google.com/spreadsheets/d/1IYY_tgx_IHuhSq3AJ5eI5OnqOPBNLWSHKh2a30DoXe8/edit?usp=sharing"",""นครศรีธรรมราช!I394"")"),0.0)</f>
        <v>0</v>
      </c>
      <c r="J499" s="453">
        <f>IFERROR(__xludf.DUMMYFUNCTION("IMPORTRANGE(""https://docs.google.com/spreadsheets/d/1IYY_tgx_IHuhSq3AJ5eI5OnqOPBNLWSHKh2a30DoXe8/edit?usp=sharing"",""นครศรีธรรมราช!J394"")"),0.0)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IFERROR(__xludf.DUMMYFUNCTION("IMPORTRANGE(""https://docs.google.com/spreadsheets/d/1IYY_tgx_IHuhSq3AJ5eI5OnqOPBNLWSHKh2a30DoXe8/edit?usp=sharing"",""นครศรีธรรมราช!I395"")"),0.0)</f>
        <v>0</v>
      </c>
      <c r="J500" s="195">
        <f>IFERROR(__xludf.DUMMYFUNCTION("IMPORTRANGE(""https://docs.google.com/spreadsheets/d/1IYY_tgx_IHuhSq3AJ5eI5OnqOPBNLWSHKh2a30DoXe8/edit?usp=sharing"",""นครศรีธรรมราช!J395"")"),0.0)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IFERROR(__xludf.DUMMYFUNCTION("IMPORTRANGE(""https://docs.google.com/spreadsheets/d/1IYY_tgx_IHuhSq3AJ5eI5OnqOPBNLWSHKh2a30DoXe8/edit?usp=sharing"",""นครศรีธรรมราช!I396"")"),0.0)</f>
        <v>0</v>
      </c>
      <c r="J501" s="195">
        <f>IFERROR(__xludf.DUMMYFUNCTION("IMPORTRANGE(""https://docs.google.com/spreadsheets/d/1IYY_tgx_IHuhSq3AJ5eI5OnqOPBNLWSHKh2a30DoXe8/edit?usp=sharing"",""นครศรีธรรมราช!J396"")"),0.0)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IFERROR(__xludf.DUMMYFUNCTION("IMPORTRANGE(""https://docs.google.com/spreadsheets/d/1IYY_tgx_IHuhSq3AJ5eI5OnqOPBNLWSHKh2a30DoXe8/edit?usp=sharing"",""นครศรีธรรมราช!I397"")"),0.0)</f>
        <v>0</v>
      </c>
      <c r="J502" s="223">
        <f>IFERROR(__xludf.DUMMYFUNCTION("IMPORTRANGE(""https://docs.google.com/spreadsheets/d/1IYY_tgx_IHuhSq3AJ5eI5OnqOPBNLWSHKh2a30DoXe8/edit?usp=sharing"",""นครศรีธรรมราช!J397"")"),0.0)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IFERROR(__xludf.DUMMYFUNCTION("IMPORTRANGE(""https://docs.google.com/spreadsheets/d/1IYY_tgx_IHuhSq3AJ5eI5OnqOPBNLWSHKh2a30DoXe8/edit?usp=sharing"",""นครศรีธรรมราช!I398"")"),0.0)</f>
        <v>0</v>
      </c>
      <c r="J503" s="232">
        <f>IFERROR(__xludf.DUMMYFUNCTION("IMPORTRANGE(""https://docs.google.com/spreadsheets/d/1IYY_tgx_IHuhSq3AJ5eI5OnqOPBNLWSHKh2a30DoXe8/edit?usp=sharing"",""นครศรีธรรมราช!J398"")"),0.0)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IFERROR(__xludf.DUMMYFUNCTION("IMPORTRANGE(""https://docs.google.com/spreadsheets/d/1IYY_tgx_IHuhSq3AJ5eI5OnqOPBNLWSHKh2a30DoXe8/edit?usp=sharing"",""นครศรีธรรมราช!I399"")"),0.0)</f>
        <v>0</v>
      </c>
      <c r="J504" s="223">
        <f>IFERROR(__xludf.DUMMYFUNCTION("IMPORTRANGE(""https://docs.google.com/spreadsheets/d/1IYY_tgx_IHuhSq3AJ5eI5OnqOPBNLWSHKh2a30DoXe8/edit?usp=sharing"",""นครศรีธรรมราช!J399"")"),0.0)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IFERROR(__xludf.DUMMYFUNCTION("IMPORTRANGE(""https://docs.google.com/spreadsheets/d/1IYY_tgx_IHuhSq3AJ5eI5OnqOPBNLWSHKh2a30DoXe8/edit?usp=sharing"",""นครศรีธรรมราช!I400"")"),0.0)</f>
        <v>0</v>
      </c>
      <c r="J505" s="232">
        <f>IFERROR(__xludf.DUMMYFUNCTION("IMPORTRANGE(""https://docs.google.com/spreadsheets/d/1IYY_tgx_IHuhSq3AJ5eI5OnqOPBNLWSHKh2a30DoXe8/edit?usp=sharing"",""นครศรีธรรมราช!J400"")"),0.0)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IFERROR(__xludf.DUMMYFUNCTION("IMPORTRANGE(""https://docs.google.com/spreadsheets/d/1IYY_tgx_IHuhSq3AJ5eI5OnqOPBNLWSHKh2a30DoXe8/edit?usp=sharing"",""นครศรีธรรมราช!I401"")"),0.0)</f>
        <v>0</v>
      </c>
      <c r="J506" s="223">
        <f>IFERROR(__xludf.DUMMYFUNCTION("IMPORTRANGE(""https://docs.google.com/spreadsheets/d/1IYY_tgx_IHuhSq3AJ5eI5OnqOPBNLWSHKh2a30DoXe8/edit?usp=sharing"",""นครศรีธรรมราช!J401"")"),0.0)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IFERROR(__xludf.DUMMYFUNCTION("IMPORTRANGE(""https://docs.google.com/spreadsheets/d/1IYY_tgx_IHuhSq3AJ5eI5OnqOPBNLWSHKh2a30DoXe8/edit?usp=sharing"",""นครศรีธรรมราช!I402"")"),0.0)</f>
        <v>0</v>
      </c>
      <c r="J507" s="232">
        <f>IFERROR(__xludf.DUMMYFUNCTION("IMPORTRANGE(""https://docs.google.com/spreadsheets/d/1IYY_tgx_IHuhSq3AJ5eI5OnqOPBNLWSHKh2a30DoXe8/edit?usp=sharing"",""นครศรีธรรมราช!J402"")"),0.0)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IFERROR(__xludf.DUMMYFUNCTION("IMPORTRANGE(""https://docs.google.com/spreadsheets/d/1IYY_tgx_IHuhSq3AJ5eI5OnqOPBNLWSHKh2a30DoXe8/edit?usp=sharing"",""นครศรีธรรมราช!I403"")"),0.0)</f>
        <v>0</v>
      </c>
      <c r="J508" s="195">
        <f>IFERROR(__xludf.DUMMYFUNCTION("IMPORTRANGE(""https://docs.google.com/spreadsheets/d/1IYY_tgx_IHuhSq3AJ5eI5OnqOPBNLWSHKh2a30DoXe8/edit?usp=sharing"",""นครศรีธรรมราช!J403"")"),0.0)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IFERROR(__xludf.DUMMYFUNCTION("IMPORTRANGE(""https://docs.google.com/spreadsheets/d/1IYY_tgx_IHuhSq3AJ5eI5OnqOPBNLWSHKh2a30DoXe8/edit?usp=sharing"",""นครศรีธรรมราช!I404"")"),0.0)</f>
        <v>0</v>
      </c>
      <c r="J509" s="195">
        <f>IFERROR(__xludf.DUMMYFUNCTION("IMPORTRANGE(""https://docs.google.com/spreadsheets/d/1IYY_tgx_IHuhSq3AJ5eI5OnqOPBNLWSHKh2a30DoXe8/edit?usp=sharing"",""นครศรีธรรมราช!J404"")"),0.0)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IFERROR(__xludf.DUMMYFUNCTION("IMPORTRANGE(""https://docs.google.com/spreadsheets/d/1IYY_tgx_IHuhSq3AJ5eI5OnqOPBNLWSHKh2a30DoXe8/edit?usp=sharing"",""นครศรีธรรมราช!I405"")"),0.0)</f>
        <v>0</v>
      </c>
      <c r="J510" s="232">
        <f>IFERROR(__xludf.DUMMYFUNCTION("IMPORTRANGE(""https://docs.google.com/spreadsheets/d/1IYY_tgx_IHuhSq3AJ5eI5OnqOPBNLWSHKh2a30DoXe8/edit?usp=sharing"",""นครศรีธรรมราช!J405"")"),0.0)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IFERROR(__xludf.DUMMYFUNCTION("IMPORTRANGE(""https://docs.google.com/spreadsheets/d/1IYY_tgx_IHuhSq3AJ5eI5OnqOPBNLWSHKh2a30DoXe8/edit?usp=sharing"",""นครศรีธรรมราช!I406"")"),0.0)</f>
        <v>0</v>
      </c>
      <c r="J511" s="232">
        <f>IFERROR(__xludf.DUMMYFUNCTION("IMPORTRANGE(""https://docs.google.com/spreadsheets/d/1IYY_tgx_IHuhSq3AJ5eI5OnqOPBNLWSHKh2a30DoXe8/edit?usp=sharing"",""นครศรีธรรมราช!J406"")"),0.0)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IFERROR(__xludf.DUMMYFUNCTION("IMPORTRANGE(""https://docs.google.com/spreadsheets/d/1IYY_tgx_IHuhSq3AJ5eI5OnqOPBNLWSHKh2a30DoXe8/edit?usp=sharing"",""นครศรีธรรมราช!I407"")"),0.0)</f>
        <v>0</v>
      </c>
      <c r="J512" s="232">
        <f>IFERROR(__xludf.DUMMYFUNCTION("IMPORTRANGE(""https://docs.google.com/spreadsheets/d/1IYY_tgx_IHuhSq3AJ5eI5OnqOPBNLWSHKh2a30DoXe8/edit?usp=sharing"",""นครศรีธรรมราช!J407"")"),0.0)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IFERROR(__xludf.DUMMYFUNCTION("IMPORTRANGE(""https://docs.google.com/spreadsheets/d/1IYY_tgx_IHuhSq3AJ5eI5OnqOPBNLWSHKh2a30DoXe8/edit?usp=sharing"",""นครศรีธรรมราช!I408"")"),0.0)</f>
        <v>0</v>
      </c>
      <c r="J513" s="232">
        <f>IFERROR(__xludf.DUMMYFUNCTION("IMPORTRANGE(""https://docs.google.com/spreadsheets/d/1IYY_tgx_IHuhSq3AJ5eI5OnqOPBNLWSHKh2a30DoXe8/edit?usp=sharing"",""นครศรีธรรมราช!J408"")"),0.0)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IFERROR(__xludf.DUMMYFUNCTION("IMPORTRANGE(""https://docs.google.com/spreadsheets/d/1IYY_tgx_IHuhSq3AJ5eI5OnqOPBNLWSHKh2a30DoXe8/edit?usp=sharing"",""นครศรีธรรมราช!I409"")"),0.0)</f>
        <v>0</v>
      </c>
      <c r="J514" s="232">
        <f>IFERROR(__xludf.DUMMYFUNCTION("IMPORTRANGE(""https://docs.google.com/spreadsheets/d/1IYY_tgx_IHuhSq3AJ5eI5OnqOPBNLWSHKh2a30DoXe8/edit?usp=sharing"",""นครศรีธรรมราช!J409"")"),0.0)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IFERROR(__xludf.DUMMYFUNCTION("IMPORTRANGE(""https://docs.google.com/spreadsheets/d/1IYY_tgx_IHuhSq3AJ5eI5OnqOPBNLWSHKh2a30DoXe8/edit?usp=sharing"",""นครศรีธรรมราช!I410"")"),0.0)</f>
        <v>0</v>
      </c>
      <c r="J515" s="232">
        <f>IFERROR(__xludf.DUMMYFUNCTION("IMPORTRANGE(""https://docs.google.com/spreadsheets/d/1IYY_tgx_IHuhSq3AJ5eI5OnqOPBNLWSHKh2a30DoXe8/edit?usp=sharing"",""นครศรีธรรมราช!J410"")"),0.0)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IFERROR(__xludf.DUMMYFUNCTION("IMPORTRANGE(""https://docs.google.com/spreadsheets/d/1IYY_tgx_IHuhSq3AJ5eI5OnqOPBNLWSHKh2a30DoXe8/edit?usp=sharing"",""นครศรีธรรมราช!I411"")"),0.0)</f>
        <v>0</v>
      </c>
      <c r="J516" s="301">
        <f>IFERROR(__xludf.DUMMYFUNCTION("IMPORTRANGE(""https://docs.google.com/spreadsheets/d/1IYY_tgx_IHuhSq3AJ5eI5OnqOPBNLWSHKh2a30DoXe8/edit?usp=sharing"",""นครศรีธรรมราช!J411"")"),0.0)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IFERROR(__xludf.DUMMYFUNCTION("IMPORTRANGE(""https://docs.google.com/spreadsheets/d/1IYY_tgx_IHuhSq3AJ5eI5OnqOPBNLWSHKh2a30DoXe8/edit?usp=sharing"",""นครศรีธรรมราช!I412"")"),0.0)</f>
        <v>0</v>
      </c>
      <c r="J517" s="317">
        <f>IFERROR(__xludf.DUMMYFUNCTION("IMPORTRANGE(""https://docs.google.com/spreadsheets/d/1IYY_tgx_IHuhSq3AJ5eI5OnqOPBNLWSHKh2a30DoXe8/edit?usp=sharing"",""นครศรีธรรมราช!J412"")"),0.0)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IFERROR(__xludf.DUMMYFUNCTION("IMPORTRANGE(""https://docs.google.com/spreadsheets/d/1IYY_tgx_IHuhSq3AJ5eI5OnqOPBNLWSHKh2a30DoXe8/edit?usp=sharing"",""นครศรีธรรมราช!I413"")"),0.0)</f>
        <v>0</v>
      </c>
      <c r="J518" s="317">
        <f>IFERROR(__xludf.DUMMYFUNCTION("IMPORTRANGE(""https://docs.google.com/spreadsheets/d/1IYY_tgx_IHuhSq3AJ5eI5OnqOPBNLWSHKh2a30DoXe8/edit?usp=sharing"",""นครศรีธรรมราช!J413"")"),0.0)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IFERROR(__xludf.DUMMYFUNCTION("IMPORTRANGE(""https://docs.google.com/spreadsheets/d/1IYY_tgx_IHuhSq3AJ5eI5OnqOPBNLWSHKh2a30DoXe8/edit?usp=sharing"",""นครศรีธรรมราช!I414"")"),0.0)</f>
        <v>0</v>
      </c>
      <c r="J519" s="222">
        <f>IFERROR(__xludf.DUMMYFUNCTION("IMPORTRANGE(""https://docs.google.com/spreadsheets/d/1IYY_tgx_IHuhSq3AJ5eI5OnqOPBNLWSHKh2a30DoXe8/edit?usp=sharing"",""นครศรีธรรมราช!J414"")"),0.0)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IFERROR(__xludf.DUMMYFUNCTION("IMPORTRANGE(""https://docs.google.com/spreadsheets/d/1IYY_tgx_IHuhSq3AJ5eI5OnqOPBNLWSHKh2a30DoXe8/edit?usp=sharing"",""นครศรีธรรมราช!I415"")"),0.0)</f>
        <v>0</v>
      </c>
      <c r="J520" s="222">
        <f>IFERROR(__xludf.DUMMYFUNCTION("IMPORTRANGE(""https://docs.google.com/spreadsheets/d/1IYY_tgx_IHuhSq3AJ5eI5OnqOPBNLWSHKh2a30DoXe8/edit?usp=sharing"",""นครศรีธรรมราช!J415"")"),0.0)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IFERROR(__xludf.DUMMYFUNCTION("IMPORTRANGE(""https://docs.google.com/spreadsheets/d/1IYY_tgx_IHuhSq3AJ5eI5OnqOPBNLWSHKh2a30DoXe8/edit?usp=sharing"",""นครศรีธรรมราช!I416"")"),0.0)</f>
        <v>0</v>
      </c>
      <c r="J521" s="222">
        <f>IFERROR(__xludf.DUMMYFUNCTION("IMPORTRANGE(""https://docs.google.com/spreadsheets/d/1IYY_tgx_IHuhSq3AJ5eI5OnqOPBNLWSHKh2a30DoXe8/edit?usp=sharing"",""นครศรีธรรมราช!J416"")"),0.0)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IFERROR(__xludf.DUMMYFUNCTION("IMPORTRANGE(""https://docs.google.com/spreadsheets/d/1IYY_tgx_IHuhSq3AJ5eI5OnqOPBNLWSHKh2a30DoXe8/edit?usp=sharing"",""นครศรีธรรมราช!I417"")"),0.0)</f>
        <v>0</v>
      </c>
      <c r="J522" s="222">
        <f>IFERROR(__xludf.DUMMYFUNCTION("IMPORTRANGE(""https://docs.google.com/spreadsheets/d/1IYY_tgx_IHuhSq3AJ5eI5OnqOPBNLWSHKh2a30DoXe8/edit?usp=sharing"",""นครศรีธรรมราช!J417"")"),0.0)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IFERROR(__xludf.DUMMYFUNCTION("IMPORTRANGE(""https://docs.google.com/spreadsheets/d/1IYY_tgx_IHuhSq3AJ5eI5OnqOPBNLWSHKh2a30DoXe8/edit?usp=sharing"",""นครศรีธรรมราช!I418"")"),0.0)</f>
        <v>0</v>
      </c>
      <c r="J523" s="222">
        <f>IFERROR(__xludf.DUMMYFUNCTION("IMPORTRANGE(""https://docs.google.com/spreadsheets/d/1IYY_tgx_IHuhSq3AJ5eI5OnqOPBNLWSHKh2a30DoXe8/edit?usp=sharing"",""นครศรีธรรมราช!J418"")"),0.0)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IFERROR(__xludf.DUMMYFUNCTION("IMPORTRANGE(""https://docs.google.com/spreadsheets/d/1IYY_tgx_IHuhSq3AJ5eI5OnqOPBNLWSHKh2a30DoXe8/edit?usp=sharing"",""นครศรีธรรมราช!I419"")"),0.0)</f>
        <v>0</v>
      </c>
      <c r="J524" s="222">
        <f>IFERROR(__xludf.DUMMYFUNCTION("IMPORTRANGE(""https://docs.google.com/spreadsheets/d/1IYY_tgx_IHuhSq3AJ5eI5OnqOPBNLWSHKh2a30DoXe8/edit?usp=sharing"",""นครศรีธรรมราช!J419"")"),0.0)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IFERROR(__xludf.DUMMYFUNCTION("IMPORTRANGE(""https://docs.google.com/spreadsheets/d/1IYY_tgx_IHuhSq3AJ5eI5OnqOPBNLWSHKh2a30DoXe8/edit?usp=sharing"",""นครศรีธรรมราช!I420"")"),0.0)</f>
        <v>0</v>
      </c>
      <c r="J525" s="317">
        <f>IFERROR(__xludf.DUMMYFUNCTION("IMPORTRANGE(""https://docs.google.com/spreadsheets/d/1IYY_tgx_IHuhSq3AJ5eI5OnqOPBNLWSHKh2a30DoXe8/edit?usp=sharing"",""นครศรีธรรมราช!J420"")"),0.0)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IFERROR(__xludf.DUMMYFUNCTION("IMPORTRANGE(""https://docs.google.com/spreadsheets/d/1IYY_tgx_IHuhSq3AJ5eI5OnqOPBNLWSHKh2a30DoXe8/edit?usp=sharing"",""นครศรีธรรมราช!I421"")"),0.0)</f>
        <v>0</v>
      </c>
      <c r="J526" s="317">
        <f>IFERROR(__xludf.DUMMYFUNCTION("IMPORTRANGE(""https://docs.google.com/spreadsheets/d/1IYY_tgx_IHuhSq3AJ5eI5OnqOPBNLWSHKh2a30DoXe8/edit?usp=sharing"",""นครศรีธรรมราช!J421"")"),0.0)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IFERROR(__xludf.DUMMYFUNCTION("IMPORTRANGE(""https://docs.google.com/spreadsheets/d/1IYY_tgx_IHuhSq3AJ5eI5OnqOPBNLWSHKh2a30DoXe8/edit?usp=sharing"",""นครศรีธรรมราช!I422"")"),0.0)</f>
        <v>0</v>
      </c>
      <c r="J527" s="232">
        <f>IFERROR(__xludf.DUMMYFUNCTION("IMPORTRANGE(""https://docs.google.com/spreadsheets/d/1IYY_tgx_IHuhSq3AJ5eI5OnqOPBNLWSHKh2a30DoXe8/edit?usp=sharing"",""นครศรีธรรมราช!J422"")"),0.0)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IFERROR(__xludf.DUMMYFUNCTION("IMPORTRANGE(""https://docs.google.com/spreadsheets/d/1IYY_tgx_IHuhSq3AJ5eI5OnqOPBNLWSHKh2a30DoXe8/edit?usp=sharing"",""นครศรีธรรมราช!I423"")"),0.0)</f>
        <v>0</v>
      </c>
      <c r="J528" s="232">
        <f>IFERROR(__xludf.DUMMYFUNCTION("IMPORTRANGE(""https://docs.google.com/spreadsheets/d/1IYY_tgx_IHuhSq3AJ5eI5OnqOPBNLWSHKh2a30DoXe8/edit?usp=sharing"",""นครศรีธรรมราช!J423"")"),0.0)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IFERROR(__xludf.DUMMYFUNCTION("IMPORTRANGE(""https://docs.google.com/spreadsheets/d/1IYY_tgx_IHuhSq3AJ5eI5OnqOPBNLWSHKh2a30DoXe8/edit?usp=sharing"",""นครศรีธรรมราช!I424"")"),0.0)</f>
        <v>0</v>
      </c>
      <c r="J529" s="232">
        <f>IFERROR(__xludf.DUMMYFUNCTION("IMPORTRANGE(""https://docs.google.com/spreadsheets/d/1IYY_tgx_IHuhSq3AJ5eI5OnqOPBNLWSHKh2a30DoXe8/edit?usp=sharing"",""นครศรีธรรมราช!J424"")"),0.0)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IFERROR(__xludf.DUMMYFUNCTION("IMPORTRANGE(""https://docs.google.com/spreadsheets/d/1IYY_tgx_IHuhSq3AJ5eI5OnqOPBNLWSHKh2a30DoXe8/edit?usp=sharing"",""นครศรีธรรมราช!I425"")"),0.0)</f>
        <v>0</v>
      </c>
      <c r="J530" s="232">
        <f>IFERROR(__xludf.DUMMYFUNCTION("IMPORTRANGE(""https://docs.google.com/spreadsheets/d/1IYY_tgx_IHuhSq3AJ5eI5OnqOPBNLWSHKh2a30DoXe8/edit?usp=sharing"",""นครศรีธรรมราช!J425"")"),0.0)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IFERROR(__xludf.DUMMYFUNCTION("IMPORTRANGE(""https://docs.google.com/spreadsheets/d/1IYY_tgx_IHuhSq3AJ5eI5OnqOPBNLWSHKh2a30DoXe8/edit?usp=sharing"",""นครศรีธรรมราช!I426"")"),0.0)</f>
        <v>0</v>
      </c>
      <c r="J531" s="232">
        <f>IFERROR(__xludf.DUMMYFUNCTION("IMPORTRANGE(""https://docs.google.com/spreadsheets/d/1IYY_tgx_IHuhSq3AJ5eI5OnqOPBNLWSHKh2a30DoXe8/edit?usp=sharing"",""นครศรีธรรมราช!J426"")"),0.0)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IFERROR(__xludf.DUMMYFUNCTION("IMPORTRANGE(""https://docs.google.com/spreadsheets/d/1IYY_tgx_IHuhSq3AJ5eI5OnqOPBNLWSHKh2a30DoXe8/edit?usp=sharing"",""นครศรีธรรมราช!I427"")"),0.0)</f>
        <v>0</v>
      </c>
      <c r="J532" s="499">
        <f>IFERROR(__xludf.DUMMYFUNCTION("IMPORTRANGE(""https://docs.google.com/spreadsheets/d/1IYY_tgx_IHuhSq3AJ5eI5OnqOPBNLWSHKh2a30DoXe8/edit?usp=sharing"",""นครศรีธรรมราช!J427"")"),0.0)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IFERROR(__xludf.DUMMYFUNCTION("IMPORTRANGE(""https://docs.google.com/spreadsheets/d/1IYY_tgx_IHuhSq3AJ5eI5OnqOPBNLWSHKh2a30DoXe8/edit?usp=sharing"",""นครศรีธรรมราช!I428"")"),26.0)</f>
        <v>26</v>
      </c>
      <c r="J533" s="443">
        <f>IFERROR(__xludf.DUMMYFUNCTION("IMPORTRANGE(""https://docs.google.com/spreadsheets/d/1IYY_tgx_IHuhSq3AJ5eI5OnqOPBNLWSHKh2a30DoXe8/edit?usp=sharing"",""นครศรีธรรมราช!J428"")"),26.0)</f>
        <v>26</v>
      </c>
      <c r="K533" s="444">
        <f>IF(I533&gt;0,J533*100/I533,0)</f>
        <v>100</v>
      </c>
      <c r="L533" s="445">
        <f>IFERROR(__xludf.DUMMYFUNCTION("IMPORTRANGE(""https://docs.google.com/spreadsheets/d/1IYY_tgx_IHuhSq3AJ5eI5OnqOPBNLWSHKh2a30DoXe8/edit?usp=sharing"",""นครศรีธรรมราช!L428"")"),37740.0)</f>
        <v>37740</v>
      </c>
      <c r="M533" s="445"/>
      <c r="N533" s="445">
        <f>IFERROR(__xludf.DUMMYFUNCTION("IMPORTRANGE(""https://docs.google.com/spreadsheets/d/1IYY_tgx_IHuhSq3AJ5eI5OnqOPBNLWSHKh2a30DoXe8/edit?usp=sharing"",""นครศรีธรรมราช!M428"")"),29748.0)</f>
        <v>29748</v>
      </c>
      <c r="O533" s="445">
        <f t="shared" ref="O533:O537" si="119">+IF(L533&gt;0,N533*100/L533,0)</f>
        <v>78.82352941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IFERROR(__xludf.DUMMYFUNCTION("IMPORTRANGE(""https://docs.google.com/spreadsheets/d/1IYY_tgx_IHuhSq3AJ5eI5OnqOPBNLWSHKh2a30DoXe8/edit?usp=sharing"",""นครศรีธรรมราช!L429"")"),0.0)</f>
        <v>0</v>
      </c>
      <c r="M534" s="197"/>
      <c r="N534" s="203">
        <f>IFERROR(__xludf.DUMMYFUNCTION("IMPORTRANGE(""https://docs.google.com/spreadsheets/d/1IYY_tgx_IHuhSq3AJ5eI5OnqOPBNLWSHKh2a30DoXe8/edit?usp=sharing"",""นครศรีธรรมราช!M429"")"),0.0)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IFERROR(__xludf.DUMMYFUNCTION("IMPORTRANGE(""https://docs.google.com/spreadsheets/d/1IYY_tgx_IHuhSq3AJ5eI5OnqOPBNLWSHKh2a30DoXe8/edit?usp=sharing"",""นครศรีธรรมราช!L430"")"),37740.0)</f>
        <v>37740</v>
      </c>
      <c r="M535" s="198"/>
      <c r="N535" s="203">
        <f>IFERROR(__xludf.DUMMYFUNCTION("IMPORTRANGE(""https://docs.google.com/spreadsheets/d/1IYY_tgx_IHuhSq3AJ5eI5OnqOPBNLWSHKh2a30DoXe8/edit?usp=sharing"",""นครศรีธรรมราช!M430"")"),29748.0)</f>
        <v>29748</v>
      </c>
      <c r="O535" s="203">
        <f t="shared" si="119"/>
        <v>78.82352941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IFERROR(__xludf.DUMMYFUNCTION("IMPORTRANGE(""https://docs.google.com/spreadsheets/d/1IYY_tgx_IHuhSq3AJ5eI5OnqOPBNLWSHKh2a30DoXe8/edit?usp=sharing"",""นครศรีธรรมราช!L431"")"),0.0)</f>
        <v>0</v>
      </c>
      <c r="M536" s="203"/>
      <c r="N536" s="203">
        <f>IFERROR(__xludf.DUMMYFUNCTION("IMPORTRANGE(""https://docs.google.com/spreadsheets/d/1IYY_tgx_IHuhSq3AJ5eI5OnqOPBNLWSHKh2a30DoXe8/edit?usp=sharing"",""นครศรีธรรมราช!M431"")"),0.0)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IFERROR(__xludf.DUMMYFUNCTION("IMPORTRANGE(""https://docs.google.com/spreadsheets/d/1IYY_tgx_IHuhSq3AJ5eI5OnqOPBNLWSHKh2a30DoXe8/edit?usp=sharing"",""นครศรีธรรมราช!L432"")"),37740.0)</f>
        <v>37740</v>
      </c>
      <c r="M537" s="203"/>
      <c r="N537" s="203">
        <f>IFERROR(__xludf.DUMMYFUNCTION("IMPORTRANGE(""https://docs.google.com/spreadsheets/d/1IYY_tgx_IHuhSq3AJ5eI5OnqOPBNLWSHKh2a30DoXe8/edit?usp=sharing"",""นครศรีธรรมราช!M432"")"),29748.0)</f>
        <v>29748</v>
      </c>
      <c r="O537" s="203">
        <f t="shared" si="119"/>
        <v>78.82352941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IFERROR(__xludf.DUMMYFUNCTION("IMPORTRANGE(""https://docs.google.com/spreadsheets/d/1IYY_tgx_IHuhSq3AJ5eI5OnqOPBNLWSHKh2a30DoXe8/edit?usp=sharing"",""นครศรีธรรมราช!M433"")"),21900.0)</f>
        <v>21900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IFERROR(__xludf.DUMMYFUNCTION("IMPORTRANGE(""https://docs.google.com/spreadsheets/d/1IYY_tgx_IHuhSq3AJ5eI5OnqOPBNLWSHKh2a30DoXe8/edit?usp=sharing"",""นครศรีธรรมราช!M434"")"),0.0)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IFERROR(__xludf.DUMMYFUNCTION("IMPORTRANGE(""https://docs.google.com/spreadsheets/d/1IYY_tgx_IHuhSq3AJ5eI5OnqOPBNLWSHKh2a30DoXe8/edit?usp=sharing"",""นครศรีธรรมราช!M435"")"),0.0)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IFERROR(__xludf.DUMMYFUNCTION("IMPORTRANGE(""https://docs.google.com/spreadsheets/d/1IYY_tgx_IHuhSq3AJ5eI5OnqOPBNLWSHKh2a30DoXe8/edit?usp=sharing"",""นครศรีธรรมราช!M436"")"),7848.0)</f>
        <v>7848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IFERROR(__xludf.DUMMYFUNCTION("IMPORTRANGE(""https://docs.google.com/spreadsheets/d/1IYY_tgx_IHuhSq3AJ5eI5OnqOPBNLWSHKh2a30DoXe8/edit?usp=sharing"",""นครศรีธรรมราช!J438"")"),0.0)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IFERROR(__xludf.DUMMYFUNCTION("IMPORTRANGE(""https://docs.google.com/spreadsheets/d/1IYY_tgx_IHuhSq3AJ5eI5OnqOPBNLWSHKh2a30DoXe8/edit?usp=sharing"",""นครศรีธรรมราช!J439"")"),1.0)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IFERROR(__xludf.DUMMYFUNCTION("IMPORTRANGE(""https://docs.google.com/spreadsheets/d/1IYY_tgx_IHuhSq3AJ5eI5OnqOPBNLWSHKh2a30DoXe8/edit?usp=sharing"",""นครศรีธรรมราช!J440"")"),1.0)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IFERROR(__xludf.DUMMYFUNCTION("IMPORTRANGE(""https://docs.google.com/spreadsheets/d/1IYY_tgx_IHuhSq3AJ5eI5OnqOPBNLWSHKh2a30DoXe8/edit?usp=sharing"",""นครศรีธรรมราช!J441"")"),1.0)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IFERROR(__xludf.DUMMYFUNCTION("IMPORTRANGE(""https://docs.google.com/spreadsheets/d/1IYY_tgx_IHuhSq3AJ5eI5OnqOPBNLWSHKh2a30DoXe8/edit?usp=sharing"",""นครศรีธรรมราช!I442"")"),26.0)</f>
        <v>26</v>
      </c>
      <c r="J547" s="223">
        <f>IFERROR(__xludf.DUMMYFUNCTION("IMPORTRANGE(""https://docs.google.com/spreadsheets/d/1IYY_tgx_IHuhSq3AJ5eI5OnqOPBNLWSHKh2a30DoXe8/edit?usp=sharing"",""นครศรีธรรมราช!J442"")"),26.0)</f>
        <v>26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IFERROR(__xludf.DUMMYFUNCTION("IMPORTRANGE(""https://docs.google.com/spreadsheets/d/1IYY_tgx_IHuhSq3AJ5eI5OnqOPBNLWSHKh2a30DoXe8/edit?usp=sharing"",""นครศรีธรรมราช!J166"")"),0.0)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IFERROR(__xludf.DUMMYFUNCTION("IMPORTRANGE(""https://docs.google.com/spreadsheets/d/1IYY_tgx_IHuhSq3AJ5eI5OnqOPBNLWSHKh2a30DoXe8/edit?usp=sharing"",""นครศรีธรรมราช!J444"")"),0.0)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IFERROR(__xludf.DUMMYFUNCTION("IMPORTRANGE(""https://docs.google.com/spreadsheets/d/1IYY_tgx_IHuhSq3AJ5eI5OnqOPBNLWSHKh2a30DoXe8/edit?usp=sharing"",""นครศรีธรรมราช!J445"")"),0.0)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IFERROR(__xludf.DUMMYFUNCTION("IMPORTRANGE(""https://docs.google.com/spreadsheets/d/1IYY_tgx_IHuhSq3AJ5eI5OnqOPBNLWSHKh2a30DoXe8/edit?usp=sharing"",""นครศรีธรรมราช!I446"")"),0.0)</f>
        <v>0</v>
      </c>
      <c r="J551" s="443">
        <f>IFERROR(__xludf.DUMMYFUNCTION("IMPORTRANGE(""https://docs.google.com/spreadsheets/d/1IYY_tgx_IHuhSq3AJ5eI5OnqOPBNLWSHKh2a30DoXe8/edit?usp=sharing"",""นครศรีธรรมราช!J446"")"),0.0)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IFERROR(__xludf.DUMMYFUNCTION("IMPORTRANGE(""https://docs.google.com/spreadsheets/d/1IYY_tgx_IHuhSq3AJ5eI5OnqOPBNLWSHKh2a30DoXe8/edit?usp=sharing"",""นครศรีธรรมราช!L446"")"),0.0)</f>
        <v>0</v>
      </c>
      <c r="M551" s="445"/>
      <c r="N551" s="445">
        <f>IFERROR(__xludf.DUMMYFUNCTION("IMPORTRANGE(""https://docs.google.com/spreadsheets/d/1IYY_tgx_IHuhSq3AJ5eI5OnqOPBNLWSHKh2a30DoXe8/edit?usp=sharing"",""นครศรีธรรมราช!M446"")"),0.0)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IFERROR(__xludf.DUMMYFUNCTION("IMPORTRANGE(""https://docs.google.com/spreadsheets/d/1IYY_tgx_IHuhSq3AJ5eI5OnqOPBNLWSHKh2a30DoXe8/edit?usp=sharing"",""นครศรีธรรมราช!L447"")"),0.0)</f>
        <v>0</v>
      </c>
      <c r="M552" s="197"/>
      <c r="N552" s="203">
        <f>IFERROR(__xludf.DUMMYFUNCTION("IMPORTRANGE(""https://docs.google.com/spreadsheets/d/1IYY_tgx_IHuhSq3AJ5eI5OnqOPBNLWSHKh2a30DoXe8/edit?usp=sharing"",""นครศรีธรรมราช!M447"")"),0.0)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IFERROR(__xludf.DUMMYFUNCTION("IMPORTRANGE(""https://docs.google.com/spreadsheets/d/1IYY_tgx_IHuhSq3AJ5eI5OnqOPBNLWSHKh2a30DoXe8/edit?usp=sharing"",""นครศรีธรรมราช!L448"")"),0.0)</f>
        <v>0</v>
      </c>
      <c r="M553" s="198"/>
      <c r="N553" s="203">
        <f>IFERROR(__xludf.DUMMYFUNCTION("IMPORTRANGE(""https://docs.google.com/spreadsheets/d/1IYY_tgx_IHuhSq3AJ5eI5OnqOPBNLWSHKh2a30DoXe8/edit?usp=sharing"",""นครศรีธรรมราช!M448"")"),0.0)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IFERROR(__xludf.DUMMYFUNCTION("IMPORTRANGE(""https://docs.google.com/spreadsheets/d/1IYY_tgx_IHuhSq3AJ5eI5OnqOPBNLWSHKh2a30DoXe8/edit?usp=sharing"",""นครศรีธรรมราช!L449"")"),0.0)</f>
        <v>0</v>
      </c>
      <c r="M554" s="203"/>
      <c r="N554" s="203">
        <f>IFERROR(__xludf.DUMMYFUNCTION("IMPORTRANGE(""https://docs.google.com/spreadsheets/d/1IYY_tgx_IHuhSq3AJ5eI5OnqOPBNLWSHKh2a30DoXe8/edit?usp=sharing"",""นครศรีธรรมราช!M449"")"),0.0)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IFERROR(__xludf.DUMMYFUNCTION("IMPORTRANGE(""https://docs.google.com/spreadsheets/d/1IYY_tgx_IHuhSq3AJ5eI5OnqOPBNLWSHKh2a30DoXe8/edit?usp=sharing"",""นครศรีธรรมราช!L450"")"),0.0)</f>
        <v>0</v>
      </c>
      <c r="M555" s="203"/>
      <c r="N555" s="203">
        <f>IFERROR(__xludf.DUMMYFUNCTION("IMPORTRANGE(""https://docs.google.com/spreadsheets/d/1IYY_tgx_IHuhSq3AJ5eI5OnqOPBNLWSHKh2a30DoXe8/edit?usp=sharing"",""นครศรีธรรมราช!M450"")"),0.0)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IFERROR(__xludf.DUMMYFUNCTION("IMPORTRANGE(""https://docs.google.com/spreadsheets/d/1IYY_tgx_IHuhSq3AJ5eI5OnqOPBNLWSHKh2a30DoXe8/edit?usp=sharing"",""นครศรีธรรมราช!M451"")"),0.0)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IFERROR(__xludf.DUMMYFUNCTION("IMPORTRANGE(""https://docs.google.com/spreadsheets/d/1IYY_tgx_IHuhSq3AJ5eI5OnqOPBNLWSHKh2a30DoXe8/edit?usp=sharing"",""นครศรีธรรมราช!M452"")"),0.0)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IFERROR(__xludf.DUMMYFUNCTION("IMPORTRANGE(""https://docs.google.com/spreadsheets/d/1IYY_tgx_IHuhSq3AJ5eI5OnqOPBNLWSHKh2a30DoXe8/edit?usp=sharing"",""นครศรีธรรมราช!M453"")"),0.0)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IFERROR(__xludf.DUMMYFUNCTION("IMPORTRANGE(""https://docs.google.com/spreadsheets/d/1IYY_tgx_IHuhSq3AJ5eI5OnqOPBNLWSHKh2a30DoXe8/edit?usp=sharing"",""นครศรีธรรมราช!M454"")"),0.0)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IFERROR(__xludf.DUMMYFUNCTION("IMPORTRANGE(""https://docs.google.com/spreadsheets/d/1IYY_tgx_IHuhSq3AJ5eI5OnqOPBNLWSHKh2a30DoXe8/edit?usp=sharing"",""นครศรีธรรมราช!I455"")"),0.0)</f>
        <v>0</v>
      </c>
      <c r="J560" s="195">
        <f>IFERROR(__xludf.DUMMYFUNCTION("IMPORTRANGE(""https://docs.google.com/spreadsheets/d/1IYY_tgx_IHuhSq3AJ5eI5OnqOPBNLWSHKh2a30DoXe8/edit?usp=sharing"",""นครศรีธรรมราช!J455"")"),0.0)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IFERROR(__xludf.DUMMYFUNCTION("IMPORTRANGE(""https://docs.google.com/spreadsheets/d/1IYY_tgx_IHuhSq3AJ5eI5OnqOPBNLWSHKh2a30DoXe8/edit?usp=sharing"",""นครศรีธรรมราช!I456"")"),0.0)</f>
        <v>0</v>
      </c>
      <c r="J561" s="238">
        <f>IFERROR(__xludf.DUMMYFUNCTION("IMPORTRANGE(""https://docs.google.com/spreadsheets/d/1IYY_tgx_IHuhSq3AJ5eI5OnqOPBNLWSHKh2a30DoXe8/edit?usp=sharing"",""นครศรีธรรมราช!J456"")"),0.0)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IFERROR(__xludf.DUMMYFUNCTION("IMPORTRANGE(""https://docs.google.com/spreadsheets/d/1IYY_tgx_IHuhSq3AJ5eI5OnqOPBNLWSHKh2a30DoXe8/edit?usp=sharing"",""นครศรีธรรมราช!I457"")"),"")</f>
        <v/>
      </c>
      <c r="J562" s="238" t="str">
        <f>IFERROR(__xludf.DUMMYFUNCTION("IMPORTRANGE(""https://docs.google.com/spreadsheets/d/1IYY_tgx_IHuhSq3AJ5eI5OnqOPBNLWSHKh2a30DoXe8/edit?usp=sharing"",""นครศรีธรรมราช!J457"")"),"")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IFERROR(__xludf.DUMMYFUNCTION("IMPORTRANGE(""https://docs.google.com/spreadsheets/d/1IYY_tgx_IHuhSq3AJ5eI5OnqOPBNLWSHKh2a30DoXe8/edit?usp=sharing"",""นครศรีธรรมราช!I458"")"),"")</f>
        <v/>
      </c>
      <c r="J563" s="222" t="str">
        <f>IFERROR(__xludf.DUMMYFUNCTION("IMPORTRANGE(""https://docs.google.com/spreadsheets/d/1IYY_tgx_IHuhSq3AJ5eI5OnqOPBNLWSHKh2a30DoXe8/edit?usp=sharing"",""นครศรีธรรมราช!J458"")"),"")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IFERROR(__xludf.DUMMYFUNCTION("IMPORTRANGE(""https://docs.google.com/spreadsheets/d/1IYY_tgx_IHuhSq3AJ5eI5OnqOPBNLWSHKh2a30DoXe8/edit?usp=sharing"",""นครศรีธรรมราช!I459"")"),1700.0)</f>
        <v>1700</v>
      </c>
      <c r="J564" s="404">
        <f>IFERROR(__xludf.DUMMYFUNCTION("IMPORTRANGE(""https://docs.google.com/spreadsheets/d/1IYY_tgx_IHuhSq3AJ5eI5OnqOPBNLWSHKh2a30DoXe8/edit?usp=sharing"",""นครศรีธรรมราช!J459"")"),421.0)</f>
        <v>421</v>
      </c>
      <c r="K564" s="405">
        <f t="shared" si="122"/>
        <v>24.76470588</v>
      </c>
      <c r="L564" s="406">
        <f>IFERROR(__xludf.DUMMYFUNCTION("IMPORTRANGE(""https://docs.google.com/spreadsheets/d/1IYY_tgx_IHuhSq3AJ5eI5OnqOPBNLWSHKh2a30DoXe8/edit?usp=sharing"",""นครศรีธรรมราช!L459"")"),145440.0)</f>
        <v>145440</v>
      </c>
      <c r="M564" s="406"/>
      <c r="N564" s="406">
        <f>IFERROR(__xludf.DUMMYFUNCTION("IMPORTRANGE(""https://docs.google.com/spreadsheets/d/1IYY_tgx_IHuhSq3AJ5eI5OnqOPBNLWSHKh2a30DoXe8/edit?usp=sharing"",""นครศรีธรรมราช!M459"")"),35873.0)</f>
        <v>35873</v>
      </c>
      <c r="O564" s="406">
        <f t="shared" ref="O564:O568" si="123">+IF(L564&gt;0,N564*100/L564,0)</f>
        <v>24.66515402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IFERROR(__xludf.DUMMYFUNCTION("IMPORTRANGE(""https://docs.google.com/spreadsheets/d/1IYY_tgx_IHuhSq3AJ5eI5OnqOPBNLWSHKh2a30DoXe8/edit?usp=sharing"",""นครศรีธรรมราช!L460"")"),0.0)</f>
        <v>0</v>
      </c>
      <c r="M565" s="197"/>
      <c r="N565" s="203">
        <f>IFERROR(__xludf.DUMMYFUNCTION("IMPORTRANGE(""https://docs.google.com/spreadsheets/d/1IYY_tgx_IHuhSq3AJ5eI5OnqOPBNLWSHKh2a30DoXe8/edit?usp=sharing"",""นครศรีธรรมราช!M460"")"),0.0)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IFERROR(__xludf.DUMMYFUNCTION("IMPORTRANGE(""https://docs.google.com/spreadsheets/d/1IYY_tgx_IHuhSq3AJ5eI5OnqOPBNLWSHKh2a30DoXe8/edit?usp=sharing"",""นครศรีธรรมราช!L461"")"),145440.0)</f>
        <v>145440</v>
      </c>
      <c r="M566" s="198"/>
      <c r="N566" s="203">
        <f>IFERROR(__xludf.DUMMYFUNCTION("IMPORTRANGE(""https://docs.google.com/spreadsheets/d/1IYY_tgx_IHuhSq3AJ5eI5OnqOPBNLWSHKh2a30DoXe8/edit?usp=sharing"",""นครศรีธรรมราช!M461"")"),35873.0)</f>
        <v>35873</v>
      </c>
      <c r="O566" s="203">
        <f t="shared" si="123"/>
        <v>24.66515402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IFERROR(__xludf.DUMMYFUNCTION("IMPORTRANGE(""https://docs.google.com/spreadsheets/d/1IYY_tgx_IHuhSq3AJ5eI5OnqOPBNLWSHKh2a30DoXe8/edit?usp=sharing"",""นครศรีธรรมราช!L462"")"),0.0)</f>
        <v>0</v>
      </c>
      <c r="M567" s="203"/>
      <c r="N567" s="203">
        <f>IFERROR(__xludf.DUMMYFUNCTION("IMPORTRANGE(""https://docs.google.com/spreadsheets/d/1IYY_tgx_IHuhSq3AJ5eI5OnqOPBNLWSHKh2a30DoXe8/edit?usp=sharing"",""นครศรีธรรมราช!M462"")"),0.0)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IFERROR(__xludf.DUMMYFUNCTION("IMPORTRANGE(""https://docs.google.com/spreadsheets/d/1IYY_tgx_IHuhSq3AJ5eI5OnqOPBNLWSHKh2a30DoXe8/edit?usp=sharing"",""นครศรีธรรมราช!L463"")"),145440.0)</f>
        <v>145440</v>
      </c>
      <c r="M568" s="203"/>
      <c r="N568" s="203">
        <f>IFERROR(__xludf.DUMMYFUNCTION("IMPORTRANGE(""https://docs.google.com/spreadsheets/d/1IYY_tgx_IHuhSq3AJ5eI5OnqOPBNLWSHKh2a30DoXe8/edit?usp=sharing"",""นครศรีธรรมราช!M463"")"),35873.0)</f>
        <v>35873</v>
      </c>
      <c r="O568" s="203">
        <f t="shared" si="123"/>
        <v>24.66515402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IFERROR(__xludf.DUMMYFUNCTION("IMPORTRANGE(""https://docs.google.com/spreadsheets/d/1IYY_tgx_IHuhSq3AJ5eI5OnqOPBNLWSHKh2a30DoXe8/edit?usp=sharing"",""นครศรีธรรมราช!M464"")"),0.0)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IFERROR(__xludf.DUMMYFUNCTION("IMPORTRANGE(""https://docs.google.com/spreadsheets/d/1IYY_tgx_IHuhSq3AJ5eI5OnqOPBNLWSHKh2a30DoXe8/edit?usp=sharing"",""นครศรีธรรมราช!M465"")"),0.0)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IFERROR(__xludf.DUMMYFUNCTION("IMPORTRANGE(""https://docs.google.com/spreadsheets/d/1IYY_tgx_IHuhSq3AJ5eI5OnqOPBNLWSHKh2a30DoXe8/edit?usp=sharing"",""นครศรีธรรมราช!M466"")"),22000.0)</f>
        <v>22000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IFERROR(__xludf.DUMMYFUNCTION("IMPORTRANGE(""https://docs.google.com/spreadsheets/d/1IYY_tgx_IHuhSq3AJ5eI5OnqOPBNLWSHKh2a30DoXe8/edit?usp=sharing"",""นครศรีธรรมราช!M467"")"),13873.0)</f>
        <v>13873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IFERROR(__xludf.DUMMYFUNCTION("IMPORTRANGE(""https://docs.google.com/spreadsheets/d/1IYY_tgx_IHuhSq3AJ5eI5OnqOPBNLWSHKh2a30DoXe8/edit?usp=sharing"",""นครศรีธรรมราช!I468"")"),1700.0)</f>
        <v>1700</v>
      </c>
      <c r="J573" s="453">
        <f>IFERROR(__xludf.DUMMYFUNCTION("IMPORTRANGE(""https://docs.google.com/spreadsheets/d/1IYY_tgx_IHuhSq3AJ5eI5OnqOPBNLWSHKh2a30DoXe8/edit?usp=sharing"",""นครศรีธรรมราช!J468"")"),421.0)</f>
        <v>421</v>
      </c>
      <c r="K573" s="236">
        <f>IF(I573&gt;0,J573*100/I573,0)</f>
        <v>24.76470588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IFERROR(__xludf.DUMMYFUNCTION("IMPORTRANGE(""https://docs.google.com/spreadsheets/d/1IYY_tgx_IHuhSq3AJ5eI5OnqOPBNLWSHKh2a30DoXe8/edit?usp=sharing"",""นครศรีธรรมราช!I470"")"),0.0)</f>
        <v>0</v>
      </c>
      <c r="J575" s="232">
        <f>IFERROR(__xludf.DUMMYFUNCTION("IMPORTRANGE(""https://docs.google.com/spreadsheets/d/1IYY_tgx_IHuhSq3AJ5eI5OnqOPBNLWSHKh2a30DoXe8/edit?usp=sharing"",""นครศรีธรรมราช!J470"")"),2.0)</f>
        <v>2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IFERROR(__xludf.DUMMYFUNCTION("IMPORTRANGE(""https://docs.google.com/spreadsheets/d/1IYY_tgx_IHuhSq3AJ5eI5OnqOPBNLWSHKh2a30DoXe8/edit?usp=sharing"",""นครศรีธรรมราช!I471"")"),0.0)</f>
        <v>0</v>
      </c>
      <c r="J576" s="232">
        <f>IFERROR(__xludf.DUMMYFUNCTION("IMPORTRANGE(""https://docs.google.com/spreadsheets/d/1IYY_tgx_IHuhSq3AJ5eI5OnqOPBNLWSHKh2a30DoXe8/edit?usp=sharing"",""นครศรีธรรมราช!J471"")"),116.0)</f>
        <v>116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IFERROR(__xludf.DUMMYFUNCTION("IMPORTRANGE(""https://docs.google.com/spreadsheets/d/1IYY_tgx_IHuhSq3AJ5eI5OnqOPBNLWSHKh2a30DoXe8/edit?usp=sharing"",""นครศรีธรรมราช!I472"")"),0.0)</f>
        <v>0</v>
      </c>
      <c r="J577" s="223">
        <f>IFERROR(__xludf.DUMMYFUNCTION("IMPORTRANGE(""https://docs.google.com/spreadsheets/d/1IYY_tgx_IHuhSq3AJ5eI5OnqOPBNLWSHKh2a30DoXe8/edit?usp=sharing"",""นครศรีธรรมราช!J472"")"),305.0)</f>
        <v>305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IFERROR(__xludf.DUMMYFUNCTION("IMPORTRANGE(""https://docs.google.com/spreadsheets/d/1IYY_tgx_IHuhSq3AJ5eI5OnqOPBNLWSHKh2a30DoXe8/edit?usp=sharing"",""นครศรีธรรมราช!I473"")"),0.0)</f>
        <v>0</v>
      </c>
      <c r="J578" s="232">
        <f>IFERROR(__xludf.DUMMYFUNCTION("IMPORTRANGE(""https://docs.google.com/spreadsheets/d/1IYY_tgx_IHuhSq3AJ5eI5OnqOPBNLWSHKh2a30DoXe8/edit?usp=sharing"",""นครศรีธรรมราช!J473"")"),0.0)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IFERROR(__xludf.DUMMYFUNCTION("IMPORTRANGE(""https://docs.google.com/spreadsheets/d/1IYY_tgx_IHuhSq3AJ5eI5OnqOPBNLWSHKh2a30DoXe8/edit?usp=sharing"",""นครศรีธรรมราช!I474"")"),0.0)</f>
        <v>0</v>
      </c>
      <c r="J579" s="232">
        <f>IFERROR(__xludf.DUMMYFUNCTION("IMPORTRANGE(""https://docs.google.com/spreadsheets/d/1IYY_tgx_IHuhSq3AJ5eI5OnqOPBNLWSHKh2a30DoXe8/edit?usp=sharing"",""นครศรีธรรมราช!J474"")"),0.0)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IFERROR(__xludf.DUMMYFUNCTION("IMPORTRANGE(""https://docs.google.com/spreadsheets/d/1IYY_tgx_IHuhSq3AJ5eI5OnqOPBNLWSHKh2a30DoXe8/edit?usp=sharing"",""นครศรีธรรมราช!I475"")"),27.0)</f>
        <v>27</v>
      </c>
      <c r="J580" s="404">
        <f>IFERROR(__xludf.DUMMYFUNCTION("IMPORTRANGE(""https://docs.google.com/spreadsheets/d/1IYY_tgx_IHuhSq3AJ5eI5OnqOPBNLWSHKh2a30DoXe8/edit?usp=sharing"",""นครศรีธรรมราช!J475"")"),0.0)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IFERROR(__xludf.DUMMYFUNCTION("IMPORTRANGE(""https://docs.google.com/spreadsheets/d/1IYY_tgx_IHuhSq3AJ5eI5OnqOPBNLWSHKh2a30DoXe8/edit?usp=sharing"",""นครศรีธรรมราช!L475"")"),147177.0)</f>
        <v>147177</v>
      </c>
      <c r="M580" s="406"/>
      <c r="N580" s="406">
        <f>IFERROR(__xludf.DUMMYFUNCTION("IMPORTRANGE(""https://docs.google.com/spreadsheets/d/1IYY_tgx_IHuhSq3AJ5eI5OnqOPBNLWSHKh2a30DoXe8/edit?usp=sharing"",""นครศรีธรรมราช!M475"")"),0.0)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IFERROR(__xludf.DUMMYFUNCTION("IMPORTRANGE(""https://docs.google.com/spreadsheets/d/1IYY_tgx_IHuhSq3AJ5eI5OnqOPBNLWSHKh2a30DoXe8/edit?usp=sharing"",""นครศรีธรรมราช!L476"")"),0.0)</f>
        <v>0</v>
      </c>
      <c r="M581" s="197"/>
      <c r="N581" s="203">
        <f>IFERROR(__xludf.DUMMYFUNCTION("IMPORTRANGE(""https://docs.google.com/spreadsheets/d/1IYY_tgx_IHuhSq3AJ5eI5OnqOPBNLWSHKh2a30DoXe8/edit?usp=sharing"",""นครศรีธรรมราช!M476"")"),0.0)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IFERROR(__xludf.DUMMYFUNCTION("IMPORTRANGE(""https://docs.google.com/spreadsheets/d/1IYY_tgx_IHuhSq3AJ5eI5OnqOPBNLWSHKh2a30DoXe8/edit?usp=sharing"",""นครศรีธรรมราช!L477"")"),147177.0)</f>
        <v>147177</v>
      </c>
      <c r="M582" s="198"/>
      <c r="N582" s="203">
        <f>IFERROR(__xludf.DUMMYFUNCTION("IMPORTRANGE(""https://docs.google.com/spreadsheets/d/1IYY_tgx_IHuhSq3AJ5eI5OnqOPBNLWSHKh2a30DoXe8/edit?usp=sharing"",""นครศรีธรรมราช!M477"")"),0.0)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IFERROR(__xludf.DUMMYFUNCTION("IMPORTRANGE(""https://docs.google.com/spreadsheets/d/1IYY_tgx_IHuhSq3AJ5eI5OnqOPBNLWSHKh2a30DoXe8/edit?usp=sharing"",""นครศรีธรรมราช!L478"")"),0.0)</f>
        <v>0</v>
      </c>
      <c r="M583" s="203"/>
      <c r="N583" s="203">
        <f>IFERROR(__xludf.DUMMYFUNCTION("IMPORTRANGE(""https://docs.google.com/spreadsheets/d/1IYY_tgx_IHuhSq3AJ5eI5OnqOPBNLWSHKh2a30DoXe8/edit?usp=sharing"",""นครศรีธรรมราช!M478"")"),0.0)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IFERROR(__xludf.DUMMYFUNCTION("IMPORTRANGE(""https://docs.google.com/spreadsheets/d/1IYY_tgx_IHuhSq3AJ5eI5OnqOPBNLWSHKh2a30DoXe8/edit?usp=sharing"",""นครศรีธรรมราช!L479"")"),147177.0)</f>
        <v>147177</v>
      </c>
      <c r="M584" s="203"/>
      <c r="N584" s="203">
        <f>IFERROR(__xludf.DUMMYFUNCTION("IMPORTRANGE(""https://docs.google.com/spreadsheets/d/1IYY_tgx_IHuhSq3AJ5eI5OnqOPBNLWSHKh2a30DoXe8/edit?usp=sharing"",""นครศรีธรรมราช!M479"")"),0.0)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IFERROR(__xludf.DUMMYFUNCTION("IMPORTRANGE(""https://docs.google.com/spreadsheets/d/1IYY_tgx_IHuhSq3AJ5eI5OnqOPBNLWSHKh2a30DoXe8/edit?usp=sharing"",""นครศรีธรรมราช!M480"")"),0.0)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IFERROR(__xludf.DUMMYFUNCTION("IMPORTRANGE(""https://docs.google.com/spreadsheets/d/1IYY_tgx_IHuhSq3AJ5eI5OnqOPBNLWSHKh2a30DoXe8/edit?usp=sharing"",""นครศรีธรรมราช!M481"")"),0.0)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IFERROR(__xludf.DUMMYFUNCTION("IMPORTRANGE(""https://docs.google.com/spreadsheets/d/1IYY_tgx_IHuhSq3AJ5eI5OnqOPBNLWSHKh2a30DoXe8/edit?usp=sharing"",""นครศรีธรรมราช!M482"")"),0.0)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IFERROR(__xludf.DUMMYFUNCTION("IMPORTRANGE(""https://docs.google.com/spreadsheets/d/1IYY_tgx_IHuhSq3AJ5eI5OnqOPBNLWSHKh2a30DoXe8/edit?usp=sharing"",""นครศรีธรรมราช!M483"")"),0.0)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IFERROR(__xludf.DUMMYFUNCTION("IMPORTRANGE(""https://docs.google.com/spreadsheets/d/1IYY_tgx_IHuhSq3AJ5eI5OnqOPBNLWSHKh2a30DoXe8/edit?usp=sharing"",""นครศรีธรรมราช!I484"")"),27.0)</f>
        <v>27</v>
      </c>
      <c r="J589" s="222">
        <f>IFERROR(__xludf.DUMMYFUNCTION("IMPORTRANGE(""https://docs.google.com/spreadsheets/d/1IYY_tgx_IHuhSq3AJ5eI5OnqOPBNLWSHKh2a30DoXe8/edit?usp=sharing"",""นครศรีธรรมราช!J484"")"),0.0)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IFERROR(__xludf.DUMMYFUNCTION("IMPORTRANGE(""https://docs.google.com/spreadsheets/d/1IYY_tgx_IHuhSq3AJ5eI5OnqOPBNLWSHKh2a30DoXe8/edit?usp=sharing"",""นครศรีธรรมราช!I485"")"),0.0)</f>
        <v>0</v>
      </c>
      <c r="J590" s="222">
        <f>IFERROR(__xludf.DUMMYFUNCTION("IMPORTRANGE(""https://docs.google.com/spreadsheets/d/1IYY_tgx_IHuhSq3AJ5eI5OnqOPBNLWSHKh2a30DoXe8/edit?usp=sharing"",""นครศรีธรรมราช!J485"")"),0.0)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IFERROR(__xludf.DUMMYFUNCTION("IMPORTRANGE(""https://docs.google.com/spreadsheets/d/1IYY_tgx_IHuhSq3AJ5eI5OnqOPBNLWSHKh2a30DoXe8/edit?usp=sharing"",""นครศรีธรรมราช!I486"")"),27.0)</f>
        <v>27</v>
      </c>
      <c r="J591" s="222">
        <f>IFERROR(__xludf.DUMMYFUNCTION("IMPORTRANGE(""https://docs.google.com/spreadsheets/d/1IYY_tgx_IHuhSq3AJ5eI5OnqOPBNLWSHKh2a30DoXe8/edit?usp=sharing"",""นครศรีธรรมราช!J486"")"),0.0)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IFERROR(__xludf.DUMMYFUNCTION("IMPORTRANGE(""https://docs.google.com/spreadsheets/d/1IYY_tgx_IHuhSq3AJ5eI5OnqOPBNLWSHKh2a30DoXe8/edit?usp=sharing"",""นครศรีธรรมราช!I487"")"),0.0)</f>
        <v>0</v>
      </c>
      <c r="J592" s="222">
        <f>IFERROR(__xludf.DUMMYFUNCTION("IMPORTRANGE(""https://docs.google.com/spreadsheets/d/1IYY_tgx_IHuhSq3AJ5eI5OnqOPBNLWSHKh2a30DoXe8/edit?usp=sharing"",""นครศรีธรรมราช!J487"")"),0.0)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IFERROR(__xludf.DUMMYFUNCTION("IMPORTRANGE(""https://docs.google.com/spreadsheets/d/1IYY_tgx_IHuhSq3AJ5eI5OnqOPBNLWSHKh2a30DoXe8/edit?usp=sharing"",""นครศรีธรรมราช!I488"")"),27.0)</f>
        <v>27</v>
      </c>
      <c r="J593" s="222">
        <f>IFERROR(__xludf.DUMMYFUNCTION("IMPORTRANGE(""https://docs.google.com/spreadsheets/d/1IYY_tgx_IHuhSq3AJ5eI5OnqOPBNLWSHKh2a30DoXe8/edit?usp=sharing"",""นครศรีธรรมราช!J488"")"),0.0)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IFERROR(__xludf.DUMMYFUNCTION("IMPORTRANGE(""https://docs.google.com/spreadsheets/d/1IYY_tgx_IHuhSq3AJ5eI5OnqOPBNLWSHKh2a30DoXe8/edit?usp=sharing"",""นครศรีธรรมราช!I489"")"),0.0)</f>
        <v>0</v>
      </c>
      <c r="J594" s="222">
        <f>IFERROR(__xludf.DUMMYFUNCTION("IMPORTRANGE(""https://docs.google.com/spreadsheets/d/1IYY_tgx_IHuhSq3AJ5eI5OnqOPBNLWSHKh2a30DoXe8/edit?usp=sharing"",""นครศรีธรรมราช!J489"")"),0.0)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IFERROR(__xludf.DUMMYFUNCTION("IMPORTRANGE(""https://docs.google.com/spreadsheets/d/1IYY_tgx_IHuhSq3AJ5eI5OnqOPBNLWSHKh2a30DoXe8/edit?usp=sharing"",""นครศรีธรรมราช!I490"")"),27.0)</f>
        <v>27</v>
      </c>
      <c r="J595" s="222">
        <f>IFERROR(__xludf.DUMMYFUNCTION("IMPORTRANGE(""https://docs.google.com/spreadsheets/d/1IYY_tgx_IHuhSq3AJ5eI5OnqOPBNLWSHKh2a30DoXe8/edit?usp=sharing"",""นครศรีธรรมราช!J490"")"),0.0)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IFERROR(__xludf.DUMMYFUNCTION("IMPORTRANGE(""https://docs.google.com/spreadsheets/d/1IYY_tgx_IHuhSq3AJ5eI5OnqOPBNLWSHKh2a30DoXe8/edit?usp=sharing"",""นครศรีธรรมราช!I491"")"),0.0)</f>
        <v>0</v>
      </c>
      <c r="J596" s="275">
        <f>IFERROR(__xludf.DUMMYFUNCTION("IMPORTRANGE(""https://docs.google.com/spreadsheets/d/1IYY_tgx_IHuhSq3AJ5eI5OnqOPBNLWSHKh2a30DoXe8/edit?usp=sharing"",""นครศรีธรรมราช!J491"")"),0.0)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IFERROR(__xludf.DUMMYFUNCTION("IMPORTRANGE(""https://docs.google.com/spreadsheets/d/1IYY_tgx_IHuhSq3AJ5eI5OnqOPBNLWSHKh2a30DoXe8/edit?usp=sharing"",""นครศรีธรรมราช!I492"")"),50.0)</f>
        <v>50</v>
      </c>
      <c r="J597" s="520">
        <f>IFERROR(__xludf.DUMMYFUNCTION("IMPORTRANGE(""https://docs.google.com/spreadsheets/d/1IYY_tgx_IHuhSq3AJ5eI5OnqOPBNLWSHKh2a30DoXe8/edit?usp=sharing"",""นครศรีธรรมราช!J492"")"),0.0)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IFERROR(__xludf.DUMMYFUNCTION("IMPORTRANGE(""https://docs.google.com/spreadsheets/d/1IYY_tgx_IHuhSq3AJ5eI5OnqOPBNLWSHKh2a30DoXe8/edit?usp=sharing"",""นครศรีธรรมราช!L492"")"),4550.0)</f>
        <v>4550</v>
      </c>
      <c r="M597" s="445"/>
      <c r="N597" s="445">
        <f>IFERROR(__xludf.DUMMYFUNCTION("IMPORTRANGE(""https://docs.google.com/spreadsheets/d/1IYY_tgx_IHuhSq3AJ5eI5OnqOPBNLWSHKh2a30DoXe8/edit?usp=sharing"",""นครศรีธรรมราช!M492"")"),1800.0)</f>
        <v>1800</v>
      </c>
      <c r="O597" s="445">
        <f t="shared" ref="O597:O601" si="127">+IF(L597&gt;0,N597*100/L597,0)</f>
        <v>39.56043956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IFERROR(__xludf.DUMMYFUNCTION("IMPORTRANGE(""https://docs.google.com/spreadsheets/d/1IYY_tgx_IHuhSq3AJ5eI5OnqOPBNLWSHKh2a30DoXe8/edit?usp=sharing"",""นครศรีธรรมราช!L493"")"),0.0)</f>
        <v>0</v>
      </c>
      <c r="M598" s="197"/>
      <c r="N598" s="203">
        <f>IFERROR(__xludf.DUMMYFUNCTION("IMPORTRANGE(""https://docs.google.com/spreadsheets/d/1IYY_tgx_IHuhSq3AJ5eI5OnqOPBNLWSHKh2a30DoXe8/edit?usp=sharing"",""นครศรีธรรมราช!M493"")"),0.0)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IFERROR(__xludf.DUMMYFUNCTION("IMPORTRANGE(""https://docs.google.com/spreadsheets/d/1IYY_tgx_IHuhSq3AJ5eI5OnqOPBNLWSHKh2a30DoXe8/edit?usp=sharing"",""นครศรีธรรมราช!L494"")"),4550.0)</f>
        <v>4550</v>
      </c>
      <c r="M599" s="198"/>
      <c r="N599" s="203">
        <f>IFERROR(__xludf.DUMMYFUNCTION("IMPORTRANGE(""https://docs.google.com/spreadsheets/d/1IYY_tgx_IHuhSq3AJ5eI5OnqOPBNLWSHKh2a30DoXe8/edit?usp=sharing"",""นครศรีธรรมราช!M494"")"),1800.0)</f>
        <v>1800</v>
      </c>
      <c r="O599" s="203">
        <f t="shared" si="127"/>
        <v>39.56043956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IFERROR(__xludf.DUMMYFUNCTION("IMPORTRANGE(""https://docs.google.com/spreadsheets/d/1IYY_tgx_IHuhSq3AJ5eI5OnqOPBNLWSHKh2a30DoXe8/edit?usp=sharing"",""นครศรีธรรมราช!L495"")"),0.0)</f>
        <v>0</v>
      </c>
      <c r="M600" s="203"/>
      <c r="N600" s="203">
        <f>IFERROR(__xludf.DUMMYFUNCTION("IMPORTRANGE(""https://docs.google.com/spreadsheets/d/1IYY_tgx_IHuhSq3AJ5eI5OnqOPBNLWSHKh2a30DoXe8/edit?usp=sharing"",""นครศรีธรรมราช!M495"")"),0.0)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IFERROR(__xludf.DUMMYFUNCTION("IMPORTRANGE(""https://docs.google.com/spreadsheets/d/1IYY_tgx_IHuhSq3AJ5eI5OnqOPBNLWSHKh2a30DoXe8/edit?usp=sharing"",""นครศรีธรรมราช!L496"")"),4550.0)</f>
        <v>4550</v>
      </c>
      <c r="M601" s="203"/>
      <c r="N601" s="203">
        <f>IFERROR(__xludf.DUMMYFUNCTION("IMPORTRANGE(""https://docs.google.com/spreadsheets/d/1IYY_tgx_IHuhSq3AJ5eI5OnqOPBNLWSHKh2a30DoXe8/edit?usp=sharing"",""นครศรีธรรมราช!M496"")"),1800.0)</f>
        <v>1800</v>
      </c>
      <c r="O601" s="203">
        <f t="shared" si="127"/>
        <v>39.56043956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IFERROR(__xludf.DUMMYFUNCTION("IMPORTRANGE(""https://docs.google.com/spreadsheets/d/1IYY_tgx_IHuhSq3AJ5eI5OnqOPBNLWSHKh2a30DoXe8/edit?usp=sharing"",""นครศรีธรรมราช!M497"")"),0.0)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IFERROR(__xludf.DUMMYFUNCTION("IMPORTRANGE(""https://docs.google.com/spreadsheets/d/1IYY_tgx_IHuhSq3AJ5eI5OnqOPBNLWSHKh2a30DoXe8/edit?usp=sharing"",""นครศรีธรรมราช!M498"")"),0.0)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IFERROR(__xludf.DUMMYFUNCTION("IMPORTRANGE(""https://docs.google.com/spreadsheets/d/1IYY_tgx_IHuhSq3AJ5eI5OnqOPBNLWSHKh2a30DoXe8/edit?usp=sharing"",""นครศรีธรรมราช!M499"")"),0.0)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IFERROR(__xludf.DUMMYFUNCTION("IMPORTRANGE(""https://docs.google.com/spreadsheets/d/1IYY_tgx_IHuhSq3AJ5eI5OnqOPBNLWSHKh2a30DoXe8/edit?usp=sharing"",""นครศรีธรรมราช!M500"")"),1800.0)</f>
        <v>1800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IFERROR(__xludf.DUMMYFUNCTION("IMPORTRANGE(""https://docs.google.com/spreadsheets/d/1IYY_tgx_IHuhSq3AJ5eI5OnqOPBNLWSHKh2a30DoXe8/edit?usp=sharing"",""นครศรีธรรมราช!J502"")"),0.0)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IFERROR(__xludf.DUMMYFUNCTION("IMPORTRANGE(""https://docs.google.com/spreadsheets/d/1IYY_tgx_IHuhSq3AJ5eI5OnqOPBNLWSHKh2a30DoXe8/edit?usp=sharing"",""นครศรีธรรมราช!J503"")"),1.0)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IFERROR(__xludf.DUMMYFUNCTION("IMPORTRANGE(""https://docs.google.com/spreadsheets/d/1IYY_tgx_IHuhSq3AJ5eI5OnqOPBNLWSHKh2a30DoXe8/edit?usp=sharing"",""นครศรีธรรมราช!J166"")"),0.0)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IFERROR(__xludf.DUMMYFUNCTION("IMPORTRANGE(""https://docs.google.com/spreadsheets/d/1IYY_tgx_IHuhSq3AJ5eI5OnqOPBNLWSHKh2a30DoXe8/edit?usp=sharing"",""นครศรีธรรมราช!J166"")"),0.0)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IFERROR(__xludf.DUMMYFUNCTION("IMPORTRANGE(""https://docs.google.com/spreadsheets/d/1IYY_tgx_IHuhSq3AJ5eI5OnqOPBNLWSHKh2a30DoXe8/edit?usp=sharing"",""นครศรีธรรมราช!I506"")"),50.0)</f>
        <v>50</v>
      </c>
      <c r="J611" s="195">
        <f>IFERROR(__xludf.DUMMYFUNCTION("IMPORTRANGE(""https://docs.google.com/spreadsheets/d/1IYY_tgx_IHuhSq3AJ5eI5OnqOPBNLWSHKh2a30DoXe8/edit?usp=sharing"",""นครศรีธรรมราช!J506"")"),0.0)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IFERROR(__xludf.DUMMYFUNCTION("IMPORTRANGE(""https://docs.google.com/spreadsheets/d/1IYY_tgx_IHuhSq3AJ5eI5OnqOPBNLWSHKh2a30DoXe8/edit?usp=sharing"",""นครศรีธรรมราช!I507"")"),0.0)</f>
        <v>0</v>
      </c>
      <c r="J612" s="232">
        <f>IFERROR(__xludf.DUMMYFUNCTION("IMPORTRANGE(""https://docs.google.com/spreadsheets/d/1IYY_tgx_IHuhSq3AJ5eI5OnqOPBNLWSHKh2a30DoXe8/edit?usp=sharing"",""นครศรีธรรมราช!J507"")"),0.0)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IFERROR(__xludf.DUMMYFUNCTION("IMPORTRANGE(""https://docs.google.com/spreadsheets/d/1IYY_tgx_IHuhSq3AJ5eI5OnqOPBNLWSHKh2a30DoXe8/edit?usp=sharing"",""นครศรีธรรมราช!I508"")"),0.0)</f>
        <v>0</v>
      </c>
      <c r="J613" s="232">
        <f>IFERROR(__xludf.DUMMYFUNCTION("IMPORTRANGE(""https://docs.google.com/spreadsheets/d/1IYY_tgx_IHuhSq3AJ5eI5OnqOPBNLWSHKh2a30DoXe8/edit?usp=sharing"",""นครศรีธรรมราช!J508"")"),0.0)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IFERROR(__xludf.DUMMYFUNCTION("IMPORTRANGE(""https://docs.google.com/spreadsheets/d/1IYY_tgx_IHuhSq3AJ5eI5OnqOPBNLWSHKh2a30DoXe8/edit?usp=sharing"",""นครศรีธรรมราช!I509"")"),0.0)</f>
        <v>0</v>
      </c>
      <c r="J614" s="232">
        <f>IFERROR(__xludf.DUMMYFUNCTION("IMPORTRANGE(""https://docs.google.com/spreadsheets/d/1IYY_tgx_IHuhSq3AJ5eI5OnqOPBNLWSHKh2a30DoXe8/edit?usp=sharing"",""นครศรีธรรมราช!J509"")"),0.0)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IFERROR(__xludf.DUMMYFUNCTION("IMPORTRANGE(""https://docs.google.com/spreadsheets/d/1IYY_tgx_IHuhSq3AJ5eI5OnqOPBNLWSHKh2a30DoXe8/edit?usp=sharing"",""นครศรีธรรมราช!I510"")"),0.0)</f>
        <v>0</v>
      </c>
      <c r="J615" s="232">
        <f>IFERROR(__xludf.DUMMYFUNCTION("IMPORTRANGE(""https://docs.google.com/spreadsheets/d/1IYY_tgx_IHuhSq3AJ5eI5OnqOPBNLWSHKh2a30DoXe8/edit?usp=sharing"",""นครศรีธรรมราช!J510"")"),0.0)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IFERROR(__xludf.DUMMYFUNCTION("IMPORTRANGE(""https://docs.google.com/spreadsheets/d/1IYY_tgx_IHuhSq3AJ5eI5OnqOPBNLWSHKh2a30DoXe8/edit?usp=sharing"",""นครศรีธรรมราช!I511"")"),0.0)</f>
        <v>0</v>
      </c>
      <c r="J616" s="232">
        <f>IFERROR(__xludf.DUMMYFUNCTION("IMPORTRANGE(""https://docs.google.com/spreadsheets/d/1IYY_tgx_IHuhSq3AJ5eI5OnqOPBNLWSHKh2a30DoXe8/edit?usp=sharing"",""นครศรีธรรมราช!J511"")"),0.0)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IFERROR(__xludf.DUMMYFUNCTION("IMPORTRANGE(""https://docs.google.com/spreadsheets/d/1IYY_tgx_IHuhSq3AJ5eI5OnqOPBNLWSHKh2a30DoXe8/edit?usp=sharing"",""นครศรีธรรมราช!I512"")"),0.0)</f>
        <v>0</v>
      </c>
      <c r="J617" s="222">
        <f>IFERROR(__xludf.DUMMYFUNCTION("IMPORTRANGE(""https://docs.google.com/spreadsheets/d/1IYY_tgx_IHuhSq3AJ5eI5OnqOPBNLWSHKh2a30DoXe8/edit?usp=sharing"",""นครศรีธรรมราช!J512"")"),0.0)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IFERROR(__xludf.DUMMYFUNCTION("IMPORTRANGE(""https://docs.google.com/spreadsheets/d/1IYY_tgx_IHuhSq3AJ5eI5OnqOPBNLWSHKh2a30DoXe8/edit?usp=sharing"",""นครศรีธรรมราช!I513"")"),0.0)</f>
        <v>0</v>
      </c>
      <c r="J618" s="223">
        <f>IFERROR(__xludf.DUMMYFUNCTION("IMPORTRANGE(""https://docs.google.com/spreadsheets/d/1IYY_tgx_IHuhSq3AJ5eI5OnqOPBNLWSHKh2a30DoXe8/edit?usp=sharing"",""นครศรีธรรมราช!J513"")"),0.0)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IFERROR(__xludf.DUMMYFUNCTION("IMPORTRANGE(""https://docs.google.com/spreadsheets/d/1IYY_tgx_IHuhSq3AJ5eI5OnqOPBNLWSHKh2a30DoXe8/edit?usp=sharing"",""นครศรีธรรมราช!I514"")"),0.0)</f>
        <v>0</v>
      </c>
      <c r="J619" s="223">
        <f>IFERROR(__xludf.DUMMYFUNCTION("IMPORTRANGE(""https://docs.google.com/spreadsheets/d/1IYY_tgx_IHuhSq3AJ5eI5OnqOPBNLWSHKh2a30DoXe8/edit?usp=sharing"",""นครศรีธรรมราช!J514"")"),0.0)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IFERROR(__xludf.DUMMYFUNCTION("IMPORTRANGE(""https://docs.google.com/spreadsheets/d/1IYY_tgx_IHuhSq3AJ5eI5OnqOPBNLWSHKh2a30DoXe8/edit?usp=sharing"",""นครศรีธรรมราช!I515"")"),0.0)</f>
        <v>0</v>
      </c>
      <c r="J620" s="237">
        <f>IFERROR(__xludf.DUMMYFUNCTION("IMPORTRANGE(""https://docs.google.com/spreadsheets/d/1IYY_tgx_IHuhSq3AJ5eI5OnqOPBNLWSHKh2a30DoXe8/edit?usp=sharing"",""นครศรีธรรมราช!J515"")"),0.0)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IFERROR(__xludf.DUMMYFUNCTION("IMPORTRANGE(""https://docs.google.com/spreadsheets/d/1IYY_tgx_IHuhSq3AJ5eI5OnqOPBNLWSHKh2a30DoXe8/edit?usp=sharing"",""นครศรีธรรมราช!I516"")"),0.0)</f>
        <v>0</v>
      </c>
      <c r="J621" s="237">
        <f>IFERROR(__xludf.DUMMYFUNCTION("IMPORTRANGE(""https://docs.google.com/spreadsheets/d/1IYY_tgx_IHuhSq3AJ5eI5OnqOPBNLWSHKh2a30DoXe8/edit?usp=sharing"",""นครศรีธรรมราช!J516"")"),0.0)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IFERROR(__xludf.DUMMYFUNCTION("IMPORTRANGE(""https://docs.google.com/spreadsheets/d/1IYY_tgx_IHuhSq3AJ5eI5OnqOPBNLWSHKh2a30DoXe8/edit?usp=sharing"",""นครศรีธรรมราช!I517"")"),0.0)</f>
        <v>0</v>
      </c>
      <c r="J622" s="223">
        <f>IFERROR(__xludf.DUMMYFUNCTION("IMPORTRANGE(""https://docs.google.com/spreadsheets/d/1IYY_tgx_IHuhSq3AJ5eI5OnqOPBNLWSHKh2a30DoXe8/edit?usp=sharing"",""นครศรีธรรมราช!J517"")"),0.0)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IFERROR(__xludf.DUMMYFUNCTION("IMPORTRANGE(""https://docs.google.com/spreadsheets/d/1IYY_tgx_IHuhSq3AJ5eI5OnqOPBNLWSHKh2a30DoXe8/edit?usp=sharing"",""นครศรีธรรมราช!I518"")"),0.0)</f>
        <v>0</v>
      </c>
      <c r="J623" s="223">
        <f>IFERROR(__xludf.DUMMYFUNCTION("IMPORTRANGE(""https://docs.google.com/spreadsheets/d/1IYY_tgx_IHuhSq3AJ5eI5OnqOPBNLWSHKh2a30DoXe8/edit?usp=sharing"",""นครศรีธรรมราช!J518"")"),0.0)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IFERROR(__xludf.DUMMYFUNCTION("IMPORTRANGE(""https://docs.google.com/spreadsheets/d/1IYY_tgx_IHuhSq3AJ5eI5OnqOPBNLWSHKh2a30DoXe8/edit?usp=sharing"",""นครศรีธรรมราช!I519"")"),0.0)</f>
        <v>0</v>
      </c>
      <c r="J624" s="222">
        <f>IFERROR(__xludf.DUMMYFUNCTION("IMPORTRANGE(""https://docs.google.com/spreadsheets/d/1IYY_tgx_IHuhSq3AJ5eI5OnqOPBNLWSHKh2a30DoXe8/edit?usp=sharing"",""นครศรีธรรมราช!J519"")"),0.0)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IFERROR(__xludf.DUMMYFUNCTION("IMPORTRANGE(""https://docs.google.com/spreadsheets/d/1IYY_tgx_IHuhSq3AJ5eI5OnqOPBNLWSHKh2a30DoXe8/edit?usp=sharing"",""นครศรีธรรมราช!I520"")"),0.0)</f>
        <v>0</v>
      </c>
      <c r="J625" s="223">
        <f>IFERROR(__xludf.DUMMYFUNCTION("IMPORTRANGE(""https://docs.google.com/spreadsheets/d/1IYY_tgx_IHuhSq3AJ5eI5OnqOPBNLWSHKh2a30DoXe8/edit?usp=sharing"",""นครศรีธรรมราช!J520"")"),0.0)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IFERROR(__xludf.DUMMYFUNCTION("IMPORTRANGE(""https://docs.google.com/spreadsheets/d/1IYY_tgx_IHuhSq3AJ5eI5OnqOPBNLWSHKh2a30DoXe8/edit?usp=sharing"",""นครศรีธรรมราช!I521"")"),0.0)</f>
        <v>0</v>
      </c>
      <c r="J626" s="223">
        <f>IFERROR(__xludf.DUMMYFUNCTION("IMPORTRANGE(""https://docs.google.com/spreadsheets/d/1IYY_tgx_IHuhSq3AJ5eI5OnqOPBNLWSHKh2a30DoXe8/edit?usp=sharing"",""นครศรีธรรมราช!J521"")"),0.0)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IFERROR(__xludf.DUMMYFUNCTION("IMPORTRANGE(""https://docs.google.com/spreadsheets/d/1IYY_tgx_IHuhSq3AJ5eI5OnqOPBNLWSHKh2a30DoXe8/edit?usp=sharing"",""นครศรีธรรมราช!I523"")"),2169042.49)</f>
        <v>2169042.49</v>
      </c>
      <c r="J628" s="374">
        <f>IFERROR(__xludf.DUMMYFUNCTION("IMPORTRANGE(""https://docs.google.com/spreadsheets/d/1IYY_tgx_IHuhSq3AJ5eI5OnqOPBNLWSHKh2a30DoXe8/edit?usp=sharing"",""นครศรีธรรมราช!J523"")"),105257.56)</f>
        <v>105257.56</v>
      </c>
      <c r="K628" s="375">
        <f t="shared" ref="K628:K635" si="130">IF(I628&gt;0,J628*100/I628,0)</f>
        <v>4.852720059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IFERROR(__xludf.DUMMYFUNCTION("IMPORTRANGE(""https://docs.google.com/spreadsheets/d/1IYY_tgx_IHuhSq3AJ5eI5OnqOPBNLWSHKh2a30DoXe8/edit?usp=sharing"",""นครศรีธรรมราช!I524"")"),156.0)</f>
        <v>156</v>
      </c>
      <c r="J629" s="374">
        <f>IFERROR(__xludf.DUMMYFUNCTION("IMPORTRANGE(""https://docs.google.com/spreadsheets/d/1IYY_tgx_IHuhSq3AJ5eI5OnqOPBNLWSHKh2a30DoXe8/edit?usp=sharing"",""นครศรีธรรมราช!J524"")"),7.0)</f>
        <v>7</v>
      </c>
      <c r="K629" s="375">
        <f t="shared" si="130"/>
        <v>4.487179487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IFERROR(__xludf.DUMMYFUNCTION("IMPORTRANGE(""https://docs.google.com/spreadsheets/d/1IYY_tgx_IHuhSq3AJ5eI5OnqOPBNLWSHKh2a30DoXe8/edit?usp=sharing"",""นครศรีธรรมราช!I525"")"),2464866.69)</f>
        <v>2464866.69</v>
      </c>
      <c r="J630" s="374">
        <f>IFERROR(__xludf.DUMMYFUNCTION("IMPORTRANGE(""https://docs.google.com/spreadsheets/d/1IYY_tgx_IHuhSq3AJ5eI5OnqOPBNLWSHKh2a30DoXe8/edit?usp=sharing"",""นครศรีธรรมราช!J525"")"),115271.57)</f>
        <v>115271.57</v>
      </c>
      <c r="K630" s="375">
        <f t="shared" si="130"/>
        <v>4.676584355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IFERROR(__xludf.DUMMYFUNCTION("IMPORTRANGE(""https://docs.google.com/spreadsheets/d/1IYY_tgx_IHuhSq3AJ5eI5OnqOPBNLWSHKh2a30DoXe8/edit?usp=sharing"",""นครศรีธรรมราช!I526"")"),105.0)</f>
        <v>105</v>
      </c>
      <c r="J631" s="374">
        <f>IFERROR(__xludf.DUMMYFUNCTION("IMPORTRANGE(""https://docs.google.com/spreadsheets/d/1IYY_tgx_IHuhSq3AJ5eI5OnqOPBNLWSHKh2a30DoXe8/edit?usp=sharing"",""นครศรีธรรมราช!J526"")"),44.0)</f>
        <v>44</v>
      </c>
      <c r="K631" s="375">
        <f t="shared" si="130"/>
        <v>41.9047619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IFERROR(__xludf.DUMMYFUNCTION("IMPORTRANGE(""https://docs.google.com/spreadsheets/d/1IYY_tgx_IHuhSq3AJ5eI5OnqOPBNLWSHKh2a30DoXe8/edit?usp=sharing"",""นครศรีธรรมราช!I527"")"),0.0)</f>
        <v>0</v>
      </c>
      <c r="J632" s="374">
        <f>IFERROR(__xludf.DUMMYFUNCTION("IMPORTRANGE(""https://docs.google.com/spreadsheets/d/1IYY_tgx_IHuhSq3AJ5eI5OnqOPBNLWSHKh2a30DoXe8/edit?usp=sharing"",""นครศรีธรรมราช!J527"")"),0.0)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IFERROR(__xludf.DUMMYFUNCTION("IMPORTRANGE(""https://docs.google.com/spreadsheets/d/1IYY_tgx_IHuhSq3AJ5eI5OnqOPBNLWSHKh2a30DoXe8/edit?usp=sharing"",""นครศรีธรรมราช!I528"")"),0.0)</f>
        <v>0</v>
      </c>
      <c r="J633" s="374">
        <f>IFERROR(__xludf.DUMMYFUNCTION("IMPORTRANGE(""https://docs.google.com/spreadsheets/d/1IYY_tgx_IHuhSq3AJ5eI5OnqOPBNLWSHKh2a30DoXe8/edit?usp=sharing"",""นครศรีธรรมราช!J528"")"),0.0)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IFERROR(__xludf.DUMMYFUNCTION("IMPORTRANGE(""https://docs.google.com/spreadsheets/d/1IYY_tgx_IHuhSq3AJ5eI5OnqOPBNLWSHKh2a30DoXe8/edit?usp=sharing"",""นครศรีธรรมราช!I529"")"),2000000.0)</f>
        <v>2000000</v>
      </c>
      <c r="J634" s="374">
        <f>IFERROR(__xludf.DUMMYFUNCTION("IMPORTRANGE(""https://docs.google.com/spreadsheets/d/1IYY_tgx_IHuhSq3AJ5eI5OnqOPBNLWSHKh2a30DoXe8/edit?usp=sharing"",""นครศรีธรรมราช!J529"")"),0.0)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IFERROR(__xludf.DUMMYFUNCTION("IMPORTRANGE(""https://docs.google.com/spreadsheets/d/1IYY_tgx_IHuhSq3AJ5eI5OnqOPBNLWSHKh2a30DoXe8/edit?usp=sharing"",""นครศรีธรรมราช!I530"")"),70.0)</f>
        <v>70</v>
      </c>
      <c r="J635" s="544">
        <f>IFERROR(__xludf.DUMMYFUNCTION("IMPORTRANGE(""https://docs.google.com/spreadsheets/d/1IYY_tgx_IHuhSq3AJ5eI5OnqOPBNLWSHKh2a30DoXe8/edit?usp=sharing"",""นครศรีธรรมราช!J530"")"),0.0)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247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4114253</v>
      </c>
      <c r="M8" s="41">
        <f t="shared" si="1"/>
        <v>945455</v>
      </c>
      <c r="N8" s="41">
        <f t="shared" si="1"/>
        <v>1708691.74</v>
      </c>
      <c r="O8" s="40">
        <f t="shared" ref="O8:O16" si="3">IF(L8&gt;0,N8*100/L8,0)</f>
        <v>41.53103224</v>
      </c>
      <c r="P8" s="40">
        <f t="shared" ref="P8:P16" si="4">IF(M8&gt;0,N8*100/M8,0)</f>
        <v>180.7269241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4114253</v>
      </c>
      <c r="M10" s="48">
        <f t="shared" si="5"/>
        <v>945455</v>
      </c>
      <c r="N10" s="48">
        <f t="shared" si="5"/>
        <v>1708691.74</v>
      </c>
      <c r="O10" s="47">
        <f t="shared" si="3"/>
        <v>41.53103224</v>
      </c>
      <c r="P10" s="47">
        <f t="shared" si="4"/>
        <v>180.7269241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3163853</v>
      </c>
      <c r="M12" s="58">
        <f t="shared" si="7"/>
        <v>945455</v>
      </c>
      <c r="N12" s="58">
        <f t="shared" si="7"/>
        <v>758291.74</v>
      </c>
      <c r="O12" s="58">
        <f t="shared" si="3"/>
        <v>23.96735057</v>
      </c>
      <c r="P12" s="58">
        <f t="shared" si="4"/>
        <v>80.20389548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1368300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891553</v>
      </c>
      <c r="M14" s="58">
        <f t="shared" si="9"/>
        <v>0</v>
      </c>
      <c r="N14" s="58">
        <f t="shared" si="9"/>
        <v>279590.74</v>
      </c>
      <c r="O14" s="61">
        <f t="shared" si="3"/>
        <v>31.3599685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950400</v>
      </c>
      <c r="M16" s="58">
        <f t="shared" si="11"/>
        <v>0</v>
      </c>
      <c r="N16" s="58">
        <f t="shared" si="11"/>
        <v>950400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2597545</v>
      </c>
      <c r="M18" s="41">
        <f t="shared" si="12"/>
        <v>945455</v>
      </c>
      <c r="N18" s="41">
        <f t="shared" si="12"/>
        <v>1429101</v>
      </c>
      <c r="O18" s="40">
        <f t="shared" ref="O18:O20" si="14">IF(L18&gt;0,N18*100/L18,0)</f>
        <v>55.01737217</v>
      </c>
      <c r="P18" s="40">
        <f t="shared" ref="P18:P26" si="15">IF(M18&gt;0,N18*100/M18,0)</f>
        <v>151.1548408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2597545</v>
      </c>
      <c r="M20" s="48">
        <f t="shared" si="16"/>
        <v>945455</v>
      </c>
      <c r="N20" s="48">
        <f t="shared" si="16"/>
        <v>1429101</v>
      </c>
      <c r="O20" s="47">
        <f t="shared" si="14"/>
        <v>55.01737217</v>
      </c>
      <c r="P20" s="47">
        <f t="shared" si="15"/>
        <v>151.1548408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1647145</v>
      </c>
      <c r="M22" s="62">
        <f t="shared" si="18"/>
        <v>945455</v>
      </c>
      <c r="N22" s="61">
        <f t="shared" si="18"/>
        <v>478701</v>
      </c>
      <c r="O22" s="61">
        <f t="shared" si="19"/>
        <v>29.0624687</v>
      </c>
      <c r="P22" s="61">
        <f t="shared" si="15"/>
        <v>50.6318122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1368300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278845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950400</v>
      </c>
      <c r="M26" s="70">
        <f t="shared" si="23"/>
        <v>0</v>
      </c>
      <c r="N26" s="70">
        <f t="shared" si="23"/>
        <v>950400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1516708</v>
      </c>
      <c r="M28" s="41">
        <f t="shared" si="24"/>
        <v>0</v>
      </c>
      <c r="N28" s="41">
        <f t="shared" si="24"/>
        <v>279590.74</v>
      </c>
      <c r="O28" s="40">
        <f t="shared" ref="O28:O30" si="26">IF(L28&gt;0,N28*100/L28,0)</f>
        <v>18.43405191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1516708</v>
      </c>
      <c r="M30" s="48">
        <f t="shared" si="28"/>
        <v>0</v>
      </c>
      <c r="N30" s="48">
        <f t="shared" si="28"/>
        <v>279590.74</v>
      </c>
      <c r="O30" s="47">
        <f t="shared" si="26"/>
        <v>18.43405191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1516708</v>
      </c>
      <c r="M32" s="61">
        <f t="shared" si="30"/>
        <v>0</v>
      </c>
      <c r="N32" s="61">
        <f t="shared" si="30"/>
        <v>279590.74</v>
      </c>
      <c r="O32" s="61">
        <f t="shared" si="31"/>
        <v>18.43405191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612708</v>
      </c>
      <c r="M34" s="61">
        <f t="shared" si="33"/>
        <v>0</v>
      </c>
      <c r="N34" s="61">
        <f t="shared" si="33"/>
        <v>279590.74</v>
      </c>
      <c r="O34" s="61">
        <f t="shared" si="31"/>
        <v>45.63197151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2597545</v>
      </c>
      <c r="M37" s="75">
        <f t="shared" si="34"/>
        <v>945455</v>
      </c>
      <c r="N37" s="75">
        <f t="shared" si="34"/>
        <v>1429101</v>
      </c>
      <c r="O37" s="76">
        <f t="shared" si="31"/>
        <v>55.01737217</v>
      </c>
      <c r="P37" s="76">
        <f t="shared" si="27"/>
        <v>151.1548408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1505900</v>
      </c>
      <c r="M41" s="102">
        <f t="shared" si="35"/>
        <v>277700</v>
      </c>
      <c r="N41" s="102">
        <f t="shared" si="35"/>
        <v>1131100</v>
      </c>
      <c r="O41" s="101">
        <f t="shared" ref="O41:O43" si="37">IF(L41&gt;0,N41*100/L41,0)</f>
        <v>75.11122917</v>
      </c>
      <c r="P41" s="101">
        <f t="shared" ref="P41:P43" si="38">IF(M41&gt;0,N41*100/M41,0)</f>
        <v>407.3100468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1505900</v>
      </c>
      <c r="M43" s="102">
        <f t="shared" si="39"/>
        <v>277700</v>
      </c>
      <c r="N43" s="102">
        <f t="shared" si="39"/>
        <v>1131100</v>
      </c>
      <c r="O43" s="101">
        <f t="shared" si="37"/>
        <v>75.11122917</v>
      </c>
      <c r="P43" s="101">
        <f t="shared" si="38"/>
        <v>407.3100468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555500</v>
      </c>
      <c r="M45" s="115">
        <f>IFERROR(__xludf.DUMMYFUNCTION("IMPORTRANGE(""https://docs.google.com/spreadsheets/d/1Yj_ptqi66GCucihVvJfMjLAmec39IyEx_6qawtMGysU/edit?usp=sharing"",""สบก!Q85"")"),277700.0)</f>
        <v>277700</v>
      </c>
      <c r="N45" s="115">
        <f>IFERROR(__xludf.DUMMYFUNCTION("IMPORTRANGE(""https://docs.google.com/spreadsheets/d/1Yj_ptqi66GCucihVvJfMjLAmec39IyEx_6qawtMGysU/edit?usp=sharing"",""สบก!R85"")"),180700.0)</f>
        <v>180700</v>
      </c>
      <c r="O45" s="116">
        <f>IF(L45&gt;0,N45*100/L45,0)</f>
        <v>32.52925293</v>
      </c>
      <c r="P45" s="116">
        <f>IF(M45&gt;0,N45*100/M45,0)</f>
        <v>65.07021966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IFERROR(__xludf.DUMMYFUNCTION("IMPORTRANGE(""https://docs.google.com/spreadsheets/d/1Yj_ptqi66GCucihVvJfMjLAmec39IyEx_6qawtMGysU/edit?usp=sharing"",""สบก!M85"")"),555500.0)</f>
        <v>555500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IFERROR(__xludf.DUMMYFUNCTION("IMPORTRANGE(""https://docs.google.com/spreadsheets/d/1Yj_ptqi66GCucihVvJfMjLAmec39IyEx_6qawtMGysU/edit?usp=sharing"",""สบก!N85"")"),0.0)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IFERROR(__xludf.DUMMYFUNCTION("IMPORTRANGE(""https://docs.google.com/spreadsheets/d/1Yj_ptqi66GCucihVvJfMjLAmec39IyEx_6qawtMGysU/edit?usp=sharing"",""สบก!O85"")"),950400.0)</f>
        <v>950400</v>
      </c>
      <c r="M49" s="125"/>
      <c r="N49" s="115">
        <f>IFERROR(__xludf.DUMMYFUNCTION("IMPORTRANGE(""https://docs.google.com/spreadsheets/d/1Yj_ptqi66GCucihVvJfMjLAmec39IyEx_6qawtMGysU/edit?usp=sharing"",""สบก!S85"")"),950400.0)</f>
        <v>950400</v>
      </c>
      <c r="O49" s="125">
        <f>IF(L49&gt;0,N49*100/L49,0)</f>
        <v>100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306000</v>
      </c>
      <c r="M53" s="151">
        <f t="shared" si="40"/>
        <v>250500</v>
      </c>
      <c r="N53" s="151">
        <f t="shared" si="40"/>
        <v>157671</v>
      </c>
      <c r="O53" s="150">
        <f t="shared" ref="O53:O55" si="42">IF(L53&gt;0,N53*100/L53,0)</f>
        <v>51.52647059</v>
      </c>
      <c r="P53" s="150">
        <f t="shared" ref="P53:P55" si="43">IF(M53&gt;0,N53*100/M53,0)</f>
        <v>62.94251497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306000</v>
      </c>
      <c r="M55" s="151">
        <f t="shared" si="44"/>
        <v>250500</v>
      </c>
      <c r="N55" s="151">
        <f t="shared" si="44"/>
        <v>157671</v>
      </c>
      <c r="O55" s="150">
        <f t="shared" si="42"/>
        <v>51.52647059</v>
      </c>
      <c r="P55" s="150">
        <f t="shared" si="43"/>
        <v>62.94251497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306000</v>
      </c>
      <c r="M57" s="115">
        <f>IFERROR(__xludf.DUMMYFUNCTION("IMPORTRANGE(""https://docs.google.com/spreadsheets/d/1Yj_ptqi66GCucihVvJfMjLAmec39IyEx_6qawtMGysU/edit?usp=sharing"",""สบก!Z85"")"),250500.0)</f>
        <v>250500</v>
      </c>
      <c r="N57" s="115">
        <f>IFERROR(__xludf.DUMMYFUNCTION("IMPORTRANGE(""https://docs.google.com/spreadsheets/d/1Yj_ptqi66GCucihVvJfMjLAmec39IyEx_6qawtMGysU/edit?usp=sharing"",""สบก!AA85"")"),157671.0)</f>
        <v>157671</v>
      </c>
      <c r="O57" s="116">
        <f>IF(L57&gt;0,N57*100/L57,0)</f>
        <v>51.52647059</v>
      </c>
      <c r="P57" s="116">
        <f>IF(M57&gt;0,N57*100/M57,0)</f>
        <v>62.94251497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IFERROR(__xludf.DUMMYFUNCTION("IMPORTRANGE(""https://docs.google.com/spreadsheets/d/1Yj_ptqi66GCucihVvJfMjLAmec39IyEx_6qawtMGysU/edit?usp=sharing"",""สบก!V85"")"),306000.0)</f>
        <v>306000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IFERROR(__xludf.DUMMYFUNCTION("IMPORTRANGE(""https://docs.google.com/spreadsheets/d/1Yj_ptqi66GCucihVvJfMjLAmec39IyEx_6qawtMGysU/edit?usp=sharing"",""สบก!W85"")"),0.0)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IFERROR(__xludf.DUMMYFUNCTION("IMPORTRANGE(""https://docs.google.com/spreadsheets/d/1Yj_ptqi66GCucihVvJfMjLAmec39IyEx_6qawtMGysU/edit?usp=sharing"",""สบก!X85"")"),0.0)</f>
        <v>0</v>
      </c>
      <c r="M61" s="125"/>
      <c r="N61" s="115">
        <f>IFERROR(__xludf.DUMMYFUNCTION("IMPORTRANGE(""https://docs.google.com/spreadsheets/d/1Yj_ptqi66GCucihVvJfMjLAmec39IyEx_6qawtMGysU/edit?usp=sharing"",""สบก!AB85"")"),0.0)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IFERROR(__xludf.DUMMYFUNCTION("IMPORTRANGE(""https://docs.google.com/spreadsheets/d/1IYY_tgx_IHuhSq3AJ5eI5OnqOPBNLWSHKh2a30DoXe8/edit?usp=sharing"",""นราธิวาส!I9"")"),0.0)</f>
        <v>0</v>
      </c>
      <c r="J64" s="172">
        <f>IFERROR(__xludf.DUMMYFUNCTION("IMPORTRANGE(""https://docs.google.com/spreadsheets/d/1IYY_tgx_IHuhSq3AJ5eI5OnqOPBNLWSHKh2a30DoXe8/edit?usp=sharing"",""นราธิวาส!J9"")"),0.0)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IFERROR(__xludf.DUMMYFUNCTION("IMPORTRANGE(""https://docs.google.com/spreadsheets/d/1IYY_tgx_IHuhSq3AJ5eI5OnqOPBNLWSHKh2a30DoXe8/edit?usp=sharing"",""นราธิวาส!I10"")"),0.0)</f>
        <v>0</v>
      </c>
      <c r="J65" s="172">
        <f>IFERROR(__xludf.DUMMYFUNCTION("IMPORTRANGE(""https://docs.google.com/spreadsheets/d/1IYY_tgx_IHuhSq3AJ5eI5OnqOPBNLWSHKh2a30DoXe8/edit?usp=sharing"",""นราธิวาส!J10"")"),0.0)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IFERROR(__xludf.DUMMYFUNCTION("IMPORTRANGE(""https://docs.google.com/spreadsheets/d/1Yj_ptqi66GCucihVvJfMjLAmec39IyEx_6qawtMGysU/edit?usp=sharing"",""สบก!AI85"")"),0.0)</f>
        <v>0</v>
      </c>
      <c r="N70" s="202">
        <f>IFERROR(__xludf.DUMMYFUNCTION("IMPORTRANGE(""https://docs.google.com/spreadsheets/d/1Yj_ptqi66GCucihVvJfMjLAmec39IyEx_6qawtMGysU/edit?usp=sharing"",""สบก!AJ85"")"),0.0)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IFERROR(__xludf.DUMMYFUNCTION("IMPORTRANGE(""https://docs.google.com/spreadsheets/d/1Yj_ptqi66GCucihVvJfMjLAmec39IyEx_6qawtMGysU/edit?usp=sharing"",""สบก!AE85"")"),0.0)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IFERROR(__xludf.DUMMYFUNCTION("IMPORTRANGE(""https://docs.google.com/spreadsheets/d/1Yj_ptqi66GCucihVvJfMjLAmec39IyEx_6qawtMGysU/edit?usp=sharing"",""สบก!AF85"")"),0.0)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IFERROR(__xludf.DUMMYFUNCTION("IMPORTRANGE(""https://docs.google.com/spreadsheets/d/1Yj_ptqi66GCucihVvJfMjLAmec39IyEx_6qawtMGysU/edit?usp=sharing"",""สบก!AG85"")"),0.0)</f>
        <v>0</v>
      </c>
      <c r="M74" s="125"/>
      <c r="N74" s="115">
        <f>IFERROR(__xludf.DUMMYFUNCTION("IMPORTRANGE(""https://docs.google.com/spreadsheets/d/1Yj_ptqi66GCucihVvJfMjLAmec39IyEx_6qawtMGysU/edit?usp=sharing"",""สบก!AK85"")"),0.0)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IFERROR(__xludf.DUMMYFUNCTION("IMPORTRANGE(""https://docs.google.com/spreadsheets/d/1IYY_tgx_IHuhSq3AJ5eI5OnqOPBNLWSHKh2a30DoXe8/edit?usp=sharing"",""นราธิวาส!J16"")"),0.0)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IFERROR(__xludf.DUMMYFUNCTION("IMPORTRANGE(""https://docs.google.com/spreadsheets/d/1IYY_tgx_IHuhSq3AJ5eI5OnqOPBNLWSHKh2a30DoXe8/edit?usp=sharing"",""นราธิวาส!J17"")"),0.0)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IFERROR(__xludf.DUMMYFUNCTION("IMPORTRANGE(""https://docs.google.com/spreadsheets/d/1IYY_tgx_IHuhSq3AJ5eI5OnqOPBNLWSHKh2a30DoXe8/edit?usp=sharing"",""นราธิวาส!J18"")"),0.0)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IFERROR(__xludf.DUMMYFUNCTION("IMPORTRANGE(""https://docs.google.com/spreadsheets/d/1IYY_tgx_IHuhSq3AJ5eI5OnqOPBNLWSHKh2a30DoXe8/edit?usp=sharing"",""นราธิวาส!J19"")"),0.0)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IFERROR(__xludf.DUMMYFUNCTION("IMPORTRANGE(""https://docs.google.com/spreadsheets/d/1IYY_tgx_IHuhSq3AJ5eI5OnqOPBNLWSHKh2a30DoXe8/edit?usp=sharing"",""นราธิวาส!I20"")"),0.0)</f>
        <v>0</v>
      </c>
      <c r="J80" s="235">
        <f>IFERROR(__xludf.DUMMYFUNCTION("IMPORTRANGE(""https://docs.google.com/spreadsheets/d/1IYY_tgx_IHuhSq3AJ5eI5OnqOPBNLWSHKh2a30DoXe8/edit?usp=sharing"",""นราธิวาส!J20"")"),0.0)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IFERROR(__xludf.DUMMYFUNCTION("IMPORTRANGE(""https://docs.google.com/spreadsheets/d/1IYY_tgx_IHuhSq3AJ5eI5OnqOPBNLWSHKh2a30DoXe8/edit?usp=sharing"",""นราธิวาส!I21"")"),0.0)</f>
        <v>0</v>
      </c>
      <c r="J81" s="235">
        <f>IFERROR(__xludf.DUMMYFUNCTION("IMPORTRANGE(""https://docs.google.com/spreadsheets/d/1IYY_tgx_IHuhSq3AJ5eI5OnqOPBNLWSHKh2a30DoXe8/edit?usp=sharing"",""นราธิวาส!J21"")"),0.0)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IFERROR(__xludf.DUMMYFUNCTION("IMPORTRANGE(""https://docs.google.com/spreadsheets/d/1IYY_tgx_IHuhSq3AJ5eI5OnqOPBNLWSHKh2a30DoXe8/edit?usp=sharing"",""นราธิวาส!I22"")"),0.0)</f>
        <v>0</v>
      </c>
      <c r="J82" s="238">
        <f>IFERROR(__xludf.DUMMYFUNCTION("IMPORTRANGE(""https://docs.google.com/spreadsheets/d/1IYY_tgx_IHuhSq3AJ5eI5OnqOPBNLWSHKh2a30DoXe8/edit?usp=sharing"",""นราธิวาส!J22"")"),0.0)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IFERROR(__xludf.DUMMYFUNCTION("IMPORTRANGE(""https://docs.google.com/spreadsheets/d/1IYY_tgx_IHuhSq3AJ5eI5OnqOPBNLWSHKh2a30DoXe8/edit?usp=sharing"",""นราธิวาส!I23"")"),0.0)</f>
        <v>0</v>
      </c>
      <c r="J83" s="238">
        <f>IFERROR(__xludf.DUMMYFUNCTION("IMPORTRANGE(""https://docs.google.com/spreadsheets/d/1IYY_tgx_IHuhSq3AJ5eI5OnqOPBNLWSHKh2a30DoXe8/edit?usp=sharing"",""นราธิวาส!J23"")"),0.0)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IFERROR(__xludf.DUMMYFUNCTION("IMPORTRANGE(""https://docs.google.com/spreadsheets/d/1IYY_tgx_IHuhSq3AJ5eI5OnqOPBNLWSHKh2a30DoXe8/edit?usp=sharing"",""นราธิวาส!I24"")"),0.0)</f>
        <v>0</v>
      </c>
      <c r="J84" s="223">
        <f>IFERROR(__xludf.DUMMYFUNCTION("IMPORTRANGE(""https://docs.google.com/spreadsheets/d/1IYY_tgx_IHuhSq3AJ5eI5OnqOPBNLWSHKh2a30DoXe8/edit?usp=sharing"",""นราธิวาส!J24"")"),0.0)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IFERROR(__xludf.DUMMYFUNCTION("IMPORTRANGE(""https://docs.google.com/spreadsheets/d/1IYY_tgx_IHuhSq3AJ5eI5OnqOPBNLWSHKh2a30DoXe8/edit?usp=sharing"",""นราธิวาส!I25"")"),0.0)</f>
        <v>0</v>
      </c>
      <c r="J85" s="223">
        <f>IFERROR(__xludf.DUMMYFUNCTION("IMPORTRANGE(""https://docs.google.com/spreadsheets/d/1IYY_tgx_IHuhSq3AJ5eI5OnqOPBNLWSHKh2a30DoXe8/edit?usp=sharing"",""นราธิวาส!J25"")"),0.0)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IFERROR(__xludf.DUMMYFUNCTION("IMPORTRANGE(""https://docs.google.com/spreadsheets/d/1IYY_tgx_IHuhSq3AJ5eI5OnqOPBNLWSHKh2a30DoXe8/edit?usp=sharing"",""นราธิวาส!I26"")"),0.0)</f>
        <v>0</v>
      </c>
      <c r="J86" s="238">
        <f>IFERROR(__xludf.DUMMYFUNCTION("IMPORTRANGE(""https://docs.google.com/spreadsheets/d/1IYY_tgx_IHuhSq3AJ5eI5OnqOPBNLWSHKh2a30DoXe8/edit?usp=sharing"",""นราธิวาส!J26"")"),0.0)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IFERROR(__xludf.DUMMYFUNCTION("IMPORTRANGE(""https://docs.google.com/spreadsheets/d/1IYY_tgx_IHuhSq3AJ5eI5OnqOPBNLWSHKh2a30DoXe8/edit?usp=sharing"",""นราธิวาส!I27"")"),0.0)</f>
        <v>0</v>
      </c>
      <c r="J87" s="238">
        <f>IFERROR(__xludf.DUMMYFUNCTION("IMPORTRANGE(""https://docs.google.com/spreadsheets/d/1IYY_tgx_IHuhSq3AJ5eI5OnqOPBNLWSHKh2a30DoXe8/edit?usp=sharing"",""นราธิวาส!J27"")"),0.0)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IFERROR(__xludf.DUMMYFUNCTION("IMPORTRANGE(""https://docs.google.com/spreadsheets/d/1IYY_tgx_IHuhSq3AJ5eI5OnqOPBNLWSHKh2a30DoXe8/edit?usp=sharing"",""นราธิวาส!I28"")"),0.0)</f>
        <v>0</v>
      </c>
      <c r="J88" s="238">
        <f>IFERROR(__xludf.DUMMYFUNCTION("IMPORTRANGE(""https://docs.google.com/spreadsheets/d/1IYY_tgx_IHuhSq3AJ5eI5OnqOPBNLWSHKh2a30DoXe8/edit?usp=sharing"",""นราธิวาส!J28"")"),0.0)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IFERROR(__xludf.DUMMYFUNCTION("IMPORTRANGE(""https://docs.google.com/spreadsheets/d/1IYY_tgx_IHuhSq3AJ5eI5OnqOPBNLWSHKh2a30DoXe8/edit?usp=sharing"",""นราธิวาส!J29"")"),0.0)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IFERROR(__xludf.DUMMYFUNCTION("IMPORTRANGE(""https://docs.google.com/spreadsheets/d/1IYY_tgx_IHuhSq3AJ5eI5OnqOPBNLWSHKh2a30DoXe8/edit?usp=sharing"",""นราธิวาส!J30"")"),0.0)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IFERROR(__xludf.DUMMYFUNCTION("IMPORTRANGE(""https://docs.google.com/spreadsheets/d/1IYY_tgx_IHuhSq3AJ5eI5OnqOPBNLWSHKh2a30DoXe8/edit?usp=sharing"",""นราธิวาส!I32"")"),0.0)</f>
        <v>0</v>
      </c>
      <c r="J92" s="172">
        <f>IFERROR(__xludf.DUMMYFUNCTION("IMPORTRANGE(""https://docs.google.com/spreadsheets/d/1IYY_tgx_IHuhSq3AJ5eI5OnqOPBNLWSHKh2a30DoXe8/edit?usp=sharing"",""นราธิวาส!J32"")"),0.0)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IFERROR(__xludf.DUMMYFUNCTION("IMPORTRANGE(""https://docs.google.com/spreadsheets/d/1IYY_tgx_IHuhSq3AJ5eI5OnqOPBNLWSHKh2a30DoXe8/edit?usp=sharing"",""นราธิวาส!I33"")"),0.0)</f>
        <v>0</v>
      </c>
      <c r="J93" s="172">
        <f>IFERROR(__xludf.DUMMYFUNCTION("IMPORTRANGE(""https://docs.google.com/spreadsheets/d/1IYY_tgx_IHuhSq3AJ5eI5OnqOPBNLWSHKh2a30DoXe8/edit?usp=sharing"",""นราธิวาส!J33"")"),0.0)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IFERROR(__xludf.DUMMYFUNCTION("IMPORTRANGE(""https://docs.google.com/spreadsheets/d/1Yj_ptqi66GCucihVvJfMjLAmec39IyEx_6qawtMGysU/edit?usp=sharing"",""สบก!AR85"")"),0.0)</f>
        <v>0</v>
      </c>
      <c r="N98" s="202">
        <f>IFERROR(__xludf.DUMMYFUNCTION("IMPORTRANGE(""https://docs.google.com/spreadsheets/d/1Yj_ptqi66GCucihVvJfMjLAmec39IyEx_6qawtMGysU/edit?usp=sharing"",""สบก!AS85"")"),0.0)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IFERROR(__xludf.DUMMYFUNCTION("IMPORTRANGE(""https://docs.google.com/spreadsheets/d/1Yj_ptqi66GCucihVvJfMjLAmec39IyEx_6qawtMGysU/edit?usp=sharing"",""สบก!AN85"")"),0.0)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IFERROR(__xludf.DUMMYFUNCTION("IMPORTRANGE(""https://docs.google.com/spreadsheets/d/1Yj_ptqi66GCucihVvJfMjLAmec39IyEx_6qawtMGysU/edit?usp=sharing"",""สบก!AO85"")"),0.0)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IFERROR(__xludf.DUMMYFUNCTION("IMPORTRANGE(""https://docs.google.com/spreadsheets/d/1Yj_ptqi66GCucihVvJfMjLAmec39IyEx_6qawtMGysU/edit?usp=sharing"",""สบก!AP85"")"),0.0)</f>
        <v>0</v>
      </c>
      <c r="M102" s="125"/>
      <c r="N102" s="115">
        <f>IFERROR(__xludf.DUMMYFUNCTION("IMPORTRANGE(""https://docs.google.com/spreadsheets/d/1Yj_ptqi66GCucihVvJfMjLAmec39IyEx_6qawtMGysU/edit?usp=sharing"",""สบก!AT85"")"),0.0)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IFERROR(__xludf.DUMMYFUNCTION("IMPORTRANGE(""https://docs.google.com/spreadsheets/d/1IYY_tgx_IHuhSq3AJ5eI5OnqOPBNLWSHKh2a30DoXe8/edit?usp=sharing"",""นราธิวาส!J39"")"),0.0)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IFERROR(__xludf.DUMMYFUNCTION("IMPORTRANGE(""https://docs.google.com/spreadsheets/d/1IYY_tgx_IHuhSq3AJ5eI5OnqOPBNLWSHKh2a30DoXe8/edit?usp=sharing"",""นราธิวาส!J40"")"),0.0)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IFERROR(__xludf.DUMMYFUNCTION("IMPORTRANGE(""https://docs.google.com/spreadsheets/d/1IYY_tgx_IHuhSq3AJ5eI5OnqOPBNLWSHKh2a30DoXe8/edit?usp=sharing"",""นราธิวาส!J41"")"),0.0)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IFERROR(__xludf.DUMMYFUNCTION("IMPORTRANGE(""https://docs.google.com/spreadsheets/d/1IYY_tgx_IHuhSq3AJ5eI5OnqOPBNLWSHKh2a30DoXe8/edit?usp=sharing"",""นราธิวาส!J42"")"),0.0)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IFERROR(__xludf.DUMMYFUNCTION("IMPORTRANGE(""https://docs.google.com/spreadsheets/d/1IYY_tgx_IHuhSq3AJ5eI5OnqOPBNLWSHKh2a30DoXe8/edit?usp=sharing"",""นราธิวาส!I43"")"),0.0)</f>
        <v>0</v>
      </c>
      <c r="J108" s="238">
        <f>IFERROR(__xludf.DUMMYFUNCTION("IMPORTRANGE(""https://docs.google.com/spreadsheets/d/1IYY_tgx_IHuhSq3AJ5eI5OnqOPBNLWSHKh2a30DoXe8/edit?usp=sharing"",""นราธิวาส!J43"")"),0.0)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IFERROR(__xludf.DUMMYFUNCTION("IMPORTRANGE(""https://docs.google.com/spreadsheets/d/1IYY_tgx_IHuhSq3AJ5eI5OnqOPBNLWSHKh2a30DoXe8/edit?usp=sharing"",""นราธิวาส!I44"")"),0.0)</f>
        <v>0</v>
      </c>
      <c r="J109" s="238">
        <f>IFERROR(__xludf.DUMMYFUNCTION("IMPORTRANGE(""https://docs.google.com/spreadsheets/d/1IYY_tgx_IHuhSq3AJ5eI5OnqOPBNLWSHKh2a30DoXe8/edit?usp=sharing"",""นราธิวาส!J44"")"),0.0)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IFERROR(__xludf.DUMMYFUNCTION("IMPORTRANGE(""https://docs.google.com/spreadsheets/d/1IYY_tgx_IHuhSq3AJ5eI5OnqOPBNLWSHKh2a30DoXe8/edit?usp=sharing"",""นราธิวาส!I45"")"),0.0)</f>
        <v>0</v>
      </c>
      <c r="J110" s="238">
        <f>IFERROR(__xludf.DUMMYFUNCTION("IMPORTRANGE(""https://docs.google.com/spreadsheets/d/1IYY_tgx_IHuhSq3AJ5eI5OnqOPBNLWSHKh2a30DoXe8/edit?usp=sharing"",""นราธิวาส!J45"")"),0.0)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IFERROR(__xludf.DUMMYFUNCTION("IMPORTRANGE(""https://docs.google.com/spreadsheets/d/1IYY_tgx_IHuhSq3AJ5eI5OnqOPBNLWSHKh2a30DoXe8/edit?usp=sharing"",""นราธิวาส!I46"")"),0.0)</f>
        <v>0</v>
      </c>
      <c r="J111" s="238">
        <f>IFERROR(__xludf.DUMMYFUNCTION("IMPORTRANGE(""https://docs.google.com/spreadsheets/d/1IYY_tgx_IHuhSq3AJ5eI5OnqOPBNLWSHKh2a30DoXe8/edit?usp=sharing"",""นราธิวาส!J46"")"),0.0)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IFERROR(__xludf.DUMMYFUNCTION("IMPORTRANGE(""https://docs.google.com/spreadsheets/d/1IYY_tgx_IHuhSq3AJ5eI5OnqOPBNLWSHKh2a30DoXe8/edit?usp=sharing"",""นราธิวาส!I47"")"),0.0)</f>
        <v>0</v>
      </c>
      <c r="J112" s="238">
        <f>IFERROR(__xludf.DUMMYFUNCTION("IMPORTRANGE(""https://docs.google.com/spreadsheets/d/1IYY_tgx_IHuhSq3AJ5eI5OnqOPBNLWSHKh2a30DoXe8/edit?usp=sharing"",""นราธิวาส!J47"")"),0.0)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IFERROR(__xludf.DUMMYFUNCTION("IMPORTRANGE(""https://docs.google.com/spreadsheets/d/1IYY_tgx_IHuhSq3AJ5eI5OnqOPBNLWSHKh2a30DoXe8/edit?usp=sharing"",""นราธิวาส!I48"")"),0.0)</f>
        <v>0</v>
      </c>
      <c r="J113" s="238">
        <f>IFERROR(__xludf.DUMMYFUNCTION("IMPORTRANGE(""https://docs.google.com/spreadsheets/d/1IYY_tgx_IHuhSq3AJ5eI5OnqOPBNLWSHKh2a30DoXe8/edit?usp=sharing"",""นราธิวาส!J48"")"),0.0)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IFERROR(__xludf.DUMMYFUNCTION("IMPORTRANGE(""https://docs.google.com/spreadsheets/d/1IYY_tgx_IHuhSq3AJ5eI5OnqOPBNLWSHKh2a30DoXe8/edit?usp=sharing"",""นราธิวาส!J49"")"),0.0)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IFERROR(__xludf.DUMMYFUNCTION("IMPORTRANGE(""https://docs.google.com/spreadsheets/d/1IYY_tgx_IHuhSq3AJ5eI5OnqOPBNLWSHKh2a30DoXe8/edit?usp=sharing"",""นราธิวาส!J50"")"),0.0)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IFERROR(__xludf.DUMMYFUNCTION("IMPORTRANGE(""https://docs.google.com/spreadsheets/d/1IYY_tgx_IHuhSq3AJ5eI5OnqOPBNLWSHKh2a30DoXe8/edit?usp=sharing"",""นราธิวาส!I52"")"),0.0)</f>
        <v>0</v>
      </c>
      <c r="J117" s="172">
        <f>IFERROR(__xludf.DUMMYFUNCTION("IMPORTRANGE(""https://docs.google.com/spreadsheets/d/1IYY_tgx_IHuhSq3AJ5eI5OnqOPBNLWSHKh2a30DoXe8/edit?usp=sharing"",""นราธิวาส!J52"")"),0.0)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IFERROR(__xludf.DUMMYFUNCTION("IMPORTRANGE(""https://docs.google.com/spreadsheets/d/1Yj_ptqi66GCucihVvJfMjLAmec39IyEx_6qawtMGysU/edit?usp=sharing"",""สบก!BA85"")"),0.0)</f>
        <v>0</v>
      </c>
      <c r="N122" s="202">
        <f>IFERROR(__xludf.DUMMYFUNCTION("IMPORTRANGE(""https://docs.google.com/spreadsheets/d/1Yj_ptqi66GCucihVvJfMjLAmec39IyEx_6qawtMGysU/edit?usp=sharing"",""สบก!BB85"")"),0.0)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IFERROR(__xludf.DUMMYFUNCTION("IMPORTRANGE(""https://docs.google.com/spreadsheets/d/1Yj_ptqi66GCucihVvJfMjLAmec39IyEx_6qawtMGysU/edit?usp=sharing"",""สบก!AW85"")"),0.0)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IFERROR(__xludf.DUMMYFUNCTION("IMPORTRANGE(""https://docs.google.com/spreadsheets/d/1Yj_ptqi66GCucihVvJfMjLAmec39IyEx_6qawtMGysU/edit?usp=sharing"",""สบก!AX85"")"),0.0)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IFERROR(__xludf.DUMMYFUNCTION("IMPORTRANGE(""https://docs.google.com/spreadsheets/d/1Yj_ptqi66GCucihVvJfMjLAmec39IyEx_6qawtMGysU/edit?usp=sharing"",""สบก!AY85"")"),0.0)</f>
        <v>0</v>
      </c>
      <c r="M126" s="125"/>
      <c r="N126" s="115">
        <f>IFERROR(__xludf.DUMMYFUNCTION("IMPORTRANGE(""https://docs.google.com/spreadsheets/d/1Yj_ptqi66GCucihVvJfMjLAmec39IyEx_6qawtMGysU/edit?usp=sharing"",""สบก!BC85"")"),0.0)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IFERROR(__xludf.DUMMYFUNCTION("IMPORTRANGE(""https://docs.google.com/spreadsheets/d/1IYY_tgx_IHuhSq3AJ5eI5OnqOPBNLWSHKh2a30DoXe8/edit?usp=sharing"",""นราธิวาส!J58"")"),0.0)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IFERROR(__xludf.DUMMYFUNCTION("IMPORTRANGE(""https://docs.google.com/spreadsheets/d/1IYY_tgx_IHuhSq3AJ5eI5OnqOPBNLWSHKh2a30DoXe8/edit?usp=sharing"",""นราธิวาส!J59"")"),0.0)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IFERROR(__xludf.DUMMYFUNCTION("IMPORTRANGE(""https://docs.google.com/spreadsheets/d/1IYY_tgx_IHuhSq3AJ5eI5OnqOPBNLWSHKh2a30DoXe8/edit?usp=sharing"",""นราธิวาส!J60"")"),0.0)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IFERROR(__xludf.DUMMYFUNCTION("IMPORTRANGE(""https://docs.google.com/spreadsheets/d/1IYY_tgx_IHuhSq3AJ5eI5OnqOPBNLWSHKh2a30DoXe8/edit?usp=sharing"",""นราธิวาส!J61"")"),0.0)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IFERROR(__xludf.DUMMYFUNCTION("IMPORTRANGE(""https://docs.google.com/spreadsheets/d/1IYY_tgx_IHuhSq3AJ5eI5OnqOPBNLWSHKh2a30DoXe8/edit?usp=sharing"",""นราธิวาส!I62"")"),0.0)</f>
        <v>0</v>
      </c>
      <c r="J132" s="238">
        <f>IFERROR(__xludf.DUMMYFUNCTION("IMPORTRANGE(""https://docs.google.com/spreadsheets/d/1IYY_tgx_IHuhSq3AJ5eI5OnqOPBNLWSHKh2a30DoXe8/edit?usp=sharing"",""นราธิวาส!J62"")"),0.0)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IFERROR(__xludf.DUMMYFUNCTION("IMPORTRANGE(""https://docs.google.com/spreadsheets/d/1IYY_tgx_IHuhSq3AJ5eI5OnqOPBNLWSHKh2a30DoXe8/edit?usp=sharing"",""นราธิวาส!I63"")"),0.0)</f>
        <v>0</v>
      </c>
      <c r="J133" s="238">
        <f>IFERROR(__xludf.DUMMYFUNCTION("IMPORTRANGE(""https://docs.google.com/spreadsheets/d/1IYY_tgx_IHuhSq3AJ5eI5OnqOPBNLWSHKh2a30DoXe8/edit?usp=sharing"",""นราธิวาส!J63"")"),0.0)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IFERROR(__xludf.DUMMYFUNCTION("IMPORTRANGE(""https://docs.google.com/spreadsheets/d/1IYY_tgx_IHuhSq3AJ5eI5OnqOPBNLWSHKh2a30DoXe8/edit?usp=sharing"",""นราธิวาส!J64"")"),0.0)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IFERROR(__xludf.DUMMYFUNCTION("IMPORTRANGE(""https://docs.google.com/spreadsheets/d/1IYY_tgx_IHuhSq3AJ5eI5OnqOPBNLWSHKh2a30DoXe8/edit?usp=sharing"",""นราธิวาส!J65"")"),0.0)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IFERROR(__xludf.DUMMYFUNCTION("IMPORTRANGE(""https://docs.google.com/spreadsheets/d/1IYY_tgx_IHuhSq3AJ5eI5OnqOPBNLWSHKh2a30DoXe8/edit?usp=sharing"",""นราธิวาส!I68"")"),0.0)</f>
        <v>0</v>
      </c>
      <c r="J138" s="301">
        <f>IFERROR(__xludf.DUMMYFUNCTION("IMPORTRANGE(""https://docs.google.com/spreadsheets/d/1IYY_tgx_IHuhSq3AJ5eI5OnqOPBNLWSHKh2a30DoXe8/edit?usp=sharing"",""นราธิวาส!J68"")"),0.0)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43000</v>
      </c>
      <c r="M140" s="183">
        <f t="shared" si="65"/>
        <v>31750</v>
      </c>
      <c r="N140" s="183">
        <f t="shared" si="65"/>
        <v>500</v>
      </c>
      <c r="O140" s="182">
        <f t="shared" ref="O140:O142" si="67">IF(L140&gt;0,N140*100/L140,0)</f>
        <v>1.162790698</v>
      </c>
      <c r="P140" s="182">
        <f t="shared" ref="P140:P142" si="68">IF(M140&gt;0,N140*100/M140,0)</f>
        <v>1.57480315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43000</v>
      </c>
      <c r="M142" s="188">
        <f t="shared" si="69"/>
        <v>31750</v>
      </c>
      <c r="N142" s="188">
        <f t="shared" si="69"/>
        <v>500</v>
      </c>
      <c r="O142" s="187">
        <f t="shared" si="67"/>
        <v>1.162790698</v>
      </c>
      <c r="P142" s="187">
        <f t="shared" si="68"/>
        <v>1.57480315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43000</v>
      </c>
      <c r="M144" s="201">
        <f>IFERROR(__xludf.DUMMYFUNCTION("IMPORTRANGE(""https://docs.google.com/spreadsheets/d/1Yj_ptqi66GCucihVvJfMjLAmec39IyEx_6qawtMGysU/edit?usp=sharing"",""สบก!BJ85"")"),31750.0)</f>
        <v>31750</v>
      </c>
      <c r="N144" s="202">
        <f>IFERROR(__xludf.DUMMYFUNCTION("IMPORTRANGE(""https://docs.google.com/spreadsheets/d/1Yj_ptqi66GCucihVvJfMjLAmec39IyEx_6qawtMGysU/edit?usp=sharing"",""สบก!BK85"")"),500.0)</f>
        <v>500</v>
      </c>
      <c r="O144" s="203">
        <f>IF(L144&gt;0,N144*100/L144,0)</f>
        <v>1.162790698</v>
      </c>
      <c r="P144" s="203">
        <f>IF(M144&gt;0,N144*100/M144,0)</f>
        <v>1.57480315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IFERROR(__xludf.DUMMYFUNCTION("IMPORTRANGE(""https://docs.google.com/spreadsheets/d/1Yj_ptqi66GCucihVvJfMjLAmec39IyEx_6qawtMGysU/edit?usp=sharing"",""สบก!BF85"")"),0.0)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IFERROR(__xludf.DUMMYFUNCTION("IMPORTRANGE(""https://docs.google.com/spreadsheets/d/1Yj_ptqi66GCucihVvJfMjLAmec39IyEx_6qawtMGysU/edit?usp=sharing"",""สบก!BG85"")"),43000.0)</f>
        <v>43000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IFERROR(__xludf.DUMMYFUNCTION("IMPORTRANGE(""https://docs.google.com/spreadsheets/d/1Yj_ptqi66GCucihVvJfMjLAmec39IyEx_6qawtMGysU/edit?usp=sharing"",""สบก!BH85"")"),0.0)</f>
        <v>0</v>
      </c>
      <c r="M148" s="125"/>
      <c r="N148" s="115">
        <f>IFERROR(__xludf.DUMMYFUNCTION("IMPORTRANGE(""https://docs.google.com/spreadsheets/d/1Yj_ptqi66GCucihVvJfMjLAmec39IyEx_6qawtMGysU/edit?usp=sharing"",""สบก!BL85"")"),0.0)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IFERROR(__xludf.DUMMYFUNCTION("IMPORTRANGE(""https://docs.google.com/spreadsheets/d/1IYY_tgx_IHuhSq3AJ5eI5OnqOPBNLWSHKh2a30DoXe8/edit?usp=sharing"",""นราธิวาส!I74"")"),4.0)</f>
        <v>4</v>
      </c>
      <c r="J149" s="309">
        <f>IFERROR(__xludf.DUMMYFUNCTION("IMPORTRANGE(""https://docs.google.com/spreadsheets/d/1IYY_tgx_IHuhSq3AJ5eI5OnqOPBNLWSHKh2a30DoXe8/edit?usp=sharing"",""นราธิวาส!J74"")"),1.0)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IFERROR(__xludf.DUMMYFUNCTION("IMPORTRANGE(""https://docs.google.com/spreadsheets/d/1IYY_tgx_IHuhSq3AJ5eI5OnqOPBNLWSHKh2a30DoXe8/edit?usp=sharing"",""นราธิวาส!J79"")"),0.0)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IFERROR(__xludf.DUMMYFUNCTION("IMPORTRANGE(""https://docs.google.com/spreadsheets/d/1IYY_tgx_IHuhSq3AJ5eI5OnqOPBNLWSHKh2a30DoXe8/edit?usp=sharing"",""นราธิวาส!J80"")"),1.0)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IFERROR(__xludf.DUMMYFUNCTION("IMPORTRANGE(""https://docs.google.com/spreadsheets/d/1IYY_tgx_IHuhSq3AJ5eI5OnqOPBNLWSHKh2a30DoXe8/edit?usp=sharing"",""นราธิวาส!J81"")"),1.0)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IFERROR(__xludf.DUMMYFUNCTION("IMPORTRANGE(""https://docs.google.com/spreadsheets/d/1IYY_tgx_IHuhSq3AJ5eI5OnqOPBNLWSHKh2a30DoXe8/edit?usp=sharing"",""นราธิวาส!J82"")"),1.0)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IFERROR(__xludf.DUMMYFUNCTION("IMPORTRANGE(""https://docs.google.com/spreadsheets/d/1IYY_tgx_IHuhSq3AJ5eI5OnqOPBNLWSHKh2a30DoXe8/edit?usp=sharing"",""นราธิวาส!I83"")"),4.0)</f>
        <v>4</v>
      </c>
      <c r="J158" s="223">
        <f>IFERROR(__xludf.DUMMYFUNCTION("IMPORTRANGE(""https://docs.google.com/spreadsheets/d/1IYY_tgx_IHuhSq3AJ5eI5OnqOPBNLWSHKh2a30DoXe8/edit?usp=sharing"",""นราธิวาส!J83"")"),1.0)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IFERROR(__xludf.DUMMYFUNCTION("IMPORTRANGE(""https://docs.google.com/spreadsheets/d/1IYY_tgx_IHuhSq3AJ5eI5OnqOPBNLWSHKh2a30DoXe8/edit?usp=sharing"",""นราธิวาส!J84"")"),38.0)</f>
        <v>38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IFERROR(__xludf.DUMMYFUNCTION("IMPORTRANGE(""https://docs.google.com/spreadsheets/d/1IYY_tgx_IHuhSq3AJ5eI5OnqOPBNLWSHKh2a30DoXe8/edit?usp=sharing"",""นราธิวาส!J85"")"),38.0)</f>
        <v>38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IFERROR(__xludf.DUMMYFUNCTION("IMPORTRANGE(""https://docs.google.com/spreadsheets/d/1IYY_tgx_IHuhSq3AJ5eI5OnqOPBNLWSHKh2a30DoXe8/edit?usp=sharing"",""นราธิวาส!J86"")"),0.0)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IFERROR(__xludf.DUMMYFUNCTION("IMPORTRANGE(""https://docs.google.com/spreadsheets/d/1IYY_tgx_IHuhSq3AJ5eI5OnqOPBNLWSHKh2a30DoXe8/edit?usp=sharing"",""นราธิวาส!J87"")"),0.0)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IFERROR(__xludf.DUMMYFUNCTION("IMPORTRANGE(""https://docs.google.com/spreadsheets/d/1IYY_tgx_IHuhSq3AJ5eI5OnqOPBNLWSHKh2a30DoXe8/edit?usp=sharing"",""นราธิวาส!J88"")"),0.0)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IFERROR(__xludf.DUMMYFUNCTION("IMPORTRANGE(""https://docs.google.com/spreadsheets/d/1IYY_tgx_IHuhSq3AJ5eI5OnqOPBNLWSHKh2a30DoXe8/edit?usp=sharing"",""นราธิวาส!I89"")"),2.0)</f>
        <v>2</v>
      </c>
      <c r="J164" s="317">
        <f>IFERROR(__xludf.DUMMYFUNCTION("IMPORTRANGE(""https://docs.google.com/spreadsheets/d/1IYY_tgx_IHuhSq3AJ5eI5OnqOPBNLWSHKh2a30DoXe8/edit?usp=sharing"",""นราธิวาส!J89"")"),0.0)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IFERROR(__xludf.DUMMYFUNCTION("IMPORTRANGE(""https://docs.google.com/spreadsheets/d/1IYY_tgx_IHuhSq3AJ5eI5OnqOPBNLWSHKh2a30DoXe8/edit?usp=sharing"",""นราธิวาส!J94"")"),0.0)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IFERROR(__xludf.DUMMYFUNCTION("IMPORTRANGE(""https://docs.google.com/spreadsheets/d/1IYY_tgx_IHuhSq3AJ5eI5OnqOPBNLWSHKh2a30DoXe8/edit?usp=sharing"",""นราธิวาส!J95"")"),1.0)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IFERROR(__xludf.DUMMYFUNCTION("IMPORTRANGE(""https://docs.google.com/spreadsheets/d/1IYY_tgx_IHuhSq3AJ5eI5OnqOPBNLWSHKh2a30DoXe8/edit?usp=sharing"",""นราธิวาส!J96"")"),1.0)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IFERROR(__xludf.DUMMYFUNCTION("IMPORTRANGE(""https://docs.google.com/spreadsheets/d/1IYY_tgx_IHuhSq3AJ5eI5OnqOPBNLWSHKh2a30DoXe8/edit?usp=sharing"",""นราธิวาส!J97"")"),1.0)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IFERROR(__xludf.DUMMYFUNCTION("IMPORTRANGE(""https://docs.google.com/spreadsheets/d/1IYY_tgx_IHuhSq3AJ5eI5OnqOPBNLWSHKh2a30DoXe8/edit?usp=sharing"",""นราธิวาส!I98"")"),2.0)</f>
        <v>2</v>
      </c>
      <c r="J173" s="223">
        <f>IFERROR(__xludf.DUMMYFUNCTION("IMPORTRANGE(""https://docs.google.com/spreadsheets/d/1IYY_tgx_IHuhSq3AJ5eI5OnqOPBNLWSHKh2a30DoXe8/edit?usp=sharing"",""นราธิวาส!J98"")"),0.0)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IFERROR(__xludf.DUMMYFUNCTION("IMPORTRANGE(""https://docs.google.com/spreadsheets/d/1IYY_tgx_IHuhSq3AJ5eI5OnqOPBNLWSHKh2a30DoXe8/edit?usp=sharing"",""นราธิวาส!J99"")"),0.0)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IFERROR(__xludf.DUMMYFUNCTION("IMPORTRANGE(""https://docs.google.com/spreadsheets/d/1IYY_tgx_IHuhSq3AJ5eI5OnqOPBNLWSHKh2a30DoXe8/edit?usp=sharing"",""นราธิวาส!J100"")"),0.0)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IFERROR(__xludf.DUMMYFUNCTION("IMPORTRANGE(""https://docs.google.com/spreadsheets/d/1IYY_tgx_IHuhSq3AJ5eI5OnqOPBNLWSHKh2a30DoXe8/edit?usp=sharing"",""นราธิวาส!I101"")"),0.0)</f>
        <v>0</v>
      </c>
      <c r="J176" s="317">
        <f>IFERROR(__xludf.DUMMYFUNCTION("IMPORTRANGE(""https://docs.google.com/spreadsheets/d/1IYY_tgx_IHuhSq3AJ5eI5OnqOPBNLWSHKh2a30DoXe8/edit?usp=sharing"",""นราธิวาส!J101"")"),0.0)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IFERROR(__xludf.DUMMYFUNCTION("IMPORTRANGE(""https://docs.google.com/spreadsheets/d/1IYY_tgx_IHuhSq3AJ5eI5OnqOPBNLWSHKh2a30DoXe8/edit?usp=sharing"",""นราธิวาส!J106"")"),0.0)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IFERROR(__xludf.DUMMYFUNCTION("IMPORTRANGE(""https://docs.google.com/spreadsheets/d/1IYY_tgx_IHuhSq3AJ5eI5OnqOPBNLWSHKh2a30DoXe8/edit?usp=sharing"",""นราธิวาส!J107"")"),0.0)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IFERROR(__xludf.DUMMYFUNCTION("IMPORTRANGE(""https://docs.google.com/spreadsheets/d/1IYY_tgx_IHuhSq3AJ5eI5OnqOPBNLWSHKh2a30DoXe8/edit?usp=sharing"",""นราธิวาส!J108"")"),0.0)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IFERROR(__xludf.DUMMYFUNCTION("IMPORTRANGE(""https://docs.google.com/spreadsheets/d/1IYY_tgx_IHuhSq3AJ5eI5OnqOPBNLWSHKh2a30DoXe8/edit?usp=sharing"",""นราธิวาส!J109"")"),0.0)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IFERROR(__xludf.DUMMYFUNCTION("IMPORTRANGE(""https://docs.google.com/spreadsheets/d/1IYY_tgx_IHuhSq3AJ5eI5OnqOPBNLWSHKh2a30DoXe8/edit?usp=sharing"",""นราธิวาส!I110"")"),0.0)</f>
        <v>0</v>
      </c>
      <c r="J185" s="238">
        <f>IFERROR(__xludf.DUMMYFUNCTION("IMPORTRANGE(""https://docs.google.com/spreadsheets/d/1IYY_tgx_IHuhSq3AJ5eI5OnqOPBNLWSHKh2a30DoXe8/edit?usp=sharing"",""นราธิวาส!J110"")"),0.0)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IFERROR(__xludf.DUMMYFUNCTION("IMPORTRANGE(""https://docs.google.com/spreadsheets/d/1IYY_tgx_IHuhSq3AJ5eI5OnqOPBNLWSHKh2a30DoXe8/edit?usp=sharing"",""นราธิวาส!I111"")"),0.0)</f>
        <v>0</v>
      </c>
      <c r="J186" s="238">
        <f>IFERROR(__xludf.DUMMYFUNCTION("IMPORTRANGE(""https://docs.google.com/spreadsheets/d/1IYY_tgx_IHuhSq3AJ5eI5OnqOPBNLWSHKh2a30DoXe8/edit?usp=sharing"",""นราธิวาส!J111"")"),0.0)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IFERROR(__xludf.DUMMYFUNCTION("IMPORTRANGE(""https://docs.google.com/spreadsheets/d/1IYY_tgx_IHuhSq3AJ5eI5OnqOPBNLWSHKh2a30DoXe8/edit?usp=sharing"",""นราธิวาส!J112"")"),0.0)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IFERROR(__xludf.DUMMYFUNCTION("IMPORTRANGE(""https://docs.google.com/spreadsheets/d/1IYY_tgx_IHuhSq3AJ5eI5OnqOPBNLWSHKh2a30DoXe8/edit?usp=sharing"",""นราธิวาส!J113"")"),0.0)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IFERROR(__xludf.DUMMYFUNCTION("IMPORTRANGE(""https://docs.google.com/spreadsheets/d/1IYY_tgx_IHuhSq3AJ5eI5OnqOPBNLWSHKh2a30DoXe8/edit?usp=sharing"",""นราธิวาส!I114"")"),10000.0)</f>
        <v>10000</v>
      </c>
      <c r="J189" s="317">
        <f>IFERROR(__xludf.DUMMYFUNCTION("IMPORTRANGE(""https://docs.google.com/spreadsheets/d/1IYY_tgx_IHuhSq3AJ5eI5OnqOPBNLWSHKh2a30DoXe8/edit?usp=sharing"",""นราธิวาส!J114"")"),0.0)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IFERROR(__xludf.DUMMYFUNCTION("IMPORTRANGE(""https://docs.google.com/spreadsheets/d/1IYY_tgx_IHuhSq3AJ5eI5OnqOPBNLWSHKh2a30DoXe8/edit?usp=sharing"",""นราธิวาส!J119"")"),1.0)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IFERROR(__xludf.DUMMYFUNCTION("IMPORTRANGE(""https://docs.google.com/spreadsheets/d/1IYY_tgx_IHuhSq3AJ5eI5OnqOPBNLWSHKh2a30DoXe8/edit?usp=sharing"",""นราธิวาส!J120"")"),0.0)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IFERROR(__xludf.DUMMYFUNCTION("IMPORTRANGE(""https://docs.google.com/spreadsheets/d/1IYY_tgx_IHuhSq3AJ5eI5OnqOPBNLWSHKh2a30DoXe8/edit?usp=sharing"",""นราธิวาส!J121"")"),0.0)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IFERROR(__xludf.DUMMYFUNCTION("IMPORTRANGE(""https://docs.google.com/spreadsheets/d/1IYY_tgx_IHuhSq3AJ5eI5OnqOPBNLWSHKh2a30DoXe8/edit?usp=sharing"",""นราธิวาส!J122"")"),0.0)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IFERROR(__xludf.DUMMYFUNCTION("IMPORTRANGE(""https://docs.google.com/spreadsheets/d/1IYY_tgx_IHuhSq3AJ5eI5OnqOPBNLWSHKh2a30DoXe8/edit?usp=sharing"",""นราธิวาส!I124"")"),10000.0)</f>
        <v>10000</v>
      </c>
      <c r="J199" s="223">
        <f>IFERROR(__xludf.DUMMYFUNCTION("IMPORTRANGE(""https://docs.google.com/spreadsheets/d/1IYY_tgx_IHuhSq3AJ5eI5OnqOPBNLWSHKh2a30DoXe8/edit?usp=sharing"",""นราธิวาส!J124"")"),0.0)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IFERROR(__xludf.DUMMYFUNCTION("IMPORTRANGE(""https://docs.google.com/spreadsheets/d/1IYY_tgx_IHuhSq3AJ5eI5OnqOPBNLWSHKh2a30DoXe8/edit?usp=sharing"",""นราธิวาส!I125"")"),10000.0)</f>
        <v>10000</v>
      </c>
      <c r="J200" s="223">
        <f>IFERROR(__xludf.DUMMYFUNCTION("IMPORTRANGE(""https://docs.google.com/spreadsheets/d/1IYY_tgx_IHuhSq3AJ5eI5OnqOPBNLWSHKh2a30DoXe8/edit?usp=sharing"",""นราธิวาส!J125"")"),0.0)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IFERROR(__xludf.DUMMYFUNCTION("IMPORTRANGE(""https://docs.google.com/spreadsheets/d/1IYY_tgx_IHuhSq3AJ5eI5OnqOPBNLWSHKh2a30DoXe8/edit?usp=sharing"",""นราธิวาส!I126"")"),0.0)</f>
        <v>0</v>
      </c>
      <c r="J201" s="223">
        <f>IFERROR(__xludf.DUMMYFUNCTION("IMPORTRANGE(""https://docs.google.com/spreadsheets/d/1IYY_tgx_IHuhSq3AJ5eI5OnqOPBNLWSHKh2a30DoXe8/edit?usp=sharing"",""นราธิวาส!J126"")"),0.0)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IFERROR(__xludf.DUMMYFUNCTION("IMPORTRANGE(""https://docs.google.com/spreadsheets/d/1IYY_tgx_IHuhSq3AJ5eI5OnqOPBNLWSHKh2a30DoXe8/edit?usp=sharing"",""นราธิวาส!J127"")"),0.0)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IFERROR(__xludf.DUMMYFUNCTION("IMPORTRANGE(""https://docs.google.com/spreadsheets/d/1IYY_tgx_IHuhSq3AJ5eI5OnqOPBNLWSHKh2a30DoXe8/edit?usp=sharing"",""นราธิวาส!J128"")"),0.0)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IFERROR(__xludf.DUMMYFUNCTION("IMPORTRANGE(""https://docs.google.com/spreadsheets/d/1IYY_tgx_IHuhSq3AJ5eI5OnqOPBNLWSHKh2a30DoXe8/edit?usp=sharing"",""นราธิวาส!I129"")"),0.0)</f>
        <v>0</v>
      </c>
      <c r="J204" s="317">
        <f>IFERROR(__xludf.DUMMYFUNCTION("IMPORTRANGE(""https://docs.google.com/spreadsheets/d/1IYY_tgx_IHuhSq3AJ5eI5OnqOPBNLWSHKh2a30DoXe8/edit?usp=sharing"",""นราธิวาส!J129"")"),0.0)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IFERROR(__xludf.DUMMYFUNCTION("IMPORTRANGE(""https://docs.google.com/spreadsheets/d/1IYY_tgx_IHuhSq3AJ5eI5OnqOPBNLWSHKh2a30DoXe8/edit?usp=sharing"",""นราธิวาส!J134"")"),0.0)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IFERROR(__xludf.DUMMYFUNCTION("IMPORTRANGE(""https://docs.google.com/spreadsheets/d/1IYY_tgx_IHuhSq3AJ5eI5OnqOPBNLWSHKh2a30DoXe8/edit?usp=sharing"",""นราธิวาส!J135"")"),0.0)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IFERROR(__xludf.DUMMYFUNCTION("IMPORTRANGE(""https://docs.google.com/spreadsheets/d/1IYY_tgx_IHuhSq3AJ5eI5OnqOPBNLWSHKh2a30DoXe8/edit?usp=sharing"",""นราธิวาส!J136"")"),0.0)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IFERROR(__xludf.DUMMYFUNCTION("IMPORTRANGE(""https://docs.google.com/spreadsheets/d/1IYY_tgx_IHuhSq3AJ5eI5OnqOPBNLWSHKh2a30DoXe8/edit?usp=sharing"",""นราธิวาส!J137"")"),0.0)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IFERROR(__xludf.DUMMYFUNCTION("IMPORTRANGE(""https://docs.google.com/spreadsheets/d/1IYY_tgx_IHuhSq3AJ5eI5OnqOPBNLWSHKh2a30DoXe8/edit?usp=sharing"",""นราธิวาส!I138"")"),0.0)</f>
        <v>0</v>
      </c>
      <c r="J213" s="238">
        <f>IFERROR(__xludf.DUMMYFUNCTION("IMPORTRANGE(""https://docs.google.com/spreadsheets/d/1IYY_tgx_IHuhSq3AJ5eI5OnqOPBNLWSHKh2a30DoXe8/edit?usp=sharing"",""นราธิวาส!J138"")"),0.0)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IFERROR(__xludf.DUMMYFUNCTION("IMPORTRANGE(""https://docs.google.com/spreadsheets/d/1IYY_tgx_IHuhSq3AJ5eI5OnqOPBNLWSHKh2a30DoXe8/edit?usp=sharing"",""นราธิวาส!I140"")"),0.0)</f>
        <v>0</v>
      </c>
      <c r="J215" s="238">
        <f>IFERROR(__xludf.DUMMYFUNCTION("IMPORTRANGE(""https://docs.google.com/spreadsheets/d/1IYY_tgx_IHuhSq3AJ5eI5OnqOPBNLWSHKh2a30DoXe8/edit?usp=sharing"",""นราธิวาส!J140"")"),0.0)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IFERROR(__xludf.DUMMYFUNCTION("IMPORTRANGE(""https://docs.google.com/spreadsheets/d/1IYY_tgx_IHuhSq3AJ5eI5OnqOPBNLWSHKh2a30DoXe8/edit?usp=sharing"",""นราธิวาส!I141"")"),0.0)</f>
        <v>0</v>
      </c>
      <c r="J216" s="238">
        <f>IFERROR(__xludf.DUMMYFUNCTION("IMPORTRANGE(""https://docs.google.com/spreadsheets/d/1IYY_tgx_IHuhSq3AJ5eI5OnqOPBNLWSHKh2a30DoXe8/edit?usp=sharing"",""นราธิวาส!J141"")"),0.0)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IFERROR(__xludf.DUMMYFUNCTION("IMPORTRANGE(""https://docs.google.com/spreadsheets/d/1IYY_tgx_IHuhSq3AJ5eI5OnqOPBNLWSHKh2a30DoXe8/edit?usp=sharing"",""นราธิวาส!J142"")"),0.0)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IFERROR(__xludf.DUMMYFUNCTION("IMPORTRANGE(""https://docs.google.com/spreadsheets/d/1IYY_tgx_IHuhSq3AJ5eI5OnqOPBNLWSHKh2a30DoXe8/edit?usp=sharing"",""นราธิวาส!J143"")"),0.0)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IFERROR(__xludf.DUMMYFUNCTION("IMPORTRANGE(""https://docs.google.com/spreadsheets/d/1IYY_tgx_IHuhSq3AJ5eI5OnqOPBNLWSHKh2a30DoXe8/edit?usp=sharing"",""นราธิวาส!I144"")"),15.0)</f>
        <v>15</v>
      </c>
      <c r="J219" s="301">
        <f>IFERROR(__xludf.DUMMYFUNCTION("IMPORTRANGE(""https://docs.google.com/spreadsheets/d/1IYY_tgx_IHuhSq3AJ5eI5OnqOPBNLWSHKh2a30DoXe8/edit?usp=sharing"",""นราธิวาส!J144"")"),15.0)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IFERROR(__xludf.DUMMYFUNCTION("IMPORTRANGE(""https://docs.google.com/spreadsheets/d/1Yj_ptqi66GCucihVvJfMjLAmec39IyEx_6qawtMGysU/edit?usp=sharing"",""สบก!BS85"")"),21125.0)</f>
        <v>21125</v>
      </c>
      <c r="N224" s="202">
        <f>IFERROR(__xludf.DUMMYFUNCTION("IMPORTRANGE(""https://docs.google.com/spreadsheets/d/1Yj_ptqi66GCucihVvJfMjLAmec39IyEx_6qawtMGysU/edit?usp=sharing"",""สบก!BT85"")"),21125.0)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IFERROR(__xludf.DUMMYFUNCTION("IMPORTRANGE(""https://docs.google.com/spreadsheets/d/1Yj_ptqi66GCucihVvJfMjLAmec39IyEx_6qawtMGysU/edit?usp=sharing"",""สบก!BO85"")"),0.0)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IFERROR(__xludf.DUMMYFUNCTION("IMPORTRANGE(""https://docs.google.com/spreadsheets/d/1Yj_ptqi66GCucihVvJfMjLAmec39IyEx_6qawtMGysU/edit?usp=sharing"",""สบก!BP85"")"),21125.0)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IFERROR(__xludf.DUMMYFUNCTION("IMPORTRANGE(""https://docs.google.com/spreadsheets/d/1Yj_ptqi66GCucihVvJfMjLAmec39IyEx_6qawtMGysU/edit?usp=sharing"",""สบก!BQ85"")"),0.0)</f>
        <v>0</v>
      </c>
      <c r="M228" s="125"/>
      <c r="N228" s="115">
        <f>IFERROR(__xludf.DUMMYFUNCTION("IMPORTRANGE(""https://docs.google.com/spreadsheets/d/1Yj_ptqi66GCucihVvJfMjLAmec39IyEx_6qawtMGysU/edit?usp=sharing"",""สบก!BU85"")"),0.0)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IFERROR(__xludf.DUMMYFUNCTION("IMPORTRANGE(""https://docs.google.com/spreadsheets/d/1IYY_tgx_IHuhSq3AJ5eI5OnqOPBNLWSHKh2a30DoXe8/edit?usp=sharing"",""นราธิวาส!I149"")"),15.0)</f>
        <v>15</v>
      </c>
      <c r="J229" s="301">
        <f>IFERROR(__xludf.DUMMYFUNCTION("IMPORTRANGE(""https://docs.google.com/spreadsheets/d/1IYY_tgx_IHuhSq3AJ5eI5OnqOPBNLWSHKh2a30DoXe8/edit?usp=sharing"",""นราธิวาส!J149"")"),15.0)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IFERROR(__xludf.DUMMYFUNCTION("IMPORTRANGE(""https://docs.google.com/spreadsheets/d/1IYY_tgx_IHuhSq3AJ5eI5OnqOPBNLWSHKh2a30DoXe8/edit?usp=sharing"",""นราธิวาส!J151"")"),0.0)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IFERROR(__xludf.DUMMYFUNCTION("IMPORTRANGE(""https://docs.google.com/spreadsheets/d/1IYY_tgx_IHuhSq3AJ5eI5OnqOPBNLWSHKh2a30DoXe8/edit?usp=sharing"",""นราธิวาส!J152"")"),1.0)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IFERROR(__xludf.DUMMYFUNCTION("IMPORTRANGE(""https://docs.google.com/spreadsheets/d/1IYY_tgx_IHuhSq3AJ5eI5OnqOPBNLWSHKh2a30DoXe8/edit?usp=sharing"",""นราธิวาส!J153"")"),1.0)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IFERROR(__xludf.DUMMYFUNCTION("IMPORTRANGE(""https://docs.google.com/spreadsheets/d/1IYY_tgx_IHuhSq3AJ5eI5OnqOPBNLWSHKh2a30DoXe8/edit?usp=sharing"",""นราธิวาส!J154"")"),1.0)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IFERROR(__xludf.DUMMYFUNCTION("IMPORTRANGE(""https://docs.google.com/spreadsheets/d/1IYY_tgx_IHuhSq3AJ5eI5OnqOPBNLWSHKh2a30DoXe8/edit?usp=sharing"",""นราธิวาส!I155"")"),15.0)</f>
        <v>15</v>
      </c>
      <c r="J235" s="223">
        <f>IFERROR(__xludf.DUMMYFUNCTION("IMPORTRANGE(""https://docs.google.com/spreadsheets/d/1IYY_tgx_IHuhSq3AJ5eI5OnqOPBNLWSHKh2a30DoXe8/edit?usp=sharing"",""นราธิวาส!J155"")"),15.0)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IFERROR(__xludf.DUMMYFUNCTION("IMPORTRANGE(""https://docs.google.com/spreadsheets/d/1IYY_tgx_IHuhSq3AJ5eI5OnqOPBNLWSHKh2a30DoXe8/edit?usp=sharing"",""นราธิวาส!J156"")"),0.0)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IFERROR(__xludf.DUMMYFUNCTION("IMPORTRANGE(""https://docs.google.com/spreadsheets/d/1IYY_tgx_IHuhSq3AJ5eI5OnqOPBNLWSHKh2a30DoXe8/edit?usp=sharing"",""นราธิวาส!J157"")"),0.0)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IFERROR(__xludf.DUMMYFUNCTION("IMPORTRANGE(""https://docs.google.com/spreadsheets/d/1IYY_tgx_IHuhSq3AJ5eI5OnqOPBNLWSHKh2a30DoXe8/edit?usp=sharing"",""นราธิวาส!I158"")"),0.0)</f>
        <v>0</v>
      </c>
      <c r="J238" s="301">
        <f>IFERROR(__xludf.DUMMYFUNCTION("IMPORTRANGE(""https://docs.google.com/spreadsheets/d/1IYY_tgx_IHuhSq3AJ5eI5OnqOPBNLWSHKh2a30DoXe8/edit?usp=sharing"",""นราธิวาส!J158"")"),0.0)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IFERROR(__xludf.DUMMYFUNCTION("IMPORTRANGE(""https://docs.google.com/spreadsheets/d/1IYY_tgx_IHuhSq3AJ5eI5OnqOPBNLWSHKh2a30DoXe8/edit?usp=sharing"",""นราธิวาส!J159"")"),"")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IFERROR(__xludf.DUMMYFUNCTION("IMPORTRANGE(""https://docs.google.com/spreadsheets/d/1IYY_tgx_IHuhSq3AJ5eI5OnqOPBNLWSHKh2a30DoXe8/edit?usp=sharing"",""นราธิวาส!J161"")"),0.0)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IFERROR(__xludf.DUMMYFUNCTION("IMPORTRANGE(""https://docs.google.com/spreadsheets/d/1IYY_tgx_IHuhSq3AJ5eI5OnqOPBNLWSHKh2a30DoXe8/edit?usp=sharing"",""นราธิวาส!J162"")"),0.0)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IFERROR(__xludf.DUMMYFUNCTION("IMPORTRANGE(""https://docs.google.com/spreadsheets/d/1IYY_tgx_IHuhSq3AJ5eI5OnqOPBNLWSHKh2a30DoXe8/edit?usp=sharing"",""นราธิวาส!J163"")"),0.0)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IFERROR(__xludf.DUMMYFUNCTION("IMPORTRANGE(""https://docs.google.com/spreadsheets/d/1IYY_tgx_IHuhSq3AJ5eI5OnqOPBNLWSHKh2a30DoXe8/edit?usp=sharing"",""นราธิวาส!I164"")"),0.0)</f>
        <v>0</v>
      </c>
      <c r="J244" s="222">
        <f>IFERROR(__xludf.DUMMYFUNCTION("IMPORTRANGE(""https://docs.google.com/spreadsheets/d/1IYY_tgx_IHuhSq3AJ5eI5OnqOPBNLWSHKh2a30DoXe8/edit?usp=sharing"",""นราธิวาส!J164"")"),0.0)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IFERROR(__xludf.DUMMYFUNCTION("IMPORTRANGE(""https://docs.google.com/spreadsheets/d/1IYY_tgx_IHuhSq3AJ5eI5OnqOPBNLWSHKh2a30DoXe8/edit?usp=sharing"",""นราธิวาส!J165"")"),0.0)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IFERROR(__xludf.DUMMYFUNCTION("IMPORTRANGE(""https://docs.google.com/spreadsheets/d/1IYY_tgx_IHuhSq3AJ5eI5OnqOPBNLWSHKh2a30DoXe8/edit?usp=sharing"",""นราธิวาส!J166"")"),0.0)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IFERROR(__xludf.DUMMYFUNCTION("IMPORTRANGE(""https://docs.google.com/spreadsheets/d/1IYY_tgx_IHuhSq3AJ5eI5OnqOPBNLWSHKh2a30DoXe8/edit?usp=sharing"",""นราธิวาส!I169"")"),0.0)</f>
        <v>0</v>
      </c>
      <c r="J249" s="349">
        <f>IFERROR(__xludf.DUMMYFUNCTION("IMPORTRANGE(""https://docs.google.com/spreadsheets/d/1IYY_tgx_IHuhSq3AJ5eI5OnqOPBNLWSHKh2a30DoXe8/edit?usp=sharing"",""นราธิวาส!J169"")"),0.0)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IFERROR(__xludf.DUMMYFUNCTION("IMPORTRANGE(""https://docs.google.com/spreadsheets/d/1Yj_ptqi66GCucihVvJfMjLAmec39IyEx_6qawtMGysU/edit?usp=sharing"",""สบก!CB85"")"),0.0)</f>
        <v>0</v>
      </c>
      <c r="N254" s="202">
        <f>IFERROR(__xludf.DUMMYFUNCTION("IMPORTRANGE(""https://docs.google.com/spreadsheets/d/1Yj_ptqi66GCucihVvJfMjLAmec39IyEx_6qawtMGysU/edit?usp=sharing"",""สบก!CC85"")"),0.0)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IFERROR(__xludf.DUMMYFUNCTION("IMPORTRANGE(""https://docs.google.com/spreadsheets/d/1Yj_ptqi66GCucihVvJfMjLAmec39IyEx_6qawtMGysU/edit?usp=sharing"",""สบก!BX85"")"),0.0)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IFERROR(__xludf.DUMMYFUNCTION("IMPORTRANGE(""https://docs.google.com/spreadsheets/d/1Yj_ptqi66GCucihVvJfMjLAmec39IyEx_6qawtMGysU/edit?usp=sharing"",""สบก!BY85"")"),0.0)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IFERROR(__xludf.DUMMYFUNCTION("IMPORTRANGE(""https://docs.google.com/spreadsheets/d/1Yj_ptqi66GCucihVvJfMjLAmec39IyEx_6qawtMGysU/edit?usp=sharing"",""สบก!BZ85"")"),0.0)</f>
        <v>0</v>
      </c>
      <c r="M258" s="125"/>
      <c r="N258" s="115">
        <f>IFERROR(__xludf.DUMMYFUNCTION("IMPORTRANGE(""https://docs.google.com/spreadsheets/d/1Yj_ptqi66GCucihVvJfMjLAmec39IyEx_6qawtMGysU/edit?usp=sharing"",""สบก!CD85"")"),0.0)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IFERROR(__xludf.DUMMYFUNCTION("IMPORTRANGE(""https://docs.google.com/spreadsheets/d/1IYY_tgx_IHuhSq3AJ5eI5OnqOPBNLWSHKh2a30DoXe8/edit?usp=sharing"",""นราธิวาส!J175"")"),0.0)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IFERROR(__xludf.DUMMYFUNCTION("IMPORTRANGE(""https://docs.google.com/spreadsheets/d/1IYY_tgx_IHuhSq3AJ5eI5OnqOPBNLWSHKh2a30DoXe8/edit?usp=sharing"",""นราธิวาส!J176"")"),0.0)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IFERROR(__xludf.DUMMYFUNCTION("IMPORTRANGE(""https://docs.google.com/spreadsheets/d/1IYY_tgx_IHuhSq3AJ5eI5OnqOPBNLWSHKh2a30DoXe8/edit?usp=sharing"",""นราธิวาส!J177"")"),0.0)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IFERROR(__xludf.DUMMYFUNCTION("IMPORTRANGE(""https://docs.google.com/spreadsheets/d/1IYY_tgx_IHuhSq3AJ5eI5OnqOPBNLWSHKh2a30DoXe8/edit?usp=sharing"",""นราธิวาส!J178"")"),0.0)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IFERROR(__xludf.DUMMYFUNCTION("IMPORTRANGE(""https://docs.google.com/spreadsheets/d/1IYY_tgx_IHuhSq3AJ5eI5OnqOPBNLWSHKh2a30DoXe8/edit?usp=sharing"",""นราธิวาส!I179"")"),0.0)</f>
        <v>0</v>
      </c>
      <c r="J264" s="223">
        <f>IFERROR(__xludf.DUMMYFUNCTION("IMPORTRANGE(""https://docs.google.com/spreadsheets/d/1IYY_tgx_IHuhSq3AJ5eI5OnqOPBNLWSHKh2a30DoXe8/edit?usp=sharing"",""นราธิวาส!J179"")"),0.0)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IFERROR(__xludf.DUMMYFUNCTION("IMPORTRANGE(""https://docs.google.com/spreadsheets/d/1IYY_tgx_IHuhSq3AJ5eI5OnqOPBNLWSHKh2a30DoXe8/edit?usp=sharing"",""นราธิวาส!I180"")"),0.0)</f>
        <v>0</v>
      </c>
      <c r="J265" s="223">
        <f>IFERROR(__xludf.DUMMYFUNCTION("IMPORTRANGE(""https://docs.google.com/spreadsheets/d/1IYY_tgx_IHuhSq3AJ5eI5OnqOPBNLWSHKh2a30DoXe8/edit?usp=sharing"",""นราธิวาส!J180"")"),0.0)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IFERROR(__xludf.DUMMYFUNCTION("IMPORTRANGE(""https://docs.google.com/spreadsheets/d/1IYY_tgx_IHuhSq3AJ5eI5OnqOPBNLWSHKh2a30DoXe8/edit?usp=sharing"",""นราธิวาส!I181"")"),0.0)</f>
        <v>0</v>
      </c>
      <c r="J266" s="223">
        <f>IFERROR(__xludf.DUMMYFUNCTION("IMPORTRANGE(""https://docs.google.com/spreadsheets/d/1IYY_tgx_IHuhSq3AJ5eI5OnqOPBNLWSHKh2a30DoXe8/edit?usp=sharing"",""นราธิวาส!J181"")"),0.0)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IFERROR(__xludf.DUMMYFUNCTION("IMPORTRANGE(""https://docs.google.com/spreadsheets/d/1IYY_tgx_IHuhSq3AJ5eI5OnqOPBNLWSHKh2a30DoXe8/edit?usp=sharing"",""นราธิวาส!I182"")"),0.0)</f>
        <v>0</v>
      </c>
      <c r="J267" s="223">
        <f>IFERROR(__xludf.DUMMYFUNCTION("IMPORTRANGE(""https://docs.google.com/spreadsheets/d/1IYY_tgx_IHuhSq3AJ5eI5OnqOPBNLWSHKh2a30DoXe8/edit?usp=sharing"",""นราธิวาส!J182"")"),0.0)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IFERROR(__xludf.DUMMYFUNCTION("IMPORTRANGE(""https://docs.google.com/spreadsheets/d/1IYY_tgx_IHuhSq3AJ5eI5OnqOPBNLWSHKh2a30DoXe8/edit?usp=sharing"",""นราธิวาส!J183"")"),0.0)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IFERROR(__xludf.DUMMYFUNCTION("IMPORTRANGE(""https://docs.google.com/spreadsheets/d/1IYY_tgx_IHuhSq3AJ5eI5OnqOPBNLWSHKh2a30DoXe8/edit?usp=sharing"",""นราธิวาส!J184"")"),0.0)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IFERROR(__xludf.DUMMYFUNCTION("IMPORTRANGE(""https://docs.google.com/spreadsheets/d/1IYY_tgx_IHuhSq3AJ5eI5OnqOPBNLWSHKh2a30DoXe8/edit?usp=sharing"",""นราธิวาส!I185"")"),0.0)</f>
        <v>0</v>
      </c>
      <c r="J270" s="349">
        <f>IFERROR(__xludf.DUMMYFUNCTION("IMPORTRANGE(""https://docs.google.com/spreadsheets/d/1IYY_tgx_IHuhSq3AJ5eI5OnqOPBNLWSHKh2a30DoXe8/edit?usp=sharing"",""นราธิวาส!J185"")"),0.0)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IFERROR(__xludf.DUMMYFUNCTION("IMPORTRANGE(""https://docs.google.com/spreadsheets/d/1Yj_ptqi66GCucihVvJfMjLAmec39IyEx_6qawtMGysU/edit?usp=sharing"",""สบก!CK85"")"),0.0)</f>
        <v>0</v>
      </c>
      <c r="N275" s="202">
        <f>IFERROR(__xludf.DUMMYFUNCTION("IMPORTRANGE(""https://docs.google.com/spreadsheets/d/1Yj_ptqi66GCucihVvJfMjLAmec39IyEx_6qawtMGysU/edit?usp=sharing"",""สบก!CL85"")"),0.0)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IFERROR(__xludf.DUMMYFUNCTION("IMPORTRANGE(""https://docs.google.com/spreadsheets/d/1Yj_ptqi66GCucihVvJfMjLAmec39IyEx_6qawtMGysU/edit?usp=sharing"",""สบก!CG85"")"),0.0)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IFERROR(__xludf.DUMMYFUNCTION("IMPORTRANGE(""https://docs.google.com/spreadsheets/d/1Yj_ptqi66GCucihVvJfMjLAmec39IyEx_6qawtMGysU/edit?usp=sharing"",""สบก!CH85"")"),0.0)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IFERROR(__xludf.DUMMYFUNCTION("IMPORTRANGE(""https://docs.google.com/spreadsheets/d/1Yj_ptqi66GCucihVvJfMjLAmec39IyEx_6qawtMGysU/edit?usp=sharing"",""สบก!CI85"")"),0.0)</f>
        <v>0</v>
      </c>
      <c r="M279" s="125"/>
      <c r="N279" s="115">
        <f>IFERROR(__xludf.DUMMYFUNCTION("IMPORTRANGE(""https://docs.google.com/spreadsheets/d/1Yj_ptqi66GCucihVvJfMjLAmec39IyEx_6qawtMGysU/edit?usp=sharing"",""สบก!CM85"")"),0.0)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IFERROR(__xludf.DUMMYFUNCTION("IMPORTRANGE(""https://docs.google.com/spreadsheets/d/1IYY_tgx_IHuhSq3AJ5eI5OnqOPBNLWSHKh2a30DoXe8/edit?usp=sharing"",""นราธิวาส!J191"")"),0.0)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IFERROR(__xludf.DUMMYFUNCTION("IMPORTRANGE(""https://docs.google.com/spreadsheets/d/1IYY_tgx_IHuhSq3AJ5eI5OnqOPBNLWSHKh2a30DoXe8/edit?usp=sharing"",""นราธิวาส!J192"")"),0.0)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IFERROR(__xludf.DUMMYFUNCTION("IMPORTRANGE(""https://docs.google.com/spreadsheets/d/1IYY_tgx_IHuhSq3AJ5eI5OnqOPBNLWSHKh2a30DoXe8/edit?usp=sharing"",""นราธิวาส!J193"")"),0.0)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IFERROR(__xludf.DUMMYFUNCTION("IMPORTRANGE(""https://docs.google.com/spreadsheets/d/1IYY_tgx_IHuhSq3AJ5eI5OnqOPBNLWSHKh2a30DoXe8/edit?usp=sharing"",""นราธิวาส!J194"")"),0.0)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IFERROR(__xludf.DUMMYFUNCTION("IMPORTRANGE(""https://docs.google.com/spreadsheets/d/1IYY_tgx_IHuhSq3AJ5eI5OnqOPBNLWSHKh2a30DoXe8/edit?usp=sharing"",""นราธิวาส!I195"")"),0.0)</f>
        <v>0</v>
      </c>
      <c r="J285" s="223">
        <f>IFERROR(__xludf.DUMMYFUNCTION("IMPORTRANGE(""https://docs.google.com/spreadsheets/d/1IYY_tgx_IHuhSq3AJ5eI5OnqOPBNLWSHKh2a30DoXe8/edit?usp=sharing"",""นราธิวาส!J195"")"),0.0)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IFERROR(__xludf.DUMMYFUNCTION("IMPORTRANGE(""https://docs.google.com/spreadsheets/d/1IYY_tgx_IHuhSq3AJ5eI5OnqOPBNLWSHKh2a30DoXe8/edit?usp=sharing"",""นราธิวาส!J196"")"),0.0)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IFERROR(__xludf.DUMMYFUNCTION("IMPORTRANGE(""https://docs.google.com/spreadsheets/d/1IYY_tgx_IHuhSq3AJ5eI5OnqOPBNLWSHKh2a30DoXe8/edit?usp=sharing"",""นราธิวาส!J197"")"),0.0)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IFERROR(__xludf.DUMMYFUNCTION("IMPORTRANGE(""https://docs.google.com/spreadsheets/d/1IYY_tgx_IHuhSq3AJ5eI5OnqOPBNLWSHKh2a30DoXe8/edit?usp=sharing"",""นราธิวาส!I199"")"),0.0)</f>
        <v>0</v>
      </c>
      <c r="J289" s="349">
        <f>IFERROR(__xludf.DUMMYFUNCTION("IMPORTRANGE(""https://docs.google.com/spreadsheets/d/1IYY_tgx_IHuhSq3AJ5eI5OnqOPBNLWSHKh2a30DoXe8/edit?usp=sharing"",""นราธิวาส!J199"")"),0.0)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IFERROR(__xludf.DUMMYFUNCTION("IMPORTRANGE(""https://docs.google.com/spreadsheets/d/1Yj_ptqi66GCucihVvJfMjLAmec39IyEx_6qawtMGysU/edit?usp=sharing"",""สบก!CT85"")"),0.0)</f>
        <v>0</v>
      </c>
      <c r="N294" s="202">
        <f>IFERROR(__xludf.DUMMYFUNCTION("IMPORTRANGE(""https://docs.google.com/spreadsheets/d/1Yj_ptqi66GCucihVvJfMjLAmec39IyEx_6qawtMGysU/edit?usp=sharing"",""สบก!CU85"")"),0.0)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IFERROR(__xludf.DUMMYFUNCTION("IMPORTRANGE(""https://docs.google.com/spreadsheets/d/1Yj_ptqi66GCucihVvJfMjLAmec39IyEx_6qawtMGysU/edit?usp=sharing"",""สบก!CP85"")"),0.0)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IFERROR(__xludf.DUMMYFUNCTION("IMPORTRANGE(""https://docs.google.com/spreadsheets/d/1Yj_ptqi66GCucihVvJfMjLAmec39IyEx_6qawtMGysU/edit?usp=sharing"",""สบก!CQ85"")"),0.0)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IFERROR(__xludf.DUMMYFUNCTION("IMPORTRANGE(""https://docs.google.com/spreadsheets/d/1Yj_ptqi66GCucihVvJfMjLAmec39IyEx_6qawtMGysU/edit?usp=sharing"",""สบก!CR85"")"),0.0)</f>
        <v>0</v>
      </c>
      <c r="M298" s="125"/>
      <c r="N298" s="115">
        <f>IFERROR(__xludf.DUMMYFUNCTION("IMPORTRANGE(""https://docs.google.com/spreadsheets/d/1Yj_ptqi66GCucihVvJfMjLAmec39IyEx_6qawtMGysU/edit?usp=sharing"",""สบก!CV85"")"),0.0)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IFERROR(__xludf.DUMMYFUNCTION("IMPORTRANGE(""https://docs.google.com/spreadsheets/d/1IYY_tgx_IHuhSq3AJ5eI5OnqOPBNLWSHKh2a30DoXe8/edit?usp=sharing"",""นราธิวาส!J205"")"),0.0)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IFERROR(__xludf.DUMMYFUNCTION("IMPORTRANGE(""https://docs.google.com/spreadsheets/d/1IYY_tgx_IHuhSq3AJ5eI5OnqOPBNLWSHKh2a30DoXe8/edit?usp=sharing"",""นราธิวาส!J206"")"),0.0)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IFERROR(__xludf.DUMMYFUNCTION("IMPORTRANGE(""https://docs.google.com/spreadsheets/d/1IYY_tgx_IHuhSq3AJ5eI5OnqOPBNLWSHKh2a30DoXe8/edit?usp=sharing"",""นราธิวาส!J207"")"),0.0)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IFERROR(__xludf.DUMMYFUNCTION("IMPORTRANGE(""https://docs.google.com/spreadsheets/d/1IYY_tgx_IHuhSq3AJ5eI5OnqOPBNLWSHKh2a30DoXe8/edit?usp=sharing"",""นราธิวาส!J208"")"),0.0)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IFERROR(__xludf.DUMMYFUNCTION("IMPORTRANGE(""https://docs.google.com/spreadsheets/d/1IYY_tgx_IHuhSq3AJ5eI5OnqOPBNLWSHKh2a30DoXe8/edit?usp=sharing"",""นราธิวาส!I209"")"),0.0)</f>
        <v>0</v>
      </c>
      <c r="J304" s="238">
        <f>IFERROR(__xludf.DUMMYFUNCTION("IMPORTRANGE(""https://docs.google.com/spreadsheets/d/1IYY_tgx_IHuhSq3AJ5eI5OnqOPBNLWSHKh2a30DoXe8/edit?usp=sharing"",""นราธิวาส!J209"")"),0.0)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IFERROR(__xludf.DUMMYFUNCTION("IMPORTRANGE(""https://docs.google.com/spreadsheets/d/1IYY_tgx_IHuhSq3AJ5eI5OnqOPBNLWSHKh2a30DoXe8/edit?usp=sharing"",""นราธิวาส!I211"")"),0.0)</f>
        <v>0</v>
      </c>
      <c r="J306" s="238">
        <f>IFERROR(__xludf.DUMMYFUNCTION("IMPORTRANGE(""https://docs.google.com/spreadsheets/d/1IYY_tgx_IHuhSq3AJ5eI5OnqOPBNLWSHKh2a30DoXe8/edit?usp=sharing"",""นราธิวาส!J211"")"),0.0)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IFERROR(__xludf.DUMMYFUNCTION("IMPORTRANGE(""https://docs.google.com/spreadsheets/d/1IYY_tgx_IHuhSq3AJ5eI5OnqOPBNLWSHKh2a30DoXe8/edit?usp=sharing"",""นราธิวาส!J212"")"),0.0)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IFERROR(__xludf.DUMMYFUNCTION("IMPORTRANGE(""https://docs.google.com/spreadsheets/d/1IYY_tgx_IHuhSq3AJ5eI5OnqOPBNLWSHKh2a30DoXe8/edit?usp=sharing"",""นราธิวาส!J213"")"),0.0)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IFERROR(__xludf.DUMMYFUNCTION("IMPORTRANGE(""https://docs.google.com/spreadsheets/d/1IYY_tgx_IHuhSq3AJ5eI5OnqOPBNLWSHKh2a30DoXe8/edit?usp=sharing"",""นราธิวาส!I214"")"),0.0)</f>
        <v>0</v>
      </c>
      <c r="J309" s="366">
        <f>IFERROR(__xludf.DUMMYFUNCTION("IMPORTRANGE(""https://docs.google.com/spreadsheets/d/1IYY_tgx_IHuhSq3AJ5eI5OnqOPBNLWSHKh2a30DoXe8/edit?usp=sharing"",""นราธิวาส!J214"")"),0.0)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IFERROR(__xludf.DUMMYFUNCTION("IMPORTRANGE(""https://docs.google.com/spreadsheets/d/1Yj_ptqi66GCucihVvJfMjLAmec39IyEx_6qawtMGysU/edit?usp=sharing"",""สบก!DC85"")"),0.0)</f>
        <v>0</v>
      </c>
      <c r="N314" s="202">
        <f>IFERROR(__xludf.DUMMYFUNCTION("IMPORTRANGE(""https://docs.google.com/spreadsheets/d/1Yj_ptqi66GCucihVvJfMjLAmec39IyEx_6qawtMGysU/edit?usp=sharing"",""สบก!DD85"")"),0.0)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IFERROR(__xludf.DUMMYFUNCTION("IMPORTRANGE(""https://docs.google.com/spreadsheets/d/1Yj_ptqi66GCucihVvJfMjLAmec39IyEx_6qawtMGysU/edit?usp=sharing"",""สบก!CY85"")"),0.0)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IFERROR(__xludf.DUMMYFUNCTION("IMPORTRANGE(""https://docs.google.com/spreadsheets/d/1Yj_ptqi66GCucihVvJfMjLAmec39IyEx_6qawtMGysU/edit?usp=sharing"",""สบก!CZ85"")"),0.0)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IFERROR(__xludf.DUMMYFUNCTION("IMPORTRANGE(""https://docs.google.com/spreadsheets/d/1Yj_ptqi66GCucihVvJfMjLAmec39IyEx_6qawtMGysU/edit?usp=sharing"",""สบก!DA85"")"),0.0)</f>
        <v>0</v>
      </c>
      <c r="M318" s="125"/>
      <c r="N318" s="115">
        <f>IFERROR(__xludf.DUMMYFUNCTION("IMPORTRANGE(""https://docs.google.com/spreadsheets/d/1Yj_ptqi66GCucihVvJfMjLAmec39IyEx_6qawtMGysU/edit?usp=sharing"",""สบก!DE85"")"),0.0)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IFERROR(__xludf.DUMMYFUNCTION("IMPORTRANGE(""https://docs.google.com/spreadsheets/d/1IYY_tgx_IHuhSq3AJ5eI5OnqOPBNLWSHKh2a30DoXe8/edit?usp=sharing"",""นราธิวาส!J220"")"),0.0)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IFERROR(__xludf.DUMMYFUNCTION("IMPORTRANGE(""https://docs.google.com/spreadsheets/d/1IYY_tgx_IHuhSq3AJ5eI5OnqOPBNLWSHKh2a30DoXe8/edit?usp=sharing"",""นราธิวาส!J221"")"),0.0)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IFERROR(__xludf.DUMMYFUNCTION("IMPORTRANGE(""https://docs.google.com/spreadsheets/d/1IYY_tgx_IHuhSq3AJ5eI5OnqOPBNLWSHKh2a30DoXe8/edit?usp=sharing"",""นราธิวาส!J222"")"),0.0)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IFERROR(__xludf.DUMMYFUNCTION("IMPORTRANGE(""https://docs.google.com/spreadsheets/d/1IYY_tgx_IHuhSq3AJ5eI5OnqOPBNLWSHKh2a30DoXe8/edit?usp=sharing"",""นราธิวาส!J223"")"),0.0)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IFERROR(__xludf.DUMMYFUNCTION("IMPORTRANGE(""https://docs.google.com/spreadsheets/d/1IYY_tgx_IHuhSq3AJ5eI5OnqOPBNLWSHKh2a30DoXe8/edit?usp=sharing"",""นราธิวาส!I224"")"),0.0)</f>
        <v>0</v>
      </c>
      <c r="J324" s="238">
        <f>IFERROR(__xludf.DUMMYFUNCTION("IMPORTRANGE(""https://docs.google.com/spreadsheets/d/1IYY_tgx_IHuhSq3AJ5eI5OnqOPBNLWSHKh2a30DoXe8/edit?usp=sharing"",""นราธิวาส!J224"")"),0.0)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IFERROR(__xludf.DUMMYFUNCTION("IMPORTRANGE(""https://docs.google.com/spreadsheets/d/1IYY_tgx_IHuhSq3AJ5eI5OnqOPBNLWSHKh2a30DoXe8/edit?usp=sharing"",""นราธิวาส!J225"")"),0.0)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IFERROR(__xludf.DUMMYFUNCTION("IMPORTRANGE(""https://docs.google.com/spreadsheets/d/1IYY_tgx_IHuhSq3AJ5eI5OnqOPBNLWSHKh2a30DoXe8/edit?usp=sharing"",""นราธิวาส!J226"")"),0.0)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IFERROR(__xludf.DUMMYFUNCTION("IMPORTRANGE(""https://docs.google.com/spreadsheets/d/1IYY_tgx_IHuhSq3AJ5eI5OnqOPBNLWSHKh2a30DoXe8/edit?usp=sharing"",""นราธิวาส!I228"")"),65.0)</f>
        <v>65</v>
      </c>
      <c r="J328" s="372">
        <f>IFERROR(__xludf.DUMMYFUNCTION("IMPORTRANGE(""https://docs.google.com/spreadsheets/d/1IYY_tgx_IHuhSq3AJ5eI5OnqOPBNLWSHKh2a30DoXe8/edit?usp=sharing"",""นราธิวาส!J228"")"),0.0)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721520</v>
      </c>
      <c r="M329" s="183">
        <f t="shared" si="99"/>
        <v>364380</v>
      </c>
      <c r="N329" s="183">
        <f t="shared" si="99"/>
        <v>118705</v>
      </c>
      <c r="O329" s="182">
        <f t="shared" ref="O329:O331" si="101">IF(L329&gt;0,N329*100/L329,0)</f>
        <v>16.4520734</v>
      </c>
      <c r="P329" s="182">
        <f t="shared" ref="P329:P331" si="102">IF(M329&gt;0,N329*100/M329,0)</f>
        <v>32.57725451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721520</v>
      </c>
      <c r="M331" s="188">
        <f t="shared" si="103"/>
        <v>364380</v>
      </c>
      <c r="N331" s="188">
        <f t="shared" si="103"/>
        <v>118705</v>
      </c>
      <c r="O331" s="187">
        <f t="shared" si="101"/>
        <v>16.4520734</v>
      </c>
      <c r="P331" s="187">
        <f t="shared" si="102"/>
        <v>32.57725451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721520</v>
      </c>
      <c r="M333" s="201">
        <f>IFERROR(__xludf.DUMMYFUNCTION("IMPORTRANGE(""https://docs.google.com/spreadsheets/d/1Yj_ptqi66GCucihVvJfMjLAmec39IyEx_6qawtMGysU/edit?usp=sharing"",""สบก!DL85"")"),364380.0)</f>
        <v>364380</v>
      </c>
      <c r="N333" s="202">
        <f>IFERROR(__xludf.DUMMYFUNCTION("IMPORTRANGE(""https://docs.google.com/spreadsheets/d/1Yj_ptqi66GCucihVvJfMjLAmec39IyEx_6qawtMGysU/edit?usp=sharing"",""สบก!DM85"")"),118705.0)</f>
        <v>118705</v>
      </c>
      <c r="O333" s="203">
        <f>IF(L333&gt;0,N333*100/L333,0)</f>
        <v>16.4520734</v>
      </c>
      <c r="P333" s="203">
        <f>IF(M333&gt;0,N333*100/M333,0)</f>
        <v>32.57725451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IFERROR(__xludf.DUMMYFUNCTION("IMPORTRANGE(""https://docs.google.com/spreadsheets/d/1Yj_ptqi66GCucihVvJfMjLAmec39IyEx_6qawtMGysU/edit?usp=sharing"",""สบก!DH85"")"),506800.0)</f>
        <v>506800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IFERROR(__xludf.DUMMYFUNCTION("IMPORTRANGE(""https://docs.google.com/spreadsheets/d/1Yj_ptqi66GCucihVvJfMjLAmec39IyEx_6qawtMGysU/edit?usp=sharing"",""สบก!DI85"")"),214720.0)</f>
        <v>214720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IFERROR(__xludf.DUMMYFUNCTION("IMPORTRANGE(""https://docs.google.com/spreadsheets/d/1Yj_ptqi66GCucihVvJfMjLAmec39IyEx_6qawtMGysU/edit?usp=sharing"",""สบก!DJ85"")"),0.0)</f>
        <v>0</v>
      </c>
      <c r="M337" s="125"/>
      <c r="N337" s="115">
        <f>IFERROR(__xludf.DUMMYFUNCTION("IMPORTRANGE(""https://docs.google.com/spreadsheets/d/1Yj_ptqi66GCucihVvJfMjLAmec39IyEx_6qawtMGysU/edit?usp=sharing"",""สบก!DN85"")"),0.0)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IFERROR(__xludf.DUMMYFUNCTION("IMPORTRANGE(""https://docs.google.com/spreadsheets/d/1IYY_tgx_IHuhSq3AJ5eI5OnqOPBNLWSHKh2a30DoXe8/edit?usp=sharing"",""นราธิวาส!I234"")"),0.0)</f>
        <v>0</v>
      </c>
      <c r="J339" s="222">
        <f>IFERROR(__xludf.DUMMYFUNCTION("IMPORTRANGE(""https://docs.google.com/spreadsheets/d/1IYY_tgx_IHuhSq3AJ5eI5OnqOPBNLWSHKh2a30DoXe8/edit?usp=sharing"",""นราธิวาส!J234"")"),0.0)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IFERROR(__xludf.DUMMYFUNCTION("IMPORTRANGE(""https://docs.google.com/spreadsheets/d/1IYY_tgx_IHuhSq3AJ5eI5OnqOPBNLWSHKh2a30DoXe8/edit?usp=sharing"",""นราธิวาส!I235"")"),165.0)</f>
        <v>165</v>
      </c>
      <c r="J340" s="222">
        <f>IFERROR(__xludf.DUMMYFUNCTION("IMPORTRANGE(""https://docs.google.com/spreadsheets/d/1IYY_tgx_IHuhSq3AJ5eI5OnqOPBNLWSHKh2a30DoXe8/edit?usp=sharing"",""นราธิวาส!J235"")"),0.0)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IFERROR(__xludf.DUMMYFUNCTION("IMPORTRANGE(""https://docs.google.com/spreadsheets/d/1IYY_tgx_IHuhSq3AJ5eI5OnqOPBNLWSHKh2a30DoXe8/edit?usp=sharing"",""นราธิวาส!I236"")"),65.0)</f>
        <v>65</v>
      </c>
      <c r="J341" s="222">
        <f>IFERROR(__xludf.DUMMYFUNCTION("IMPORTRANGE(""https://docs.google.com/spreadsheets/d/1IYY_tgx_IHuhSq3AJ5eI5OnqOPBNLWSHKh2a30DoXe8/edit?usp=sharing"",""นราธิวาส!J236"")"),0.0)</f>
        <v>0</v>
      </c>
      <c r="K341" s="375">
        <f t="shared" si="104"/>
        <v>0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IFERROR(__xludf.DUMMYFUNCTION("IMPORTRANGE(""https://docs.google.com/spreadsheets/d/1IYY_tgx_IHuhSq3AJ5eI5OnqOPBNLWSHKh2a30DoXe8/edit?usp=sharing"",""นราธิวาส!I237"")"),0.0)</f>
        <v>0</v>
      </c>
      <c r="J342" s="222">
        <f>IFERROR(__xludf.DUMMYFUNCTION("IMPORTRANGE(""https://docs.google.com/spreadsheets/d/1IYY_tgx_IHuhSq3AJ5eI5OnqOPBNLWSHKh2a30DoXe8/edit?usp=sharing"",""นราธิวาส!J237"")"),0.0)</f>
        <v>0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IFERROR(__xludf.DUMMYFUNCTION("IMPORTRANGE(""https://docs.google.com/spreadsheets/d/1IYY_tgx_IHuhSq3AJ5eI5OnqOPBNLWSHKh2a30DoXe8/edit?usp=sharing"",""นราธิวาส!I238"")"),65.0)</f>
        <v>65</v>
      </c>
      <c r="J343" s="222">
        <f>IFERROR(__xludf.DUMMYFUNCTION("IMPORTRANGE(""https://docs.google.com/spreadsheets/d/1IYY_tgx_IHuhSq3AJ5eI5OnqOPBNLWSHKh2a30DoXe8/edit?usp=sharing"",""นราธิวาส!J238"")"),0.0)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IFERROR(__xludf.DUMMYFUNCTION("IMPORTRANGE(""https://docs.google.com/spreadsheets/d/1IYY_tgx_IHuhSq3AJ5eI5OnqOPBNLWSHKh2a30DoXe8/edit?usp=sharing"",""นราธิวาส!I239"")"),0.0)</f>
        <v>0</v>
      </c>
      <c r="J344" s="222">
        <f>IFERROR(__xludf.DUMMYFUNCTION("IMPORTRANGE(""https://docs.google.com/spreadsheets/d/1IYY_tgx_IHuhSq3AJ5eI5OnqOPBNLWSHKh2a30DoXe8/edit?usp=sharing"",""นราธิวาส!J239"")"),0.0)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IFERROR(__xludf.DUMMYFUNCTION("IMPORTRANGE(""https://docs.google.com/spreadsheets/d/1IYY_tgx_IHuhSq3AJ5eI5OnqOPBNLWSHKh2a30DoXe8/edit?usp=sharing"",""นราธิวาส!I240"")"),65.0)</f>
        <v>65</v>
      </c>
      <c r="J345" s="222">
        <f>IFERROR(__xludf.DUMMYFUNCTION("IMPORTRANGE(""https://docs.google.com/spreadsheets/d/1IYY_tgx_IHuhSq3AJ5eI5OnqOPBNLWSHKh2a30DoXe8/edit?usp=sharing"",""นราธิวาส!J240"")"),0.0)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IFERROR(__xludf.DUMMYFUNCTION("IMPORTRANGE(""https://docs.google.com/spreadsheets/d/1IYY_tgx_IHuhSq3AJ5eI5OnqOPBNLWSHKh2a30DoXe8/edit?usp=sharing"",""นราธิวาส!I241"")"),0.0)</f>
        <v>0</v>
      </c>
      <c r="J346" s="222">
        <f>IFERROR(__xludf.DUMMYFUNCTION("IMPORTRANGE(""https://docs.google.com/spreadsheets/d/1IYY_tgx_IHuhSq3AJ5eI5OnqOPBNLWSHKh2a30DoXe8/edit?usp=sharing"",""นราธิวาส!J241"")"),0.0)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IFERROR(__xludf.DUMMYFUNCTION("IMPORTRANGE(""https://docs.google.com/spreadsheets/d/1IYY_tgx_IHuhSq3AJ5eI5OnqOPBNLWSHKh2a30DoXe8/edit?usp=sharing"",""นราธิวาส!L242"")"),612708.0)</f>
        <v>612708</v>
      </c>
      <c r="M347" s="391"/>
      <c r="N347" s="391">
        <f>IFERROR(__xludf.DUMMYFUNCTION("IMPORTRANGE(""https://docs.google.com/spreadsheets/d/1IYY_tgx_IHuhSq3AJ5eI5OnqOPBNLWSHKh2a30DoXe8/edit?usp=sharing"",""นราธิวาส!M242"")"),279590.74)</f>
        <v>279590.74</v>
      </c>
      <c r="O347" s="391">
        <f>+IF(L347&gt;0,N347*100/L347,0)</f>
        <v>45.63197151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IFERROR(__xludf.DUMMYFUNCTION("IMPORTRANGE(""https://docs.google.com/spreadsheets/d/1IYY_tgx_IHuhSq3AJ5eI5OnqOPBNLWSHKh2a30DoXe8/edit?usp=sharing"",""นราธิวาส!I244"")"),0.0)</f>
        <v>0</v>
      </c>
      <c r="J349" s="404">
        <f>IFERROR(__xludf.DUMMYFUNCTION("IMPORTRANGE(""https://docs.google.com/spreadsheets/d/1IYY_tgx_IHuhSq3AJ5eI5OnqOPBNLWSHKh2a30DoXe8/edit?usp=sharing"",""นราธิวาส!J244"")"),0.0)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IFERROR(__xludf.DUMMYFUNCTION("IMPORTRANGE(""https://docs.google.com/spreadsheets/d/1IYY_tgx_IHuhSq3AJ5eI5OnqOPBNLWSHKh2a30DoXe8/edit?usp=sharing"",""นราธิวาส!L244"")"),0.0)</f>
        <v>0</v>
      </c>
      <c r="M349" s="406"/>
      <c r="N349" s="406">
        <f>IFERROR(__xludf.DUMMYFUNCTION("IMPORTRANGE(""https://docs.google.com/spreadsheets/d/1IYY_tgx_IHuhSq3AJ5eI5OnqOPBNLWSHKh2a30DoXe8/edit?usp=sharing"",""นราธิวาส!M244"")"),0.0)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IFERROR(__xludf.DUMMYFUNCTION("IMPORTRANGE(""https://docs.google.com/spreadsheets/d/1IYY_tgx_IHuhSq3AJ5eI5OnqOPBNLWSHKh2a30DoXe8/edit?usp=sharing"",""นราธิวาส!I245"")"),0.0)</f>
        <v>0</v>
      </c>
      <c r="J350" s="404">
        <f>IFERROR(__xludf.DUMMYFUNCTION("IMPORTRANGE(""https://docs.google.com/spreadsheets/d/1IYY_tgx_IHuhSq3AJ5eI5OnqOPBNLWSHKh2a30DoXe8/edit?usp=sharing"",""นราธิวาส!J245"")"),0.0)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IFERROR(__xludf.DUMMYFUNCTION("IMPORTRANGE(""https://docs.google.com/spreadsheets/d/1IYY_tgx_IHuhSq3AJ5eI5OnqOPBNLWSHKh2a30DoXe8/edit?usp=sharing"",""นราธิวาส!L246"")"),0.0)</f>
        <v>0</v>
      </c>
      <c r="M351" s="197"/>
      <c r="N351" s="197">
        <f>IFERROR(__xludf.DUMMYFUNCTION("IMPORTRANGE(""https://docs.google.com/spreadsheets/d/1IYY_tgx_IHuhSq3AJ5eI5OnqOPBNLWSHKh2a30DoXe8/edit?usp=sharing"",""นราธิวาส!M246"")"),0.0)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IFERROR(__xludf.DUMMYFUNCTION("IMPORTRANGE(""https://docs.google.com/spreadsheets/d/1IYY_tgx_IHuhSq3AJ5eI5OnqOPBNLWSHKh2a30DoXe8/edit?usp=sharing"",""นราธิวาส!L247"")"),0.0)</f>
        <v>0</v>
      </c>
      <c r="M352" s="198"/>
      <c r="N352" s="197">
        <f>IFERROR(__xludf.DUMMYFUNCTION("IMPORTRANGE(""https://docs.google.com/spreadsheets/d/1IYY_tgx_IHuhSq3AJ5eI5OnqOPBNLWSHKh2a30DoXe8/edit?usp=sharing"",""นราธิวาส!M247"")"),0.0)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IFERROR(__xludf.DUMMYFUNCTION("IMPORTRANGE(""https://docs.google.com/spreadsheets/d/1IYY_tgx_IHuhSq3AJ5eI5OnqOPBNLWSHKh2a30DoXe8/edit?usp=sharing"",""นราธิวาส!L248"")"),0.0)</f>
        <v>0</v>
      </c>
      <c r="M353" s="203"/>
      <c r="N353" s="203">
        <f>IFERROR(__xludf.DUMMYFUNCTION("IMPORTRANGE(""https://docs.google.com/spreadsheets/d/1IYY_tgx_IHuhSq3AJ5eI5OnqOPBNLWSHKh2a30DoXe8/edit?usp=sharing"",""นราธิวาส!M248"")"),0.0)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IFERROR(__xludf.DUMMYFUNCTION("IMPORTRANGE(""https://docs.google.com/spreadsheets/d/1IYY_tgx_IHuhSq3AJ5eI5OnqOPBNLWSHKh2a30DoXe8/edit?usp=sharing"",""นราธิวาส!L249"")"),0.0)</f>
        <v>0</v>
      </c>
      <c r="M354" s="203"/>
      <c r="N354" s="200">
        <f>IFERROR(__xludf.DUMMYFUNCTION("IMPORTRANGE(""https://docs.google.com/spreadsheets/d/1IYY_tgx_IHuhSq3AJ5eI5OnqOPBNLWSHKh2a30DoXe8/edit?usp=sharing"",""นราธิวาส!M249"")"),0.0)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IFERROR(__xludf.DUMMYFUNCTION("IMPORTRANGE(""https://docs.google.com/spreadsheets/d/1IYY_tgx_IHuhSq3AJ5eI5OnqOPBNLWSHKh2a30DoXe8/edit?usp=sharing"",""นราธิวาส!M250"")"),0.0)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IFERROR(__xludf.DUMMYFUNCTION("IMPORTRANGE(""https://docs.google.com/spreadsheets/d/1IYY_tgx_IHuhSq3AJ5eI5OnqOPBNLWSHKh2a30DoXe8/edit?usp=sharing"",""นราธิวาส!M251"")"),0.0)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IFERROR(__xludf.DUMMYFUNCTION("IMPORTRANGE(""https://docs.google.com/spreadsheets/d/1IYY_tgx_IHuhSq3AJ5eI5OnqOPBNLWSHKh2a30DoXe8/edit?usp=sharing"",""นราธิวาส!M252"")"),0.0)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IFERROR(__xludf.DUMMYFUNCTION("IMPORTRANGE(""https://docs.google.com/spreadsheets/d/1IYY_tgx_IHuhSq3AJ5eI5OnqOPBNLWSHKh2a30DoXe8/edit?usp=sharing"",""นราธิวาส!M253"")"),0.0)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IFERROR(__xludf.DUMMYFUNCTION("IMPORTRANGE(""https://docs.google.com/spreadsheets/d/1IYY_tgx_IHuhSq3AJ5eI5OnqOPBNLWSHKh2a30DoXe8/edit?usp=sharing"",""นราธิวาส!J255"")"),0.0)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IFERROR(__xludf.DUMMYFUNCTION("IMPORTRANGE(""https://docs.google.com/spreadsheets/d/1IYY_tgx_IHuhSq3AJ5eI5OnqOPBNLWSHKh2a30DoXe8/edit?usp=sharing"",""นราธิวาส!J256"")"),0.0)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IFERROR(__xludf.DUMMYFUNCTION("IMPORTRANGE(""https://docs.google.com/spreadsheets/d/1IYY_tgx_IHuhSq3AJ5eI5OnqOPBNLWSHKh2a30DoXe8/edit?usp=sharing"",""นราธิวาส!J257"")"),0.0)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IFERROR(__xludf.DUMMYFUNCTION("IMPORTRANGE(""https://docs.google.com/spreadsheets/d/1IYY_tgx_IHuhSq3AJ5eI5OnqOPBNLWSHKh2a30DoXe8/edit?usp=sharing"",""นราธิวาส!J258"")"),0.0)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IFERROR(__xludf.DUMMYFUNCTION("IMPORTRANGE(""https://docs.google.com/spreadsheets/d/1IYY_tgx_IHuhSq3AJ5eI5OnqOPBNLWSHKh2a30DoXe8/edit?usp=sharing"",""นราธิวาส!J166"")"),0.0)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IFERROR(__xludf.DUMMYFUNCTION("IMPORTRANGE(""https://docs.google.com/spreadsheets/d/1IYY_tgx_IHuhSq3AJ5eI5OnqOPBNLWSHKh2a30DoXe8/edit?usp=sharing"",""นราธิวาส!J166"")"),0.0)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IFERROR(__xludf.DUMMYFUNCTION("IMPORTRANGE(""https://docs.google.com/spreadsheets/d/1IYY_tgx_IHuhSq3AJ5eI5OnqOPBNLWSHKh2a30DoXe8/edit?usp=sharing"",""นราธิวาส!J166"")"),0.0)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IFERROR(__xludf.DUMMYFUNCTION("IMPORTRANGE(""https://docs.google.com/spreadsheets/d/1IYY_tgx_IHuhSq3AJ5eI5OnqOPBNLWSHKh2a30DoXe8/edit?usp=sharing"",""นราธิวาส!J166"")"),0.0)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IFERROR(__xludf.DUMMYFUNCTION("IMPORTRANGE(""https://docs.google.com/spreadsheets/d/1IYY_tgx_IHuhSq3AJ5eI5OnqOPBNLWSHKh2a30DoXe8/edit?usp=sharing"",""นราธิวาส!I263"")"),0.0)</f>
        <v>0</v>
      </c>
      <c r="J368" s="222">
        <f>IFERROR(__xludf.DUMMYFUNCTION("IMPORTRANGE(""https://docs.google.com/spreadsheets/d/1IYY_tgx_IHuhSq3AJ5eI5OnqOPBNLWSHKh2a30DoXe8/edit?usp=sharing"",""นราธิวาส!J263"")"),0.0)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IFERROR(__xludf.DUMMYFUNCTION("IMPORTRANGE(""https://docs.google.com/spreadsheets/d/1IYY_tgx_IHuhSq3AJ5eI5OnqOPBNLWSHKh2a30DoXe8/edit?usp=sharing"",""นราธิวาส!I164"")"),0.0)</f>
        <v>0</v>
      </c>
      <c r="J369" s="238">
        <f>IFERROR(__xludf.DUMMYFUNCTION("IMPORTRANGE(""https://docs.google.com/spreadsheets/d/1IYY_tgx_IHuhSq3AJ5eI5OnqOPBNLWSHKh2a30DoXe8/edit?usp=sharing"",""นราธิวาส!J164"")"),0.0)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IFERROR(__xludf.DUMMYFUNCTION("IMPORTRANGE(""https://docs.google.com/spreadsheets/d/1IYY_tgx_IHuhSq3AJ5eI5OnqOPBNLWSHKh2a30DoXe8/edit?usp=sharing"",""นราธิวาส!I265"")"),0.0)</f>
        <v>0</v>
      </c>
      <c r="J370" s="238">
        <f>IFERROR(__xludf.DUMMYFUNCTION("IMPORTRANGE(""https://docs.google.com/spreadsheets/d/1IYY_tgx_IHuhSq3AJ5eI5OnqOPBNLWSHKh2a30DoXe8/edit?usp=sharing"",""นราธิวาส!J265"")"),0.0)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IFERROR(__xludf.DUMMYFUNCTION("IMPORTRANGE(""https://docs.google.com/spreadsheets/d/1IYY_tgx_IHuhSq3AJ5eI5OnqOPBNLWSHKh2a30DoXe8/edit?usp=sharing"",""นราธิวาส!I164"")"),0.0)</f>
        <v>0</v>
      </c>
      <c r="J371" s="223">
        <f>IFERROR(__xludf.DUMMYFUNCTION("IMPORTRANGE(""https://docs.google.com/spreadsheets/d/1IYY_tgx_IHuhSq3AJ5eI5OnqOPBNLWSHKh2a30DoXe8/edit?usp=sharing"",""นราธิวาส!J164"")"),0.0)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IFERROR(__xludf.DUMMYFUNCTION("IMPORTRANGE(""https://docs.google.com/spreadsheets/d/1IYY_tgx_IHuhSq3AJ5eI5OnqOPBNLWSHKh2a30DoXe8/edit?usp=sharing"",""นราธิวาส!I267"")"),0.0)</f>
        <v>0</v>
      </c>
      <c r="J372" s="223">
        <f>IFERROR(__xludf.DUMMYFUNCTION("IMPORTRANGE(""https://docs.google.com/spreadsheets/d/1IYY_tgx_IHuhSq3AJ5eI5OnqOPBNLWSHKh2a30DoXe8/edit?usp=sharing"",""นราธิวาส!J267"")"),0.0)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IFERROR(__xludf.DUMMYFUNCTION("IMPORTRANGE(""https://docs.google.com/spreadsheets/d/1IYY_tgx_IHuhSq3AJ5eI5OnqOPBNLWSHKh2a30DoXe8/edit?usp=sharing"",""นราธิวาส!I164"")"),0.0)</f>
        <v>0</v>
      </c>
      <c r="J373" s="238">
        <f>IFERROR(__xludf.DUMMYFUNCTION("IMPORTRANGE(""https://docs.google.com/spreadsheets/d/1IYY_tgx_IHuhSq3AJ5eI5OnqOPBNLWSHKh2a30DoXe8/edit?usp=sharing"",""นราธิวาส!J164"")"),0.0)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IFERROR(__xludf.DUMMYFUNCTION("IMPORTRANGE(""https://docs.google.com/spreadsheets/d/1IYY_tgx_IHuhSq3AJ5eI5OnqOPBNLWSHKh2a30DoXe8/edit?usp=sharing"",""นราธิวาส!I164"")"),0.0)</f>
        <v>0</v>
      </c>
      <c r="J374" s="222">
        <f>IFERROR(__xludf.DUMMYFUNCTION("IMPORTRANGE(""https://docs.google.com/spreadsheets/d/1IYY_tgx_IHuhSq3AJ5eI5OnqOPBNLWSHKh2a30DoXe8/edit?usp=sharing"",""นราธิวาส!J164"")"),0.0)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IFERROR(__xludf.DUMMYFUNCTION("IMPORTRANGE(""https://docs.google.com/spreadsheets/d/1IYY_tgx_IHuhSq3AJ5eI5OnqOPBNLWSHKh2a30DoXe8/edit?usp=sharing"",""นราธิวาส!I270"")"),0.0)</f>
        <v>0</v>
      </c>
      <c r="J375" s="222">
        <f>IFERROR(__xludf.DUMMYFUNCTION("IMPORTRANGE(""https://docs.google.com/spreadsheets/d/1IYY_tgx_IHuhSq3AJ5eI5OnqOPBNLWSHKh2a30DoXe8/edit?usp=sharing"",""นราธิวาส!J270"")"),0.0)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IFERROR(__xludf.DUMMYFUNCTION("IMPORTRANGE(""https://docs.google.com/spreadsheets/d/1IYY_tgx_IHuhSq3AJ5eI5OnqOPBNLWSHKh2a30DoXe8/edit?usp=sharing"",""นราธิวาส!I271"")"),0.0)</f>
        <v>0</v>
      </c>
      <c r="J376" s="223">
        <f>IFERROR(__xludf.DUMMYFUNCTION("IMPORTRANGE(""https://docs.google.com/spreadsheets/d/1IYY_tgx_IHuhSq3AJ5eI5OnqOPBNLWSHKh2a30DoXe8/edit?usp=sharing"",""นราธิวาส!J271"")"),0.0)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IFERROR(__xludf.DUMMYFUNCTION("IMPORTRANGE(""https://docs.google.com/spreadsheets/d/1IYY_tgx_IHuhSq3AJ5eI5OnqOPBNLWSHKh2a30DoXe8/edit?usp=sharing"",""นราธิวาส!I272"")"),0.0)</f>
        <v>0</v>
      </c>
      <c r="J377" s="238">
        <f>IFERROR(__xludf.DUMMYFUNCTION("IMPORTRANGE(""https://docs.google.com/spreadsheets/d/1IYY_tgx_IHuhSq3AJ5eI5OnqOPBNLWSHKh2a30DoXe8/edit?usp=sharing"",""นราธิวาส!J272"")"),0.0)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IFERROR(__xludf.DUMMYFUNCTION("IMPORTRANGE(""https://docs.google.com/spreadsheets/d/1IYY_tgx_IHuhSq3AJ5eI5OnqOPBNLWSHKh2a30DoXe8/edit?usp=sharing"",""นราธิวาส!J273"")"),0.0)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IFERROR(__xludf.DUMMYFUNCTION("IMPORTRANGE(""https://docs.google.com/spreadsheets/d/1IYY_tgx_IHuhSq3AJ5eI5OnqOPBNLWSHKh2a30DoXe8/edit?usp=sharing"",""นราธิวาส!J274"")"),0.0)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IFERROR(__xludf.DUMMYFUNCTION("IMPORTRANGE(""https://docs.google.com/spreadsheets/d/1IYY_tgx_IHuhSq3AJ5eI5OnqOPBNLWSHKh2a30DoXe8/edit?usp=sharing"",""นราธิวาส!I275"")"),100.0)</f>
        <v>100</v>
      </c>
      <c r="J380" s="404">
        <f>IFERROR(__xludf.DUMMYFUNCTION("IMPORTRANGE(""https://docs.google.com/spreadsheets/d/1IYY_tgx_IHuhSq3AJ5eI5OnqOPBNLWSHKh2a30DoXe8/edit?usp=sharing"",""นราธิวาส!J275"")"),0.0)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IFERROR(__xludf.DUMMYFUNCTION("IMPORTRANGE(""https://docs.google.com/spreadsheets/d/1IYY_tgx_IHuhSq3AJ5eI5OnqOPBNLWSHKh2a30DoXe8/edit?usp=sharing"",""นราธิวาส!L275"")"),127660.0)</f>
        <v>127660</v>
      </c>
      <c r="M380" s="406"/>
      <c r="N380" s="406">
        <f>IFERROR(__xludf.DUMMYFUNCTION("IMPORTRANGE(""https://docs.google.com/spreadsheets/d/1IYY_tgx_IHuhSq3AJ5eI5OnqOPBNLWSHKh2a30DoXe8/edit?usp=sharing"",""นราธิวาส!M275"")"),50080.0)</f>
        <v>50080</v>
      </c>
      <c r="O380" s="406">
        <f>+IF(L380&gt;0,N380*100/L380,0)</f>
        <v>39.22920257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IFERROR(__xludf.DUMMYFUNCTION("IMPORTRANGE(""https://docs.google.com/spreadsheets/d/1IYY_tgx_IHuhSq3AJ5eI5OnqOPBNLWSHKh2a30DoXe8/edit?usp=sharing"",""นราธิวาส!I276"")"),10.0)</f>
        <v>10</v>
      </c>
      <c r="J381" s="404">
        <f>IFERROR(__xludf.DUMMYFUNCTION("IMPORTRANGE(""https://docs.google.com/spreadsheets/d/1IYY_tgx_IHuhSq3AJ5eI5OnqOPBNLWSHKh2a30DoXe8/edit?usp=sharing"",""นราธิวาส!J276"")"),0.0)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IFERROR(__xludf.DUMMYFUNCTION("IMPORTRANGE(""https://docs.google.com/spreadsheets/d/1IYY_tgx_IHuhSq3AJ5eI5OnqOPBNLWSHKh2a30DoXe8/edit?usp=sharing"",""นราธิวาส!L277"")"),0.0)</f>
        <v>0</v>
      </c>
      <c r="M382" s="197"/>
      <c r="N382" s="197">
        <f>IFERROR(__xludf.DUMMYFUNCTION("IMPORTRANGE(""https://docs.google.com/spreadsheets/d/1IYY_tgx_IHuhSq3AJ5eI5OnqOPBNLWSHKh2a30DoXe8/edit?usp=sharing"",""นราธิวาส!M277"")"),0.0)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IFERROR(__xludf.DUMMYFUNCTION("IMPORTRANGE(""https://docs.google.com/spreadsheets/d/1IYY_tgx_IHuhSq3AJ5eI5OnqOPBNLWSHKh2a30DoXe8/edit?usp=sharing"",""นราธิวาส!L278"")"),127660.0)</f>
        <v>127660</v>
      </c>
      <c r="M383" s="198"/>
      <c r="N383" s="198">
        <f>IFERROR(__xludf.DUMMYFUNCTION("IMPORTRANGE(""https://docs.google.com/spreadsheets/d/1IYY_tgx_IHuhSq3AJ5eI5OnqOPBNLWSHKh2a30DoXe8/edit?usp=sharing"",""นราธิวาส!M278"")"),50080.0)</f>
        <v>50080</v>
      </c>
      <c r="O383" s="198">
        <f t="shared" si="110"/>
        <v>39.22920257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IFERROR(__xludf.DUMMYFUNCTION("IMPORTRANGE(""https://docs.google.com/spreadsheets/d/1IYY_tgx_IHuhSq3AJ5eI5OnqOPBNLWSHKh2a30DoXe8/edit?usp=sharing"",""นราธิวาส!L279"")"),0.0)</f>
        <v>0</v>
      </c>
      <c r="M384" s="203"/>
      <c r="N384" s="203">
        <f>IFERROR(__xludf.DUMMYFUNCTION("IMPORTRANGE(""https://docs.google.com/spreadsheets/d/1IYY_tgx_IHuhSq3AJ5eI5OnqOPBNLWSHKh2a30DoXe8/edit?usp=sharing"",""นราธิวาส!M279"")"),0.0)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IFERROR(__xludf.DUMMYFUNCTION("IMPORTRANGE(""https://docs.google.com/spreadsheets/d/1IYY_tgx_IHuhSq3AJ5eI5OnqOPBNLWSHKh2a30DoXe8/edit?usp=sharing"",""นราธิวาส!L280"")"),127660.0)</f>
        <v>127660</v>
      </c>
      <c r="M385" s="203"/>
      <c r="N385" s="200">
        <f>IFERROR(__xludf.DUMMYFUNCTION("IMPORTRANGE(""https://docs.google.com/spreadsheets/d/1IYY_tgx_IHuhSq3AJ5eI5OnqOPBNLWSHKh2a30DoXe8/edit?usp=sharing"",""นราธิวาส!M280"")"),50080.0)</f>
        <v>50080</v>
      </c>
      <c r="O385" s="203">
        <f t="shared" si="110"/>
        <v>39.22920257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IFERROR(__xludf.DUMMYFUNCTION("IMPORTRANGE(""https://docs.google.com/spreadsheets/d/1IYY_tgx_IHuhSq3AJ5eI5OnqOPBNLWSHKh2a30DoXe8/edit?usp=sharing"",""นราธิวาส!M281"")"),39360.0)</f>
        <v>39360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IFERROR(__xludf.DUMMYFUNCTION("IMPORTRANGE(""https://docs.google.com/spreadsheets/d/1IYY_tgx_IHuhSq3AJ5eI5OnqOPBNLWSHKh2a30DoXe8/edit?usp=sharing"",""นราธิวาส!M282"")"),0.0)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IFERROR(__xludf.DUMMYFUNCTION("IMPORTRANGE(""https://docs.google.com/spreadsheets/d/1IYY_tgx_IHuhSq3AJ5eI5OnqOPBNLWSHKh2a30DoXe8/edit?usp=sharing"",""นราธิวาส!M283"")"),0.0)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IFERROR(__xludf.DUMMYFUNCTION("IMPORTRANGE(""https://docs.google.com/spreadsheets/d/1IYY_tgx_IHuhSq3AJ5eI5OnqOPBNLWSHKh2a30DoXe8/edit?usp=sharing"",""นราธิวาส!M284"")"),10720.0)</f>
        <v>10720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IFERROR(__xludf.DUMMYFUNCTION("IMPORTRANGE(""https://docs.google.com/spreadsheets/d/1IYY_tgx_IHuhSq3AJ5eI5OnqOPBNLWSHKh2a30DoXe8/edit?usp=sharing"",""นราธิวาส!J286"")"),0.0)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IFERROR(__xludf.DUMMYFUNCTION("IMPORTRANGE(""https://docs.google.com/spreadsheets/d/1IYY_tgx_IHuhSq3AJ5eI5OnqOPBNLWSHKh2a30DoXe8/edit?usp=sharing"",""นราธิวาส!J287"")"),1.0)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IFERROR(__xludf.DUMMYFUNCTION("IMPORTRANGE(""https://docs.google.com/spreadsheets/d/1IYY_tgx_IHuhSq3AJ5eI5OnqOPBNLWSHKh2a30DoXe8/edit?usp=sharing"",""นราธิวาส!J288"")"),1.0)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IFERROR(__xludf.DUMMYFUNCTION("IMPORTRANGE(""https://docs.google.com/spreadsheets/d/1IYY_tgx_IHuhSq3AJ5eI5OnqOPBNLWSHKh2a30DoXe8/edit?usp=sharing"",""นราธิวาส!J289"")"),1.0)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IFERROR(__xludf.DUMMYFUNCTION("IMPORTRANGE(""https://docs.google.com/spreadsheets/d/1IYY_tgx_IHuhSq3AJ5eI5OnqOPBNLWSHKh2a30DoXe8/edit?usp=sharing"",""นราธิวาส!I291"")"),10.0)</f>
        <v>10</v>
      </c>
      <c r="J396" s="232">
        <f>IFERROR(__xludf.DUMMYFUNCTION("IMPORTRANGE(""https://docs.google.com/spreadsheets/d/1IYY_tgx_IHuhSq3AJ5eI5OnqOPBNLWSHKh2a30DoXe8/edit?usp=sharing"",""นราธิวาส!J291"")"),0.0)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IFERROR(__xludf.DUMMYFUNCTION("IMPORTRANGE(""https://docs.google.com/spreadsheets/d/1IYY_tgx_IHuhSq3AJ5eI5OnqOPBNLWSHKh2a30DoXe8/edit?usp=sharing"",""นราธิวาส!I292"")"),100.0)</f>
        <v>100</v>
      </c>
      <c r="J397" s="232">
        <f>IFERROR(__xludf.DUMMYFUNCTION("IMPORTRANGE(""https://docs.google.com/spreadsheets/d/1IYY_tgx_IHuhSq3AJ5eI5OnqOPBNLWSHKh2a30DoXe8/edit?usp=sharing"",""นราธิวาส!J292"")"),0.0)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IFERROR(__xludf.DUMMYFUNCTION("IMPORTRANGE(""https://docs.google.com/spreadsheets/d/1IYY_tgx_IHuhSq3AJ5eI5OnqOPBNLWSHKh2a30DoXe8/edit?usp=sharing"",""นราธิวาส!I293"")"),10.0)</f>
        <v>10</v>
      </c>
      <c r="J398" s="232">
        <f>IFERROR(__xludf.DUMMYFUNCTION("IMPORTRANGE(""https://docs.google.com/spreadsheets/d/1IYY_tgx_IHuhSq3AJ5eI5OnqOPBNLWSHKh2a30DoXe8/edit?usp=sharing"",""นราธิวาส!J293"")"),0.0)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IFERROR(__xludf.DUMMYFUNCTION("IMPORTRANGE(""https://docs.google.com/spreadsheets/d/1IYY_tgx_IHuhSq3AJ5eI5OnqOPBNLWSHKh2a30DoXe8/edit?usp=sharing"",""นราธิวาส!J294"")"),0.0)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IFERROR(__xludf.DUMMYFUNCTION("IMPORTRANGE(""https://docs.google.com/spreadsheets/d/1IYY_tgx_IHuhSq3AJ5eI5OnqOPBNLWSHKh2a30DoXe8/edit?usp=sharing"",""นราธิวาส!J295"")"),0.0)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IFERROR(__xludf.DUMMYFUNCTION("IMPORTRANGE(""https://docs.google.com/spreadsheets/d/1IYY_tgx_IHuhSq3AJ5eI5OnqOPBNLWSHKh2a30DoXe8/edit?usp=sharing"",""นราธิวาส!I296"")"),165.0)</f>
        <v>165</v>
      </c>
      <c r="J401" s="404">
        <f>IFERROR(__xludf.DUMMYFUNCTION("IMPORTRANGE(""https://docs.google.com/spreadsheets/d/1IYY_tgx_IHuhSq3AJ5eI5OnqOPBNLWSHKh2a30DoXe8/edit?usp=sharing"",""นราธิวาส!J296"")"),165.0)</f>
        <v>165</v>
      </c>
      <c r="K401" s="405">
        <f t="shared" ref="K401:K402" si="112">IF(I401&gt;0,J401*100/I401,0)</f>
        <v>100</v>
      </c>
      <c r="L401" s="406">
        <f>IFERROR(__xludf.DUMMYFUNCTION("IMPORTRANGE(""https://docs.google.com/spreadsheets/d/1IYY_tgx_IHuhSq3AJ5eI5OnqOPBNLWSHKh2a30DoXe8/edit?usp=sharing"",""นราธิวาส!L296"")"),195740.0)</f>
        <v>195740</v>
      </c>
      <c r="M401" s="406"/>
      <c r="N401" s="406">
        <f>IFERROR(__xludf.DUMMYFUNCTION("IMPORTRANGE(""https://docs.google.com/spreadsheets/d/1IYY_tgx_IHuhSq3AJ5eI5OnqOPBNLWSHKh2a30DoXe8/edit?usp=sharing"",""นราธิวาส!M296"")"),118500.0)</f>
        <v>118500</v>
      </c>
      <c r="O401" s="406">
        <f>+IF(L401&gt;0,N401*100/L401,0)</f>
        <v>60.53949116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IFERROR(__xludf.DUMMYFUNCTION("IMPORTRANGE(""https://docs.google.com/spreadsheets/d/1IYY_tgx_IHuhSq3AJ5eI5OnqOPBNLWSHKh2a30DoXe8/edit?usp=sharing"",""นราธิวาส!I297"")"),55.0)</f>
        <v>55</v>
      </c>
      <c r="J402" s="404">
        <f>IFERROR(__xludf.DUMMYFUNCTION("IMPORTRANGE(""https://docs.google.com/spreadsheets/d/1IYY_tgx_IHuhSq3AJ5eI5OnqOPBNLWSHKh2a30DoXe8/edit?usp=sharing"",""นราธิวาส!J297"")"),55.0)</f>
        <v>55</v>
      </c>
      <c r="K402" s="405">
        <f t="shared" si="112"/>
        <v>100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IFERROR(__xludf.DUMMYFUNCTION("IMPORTRANGE(""https://docs.google.com/spreadsheets/d/1IYY_tgx_IHuhSq3AJ5eI5OnqOPBNLWSHKh2a30DoXe8/edit?usp=sharing"",""นราธิวาส!L298"")"),0.0)</f>
        <v>0</v>
      </c>
      <c r="M403" s="197"/>
      <c r="N403" s="203">
        <f>IFERROR(__xludf.DUMMYFUNCTION("IMPORTRANGE(""https://docs.google.com/spreadsheets/d/1IYY_tgx_IHuhSq3AJ5eI5OnqOPBNLWSHKh2a30DoXe8/edit?usp=sharing"",""นราธิวาส!M298"")"),0.0)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IFERROR(__xludf.DUMMYFUNCTION("IMPORTRANGE(""https://docs.google.com/spreadsheets/d/1IYY_tgx_IHuhSq3AJ5eI5OnqOPBNLWSHKh2a30DoXe8/edit?usp=sharing"",""นราธิวาส!L299"")"),195740.0)</f>
        <v>195740</v>
      </c>
      <c r="M404" s="198"/>
      <c r="N404" s="203">
        <f>IFERROR(__xludf.DUMMYFUNCTION("IMPORTRANGE(""https://docs.google.com/spreadsheets/d/1IYY_tgx_IHuhSq3AJ5eI5OnqOPBNLWSHKh2a30DoXe8/edit?usp=sharing"",""นราธิวาส!M299"")"),118500.0)</f>
        <v>118500</v>
      </c>
      <c r="O404" s="203">
        <f t="shared" si="113"/>
        <v>60.53949116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IFERROR(__xludf.DUMMYFUNCTION("IMPORTRANGE(""https://docs.google.com/spreadsheets/d/1IYY_tgx_IHuhSq3AJ5eI5OnqOPBNLWSHKh2a30DoXe8/edit?usp=sharing"",""นราธิวาส!L300"")"),0.0)</f>
        <v>0</v>
      </c>
      <c r="M405" s="203"/>
      <c r="N405" s="203">
        <f>IFERROR(__xludf.DUMMYFUNCTION("IMPORTRANGE(""https://docs.google.com/spreadsheets/d/1IYY_tgx_IHuhSq3AJ5eI5OnqOPBNLWSHKh2a30DoXe8/edit?usp=sharing"",""นราธิวาส!M300"")"),0.0)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IFERROR(__xludf.DUMMYFUNCTION("IMPORTRANGE(""https://docs.google.com/spreadsheets/d/1IYY_tgx_IHuhSq3AJ5eI5OnqOPBNLWSHKh2a30DoXe8/edit?usp=sharing"",""นราธิวาส!L301"")"),195740.0)</f>
        <v>195740</v>
      </c>
      <c r="M406" s="203"/>
      <c r="N406" s="203">
        <f>IFERROR(__xludf.DUMMYFUNCTION("IMPORTRANGE(""https://docs.google.com/spreadsheets/d/1IYY_tgx_IHuhSq3AJ5eI5OnqOPBNLWSHKh2a30DoXe8/edit?usp=sharing"",""นราธิวาส!M301"")"),118500.0)</f>
        <v>118500</v>
      </c>
      <c r="O406" s="203">
        <f t="shared" si="113"/>
        <v>60.53949116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IFERROR(__xludf.DUMMYFUNCTION("IMPORTRANGE(""https://docs.google.com/spreadsheets/d/1IYY_tgx_IHuhSq3AJ5eI5OnqOPBNLWSHKh2a30DoXe8/edit?usp=sharing"",""นราธิวาส!M302"")"),103500.0)</f>
        <v>103500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IFERROR(__xludf.DUMMYFUNCTION("IMPORTRANGE(""https://docs.google.com/spreadsheets/d/1IYY_tgx_IHuhSq3AJ5eI5OnqOPBNLWSHKh2a30DoXe8/edit?usp=sharing"",""นราธิวาส!M303"")"),0.0)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IFERROR(__xludf.DUMMYFUNCTION("IMPORTRANGE(""https://docs.google.com/spreadsheets/d/1IYY_tgx_IHuhSq3AJ5eI5OnqOPBNLWSHKh2a30DoXe8/edit?usp=sharing"",""นราธิวาส!M304"")"),0.0)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IFERROR(__xludf.DUMMYFUNCTION("IMPORTRANGE(""https://docs.google.com/spreadsheets/d/1IYY_tgx_IHuhSq3AJ5eI5OnqOPBNLWSHKh2a30DoXe8/edit?usp=sharing"",""นราธิวาส!M305"")"),15000.0)</f>
        <v>15000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IFERROR(__xludf.DUMMYFUNCTION("IMPORTRANGE(""https://docs.google.com/spreadsheets/d/1IYY_tgx_IHuhSq3AJ5eI5OnqOPBNLWSHKh2a30DoXe8/edit?usp=sharing"",""นราธิวาส!J307"")"),0.0)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IFERROR(__xludf.DUMMYFUNCTION("IMPORTRANGE(""https://docs.google.com/spreadsheets/d/1IYY_tgx_IHuhSq3AJ5eI5OnqOPBNLWSHKh2a30DoXe8/edit?usp=sharing"",""นราธิวาส!J308"")"),1.0)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IFERROR(__xludf.DUMMYFUNCTION("IMPORTRANGE(""https://docs.google.com/spreadsheets/d/1IYY_tgx_IHuhSq3AJ5eI5OnqOPBNLWSHKh2a30DoXe8/edit?usp=sharing"",""นราธิวาส!J309"")"),1.0)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IFERROR(__xludf.DUMMYFUNCTION("IMPORTRANGE(""https://docs.google.com/spreadsheets/d/1IYY_tgx_IHuhSq3AJ5eI5OnqOPBNLWSHKh2a30DoXe8/edit?usp=sharing"",""นราธิวาส!J310"")"),1.0)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IFERROR(__xludf.DUMMYFUNCTION("IMPORTRANGE(""https://docs.google.com/spreadsheets/d/1IYY_tgx_IHuhSq3AJ5eI5OnqOPBNLWSHKh2a30DoXe8/edit?usp=sharing"",""นราธิวาส!I311"")"),55.0)</f>
        <v>55</v>
      </c>
      <c r="J416" s="235">
        <f>IFERROR(__xludf.DUMMYFUNCTION("IMPORTRANGE(""https://docs.google.com/spreadsheets/d/1IYY_tgx_IHuhSq3AJ5eI5OnqOPBNLWSHKh2a30DoXe8/edit?usp=sharing"",""นราธิวาส!J311"")"),55.0)</f>
        <v>55</v>
      </c>
      <c r="K416" s="236">
        <f t="shared" ref="K416:K432" si="114">IF(I416&gt;0,J416*100/I416,0)</f>
        <v>100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IFERROR(__xludf.DUMMYFUNCTION("IMPORTRANGE(""https://docs.google.com/spreadsheets/d/1IYY_tgx_IHuhSq3AJ5eI5OnqOPBNLWSHKh2a30DoXe8/edit?usp=sharing"",""นราธิวาส!I312"")"),25.0)</f>
        <v>25</v>
      </c>
      <c r="J417" s="425">
        <f>IFERROR(__xludf.DUMMYFUNCTION("IMPORTRANGE(""https://docs.google.com/spreadsheets/d/1IYY_tgx_IHuhSq3AJ5eI5OnqOPBNLWSHKh2a30DoXe8/edit?usp=sharing"",""นราธิวาส!J312"")"),25.0)</f>
        <v>25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IFERROR(__xludf.DUMMYFUNCTION("IMPORTRANGE(""https://docs.google.com/spreadsheets/d/1IYY_tgx_IHuhSq3AJ5eI5OnqOPBNLWSHKh2a30DoXe8/edit?usp=sharing"",""นราธิวาส!I313"")"),75.0)</f>
        <v>75</v>
      </c>
      <c r="J418" s="426">
        <f>IFERROR(__xludf.DUMMYFUNCTION("IMPORTRANGE(""https://docs.google.com/spreadsheets/d/1IYY_tgx_IHuhSq3AJ5eI5OnqOPBNLWSHKh2a30DoXe8/edit?usp=sharing"",""นราธิวาส!J313"")"),75.0)</f>
        <v>75</v>
      </c>
      <c r="K418" s="236">
        <f t="shared" si="114"/>
        <v>100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IFERROR(__xludf.DUMMYFUNCTION("IMPORTRANGE(""https://docs.google.com/spreadsheets/d/1IYY_tgx_IHuhSq3AJ5eI5OnqOPBNLWSHKh2a30DoXe8/edit?usp=sharing"",""นราธิวาส!I314"")"),25.0)</f>
        <v>25</v>
      </c>
      <c r="J419" s="427">
        <f>IFERROR(__xludf.DUMMYFUNCTION("IMPORTRANGE(""https://docs.google.com/spreadsheets/d/1IYY_tgx_IHuhSq3AJ5eI5OnqOPBNLWSHKh2a30DoXe8/edit?usp=sharing"",""นราธิวาส!J314"")"),25.0)</f>
        <v>25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IFERROR(__xludf.DUMMYFUNCTION("IMPORTRANGE(""https://docs.google.com/spreadsheets/d/1IYY_tgx_IHuhSq3AJ5eI5OnqOPBNLWSHKh2a30DoXe8/edit?usp=sharing"",""นราธิวาส!I315"")"),25.0)</f>
        <v>25</v>
      </c>
      <c r="J420" s="427">
        <f>IFERROR(__xludf.DUMMYFUNCTION("IMPORTRANGE(""https://docs.google.com/spreadsheets/d/1IYY_tgx_IHuhSq3AJ5eI5OnqOPBNLWSHKh2a30DoXe8/edit?usp=sharing"",""นราธิวาส!J315"")"),25.0)</f>
        <v>25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IFERROR(__xludf.DUMMYFUNCTION("IMPORTRANGE(""https://docs.google.com/spreadsheets/d/1IYY_tgx_IHuhSq3AJ5eI5OnqOPBNLWSHKh2a30DoXe8/edit?usp=sharing"",""นราธิวาส!I316"")"),20.0)</f>
        <v>20</v>
      </c>
      <c r="J421" s="425">
        <f>IFERROR(__xludf.DUMMYFUNCTION("IMPORTRANGE(""https://docs.google.com/spreadsheets/d/1IYY_tgx_IHuhSq3AJ5eI5OnqOPBNLWSHKh2a30DoXe8/edit?usp=sharing"",""นราธิวาส!J316"")"),20.0)</f>
        <v>20</v>
      </c>
      <c r="K421" s="236">
        <f t="shared" si="114"/>
        <v>100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IFERROR(__xludf.DUMMYFUNCTION("IMPORTRANGE(""https://docs.google.com/spreadsheets/d/1IYY_tgx_IHuhSq3AJ5eI5OnqOPBNLWSHKh2a30DoXe8/edit?usp=sharing"",""นราธิวาส!I317"")"),60.0)</f>
        <v>60</v>
      </c>
      <c r="J422" s="426">
        <f>IFERROR(__xludf.DUMMYFUNCTION("IMPORTRANGE(""https://docs.google.com/spreadsheets/d/1IYY_tgx_IHuhSq3AJ5eI5OnqOPBNLWSHKh2a30DoXe8/edit?usp=sharing"",""นราธิวาส!J317"")"),60.0)</f>
        <v>60</v>
      </c>
      <c r="K422" s="236">
        <f t="shared" si="114"/>
        <v>100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IFERROR(__xludf.DUMMYFUNCTION("IMPORTRANGE(""https://docs.google.com/spreadsheets/d/1IYY_tgx_IHuhSq3AJ5eI5OnqOPBNLWSHKh2a30DoXe8/edit?usp=sharing"",""นราธิวาส!I318"")"),20.0)</f>
        <v>20</v>
      </c>
      <c r="J423" s="427">
        <f>IFERROR(__xludf.DUMMYFUNCTION("IMPORTRANGE(""https://docs.google.com/spreadsheets/d/1IYY_tgx_IHuhSq3AJ5eI5OnqOPBNLWSHKh2a30DoXe8/edit?usp=sharing"",""นราธิวาส!J318"")"),20.0)</f>
        <v>20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IFERROR(__xludf.DUMMYFUNCTION("IMPORTRANGE(""https://docs.google.com/spreadsheets/d/1IYY_tgx_IHuhSq3AJ5eI5OnqOPBNLWSHKh2a30DoXe8/edit?usp=sharing"",""นราธิวาส!I319"")"),20.0)</f>
        <v>20</v>
      </c>
      <c r="J424" s="427">
        <f>IFERROR(__xludf.DUMMYFUNCTION("IMPORTRANGE(""https://docs.google.com/spreadsheets/d/1IYY_tgx_IHuhSq3AJ5eI5OnqOPBNLWSHKh2a30DoXe8/edit?usp=sharing"",""นราธิวาส!J319"")"),20.0)</f>
        <v>20</v>
      </c>
      <c r="K424" s="196">
        <f t="shared" si="114"/>
        <v>100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IFERROR(__xludf.DUMMYFUNCTION("IMPORTRANGE(""https://docs.google.com/spreadsheets/d/1IYY_tgx_IHuhSq3AJ5eI5OnqOPBNLWSHKh2a30DoXe8/edit?usp=sharing"",""นราธิวาส!I320"")"),20.0)</f>
        <v>20</v>
      </c>
      <c r="J425" s="427">
        <f>IFERROR(__xludf.DUMMYFUNCTION("IMPORTRANGE(""https://docs.google.com/spreadsheets/d/1IYY_tgx_IHuhSq3AJ5eI5OnqOPBNLWSHKh2a30DoXe8/edit?usp=sharing"",""นราธิวาส!J320"")"),20.0)</f>
        <v>20</v>
      </c>
      <c r="K425" s="196">
        <f t="shared" si="114"/>
        <v>100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IFERROR(__xludf.DUMMYFUNCTION("IMPORTRANGE(""https://docs.google.com/spreadsheets/d/1IYY_tgx_IHuhSq3AJ5eI5OnqOPBNLWSHKh2a30DoXe8/edit?usp=sharing"",""นราธิวาส!I321"")"),10.0)</f>
        <v>10</v>
      </c>
      <c r="J426" s="425">
        <f>IFERROR(__xludf.DUMMYFUNCTION("IMPORTRANGE(""https://docs.google.com/spreadsheets/d/1IYY_tgx_IHuhSq3AJ5eI5OnqOPBNLWSHKh2a30DoXe8/edit?usp=sharing"",""นราธิวาส!J321"")"),10.0)</f>
        <v>10</v>
      </c>
      <c r="K426" s="236">
        <f t="shared" si="114"/>
        <v>100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IFERROR(__xludf.DUMMYFUNCTION("IMPORTRANGE(""https://docs.google.com/spreadsheets/d/1IYY_tgx_IHuhSq3AJ5eI5OnqOPBNLWSHKh2a30DoXe8/edit?usp=sharing"",""นราธิวาส!I322"")"),30.0)</f>
        <v>30</v>
      </c>
      <c r="J427" s="426">
        <f>IFERROR(__xludf.DUMMYFUNCTION("IMPORTRANGE(""https://docs.google.com/spreadsheets/d/1IYY_tgx_IHuhSq3AJ5eI5OnqOPBNLWSHKh2a30DoXe8/edit?usp=sharing"",""นราธิวาส!J322"")"),30.0)</f>
        <v>30</v>
      </c>
      <c r="K427" s="236">
        <f t="shared" si="114"/>
        <v>100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IFERROR(__xludf.DUMMYFUNCTION("IMPORTRANGE(""https://docs.google.com/spreadsheets/d/1IYY_tgx_IHuhSq3AJ5eI5OnqOPBNLWSHKh2a30DoXe8/edit?usp=sharing"",""นราธิวาส!I323"")"),10.0)</f>
        <v>10</v>
      </c>
      <c r="J428" s="427">
        <f>IFERROR(__xludf.DUMMYFUNCTION("IMPORTRANGE(""https://docs.google.com/spreadsheets/d/1IYY_tgx_IHuhSq3AJ5eI5OnqOPBNLWSHKh2a30DoXe8/edit?usp=sharing"",""นราธิวาส!J323"")"),10.0)</f>
        <v>10</v>
      </c>
      <c r="K428" s="196">
        <f t="shared" si="114"/>
        <v>100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IFERROR(__xludf.DUMMYFUNCTION("IMPORTRANGE(""https://docs.google.com/spreadsheets/d/1IYY_tgx_IHuhSq3AJ5eI5OnqOPBNLWSHKh2a30DoXe8/edit?usp=sharing"",""นราธิวาส!I324"")"),10.0)</f>
        <v>10</v>
      </c>
      <c r="J429" s="427">
        <f>IFERROR(__xludf.DUMMYFUNCTION("IMPORTRANGE(""https://docs.google.com/spreadsheets/d/1IYY_tgx_IHuhSq3AJ5eI5OnqOPBNLWSHKh2a30DoXe8/edit?usp=sharing"",""นราธิวาส!J324"")"),10.0)</f>
        <v>10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IFERROR(__xludf.DUMMYFUNCTION("IMPORTRANGE(""https://docs.google.com/spreadsheets/d/1IYY_tgx_IHuhSq3AJ5eI5OnqOPBNLWSHKh2a30DoXe8/edit?usp=sharing"",""นราธิวาส!I325"")"),45.0)</f>
        <v>45</v>
      </c>
      <c r="J430" s="425">
        <f>IFERROR(__xludf.DUMMYFUNCTION("IMPORTRANGE(""https://docs.google.com/spreadsheets/d/1IYY_tgx_IHuhSq3AJ5eI5OnqOPBNLWSHKh2a30DoXe8/edit?usp=sharing"",""นราธิวาส!J325"")"),0.0)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IFERROR(__xludf.DUMMYFUNCTION("IMPORTRANGE(""https://docs.google.com/spreadsheets/d/1IYY_tgx_IHuhSq3AJ5eI5OnqOPBNLWSHKh2a30DoXe8/edit?usp=sharing"",""นราธิวาส!I326"")"),25.0)</f>
        <v>25</v>
      </c>
      <c r="J431" s="427">
        <f>IFERROR(__xludf.DUMMYFUNCTION("IMPORTRANGE(""https://docs.google.com/spreadsheets/d/1IYY_tgx_IHuhSq3AJ5eI5OnqOPBNLWSHKh2a30DoXe8/edit?usp=sharing"",""นราธิวาส!J326"")"),0.0)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IFERROR(__xludf.DUMMYFUNCTION("IMPORTRANGE(""https://docs.google.com/spreadsheets/d/1IYY_tgx_IHuhSq3AJ5eI5OnqOPBNLWSHKh2a30DoXe8/edit?usp=sharing"",""นราธิวาส!I327"")"),20.0)</f>
        <v>20</v>
      </c>
      <c r="J432" s="427">
        <f>IFERROR(__xludf.DUMMYFUNCTION("IMPORTRANGE(""https://docs.google.com/spreadsheets/d/1IYY_tgx_IHuhSq3AJ5eI5OnqOPBNLWSHKh2a30DoXe8/edit?usp=sharing"",""นราธิวาส!J327"")"),0.0)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IFERROR(__xludf.DUMMYFUNCTION("IMPORTRANGE(""https://docs.google.com/spreadsheets/d/1IYY_tgx_IHuhSq3AJ5eI5OnqOPBNLWSHKh2a30DoXe8/edit?usp=sharing"",""นราธิวาส!J328"")"),0.0)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IFERROR(__xludf.DUMMYFUNCTION("IMPORTRANGE(""https://docs.google.com/spreadsheets/d/1IYY_tgx_IHuhSq3AJ5eI5OnqOPBNLWSHKh2a30DoXe8/edit?usp=sharing"",""นราธิวาส!J329"")"),0.0)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IFERROR(__xludf.DUMMYFUNCTION("IMPORTRANGE(""https://docs.google.com/spreadsheets/d/1IYY_tgx_IHuhSq3AJ5eI5OnqOPBNLWSHKh2a30DoXe8/edit?usp=sharing"",""นราธิวาส!I330"")"),10.0)</f>
        <v>10</v>
      </c>
      <c r="J435" s="443">
        <f>IFERROR(__xludf.DUMMYFUNCTION("IMPORTRANGE(""https://docs.google.com/spreadsheets/d/1IYY_tgx_IHuhSq3AJ5eI5OnqOPBNLWSHKh2a30DoXe8/edit?usp=sharing"",""นราธิวาส!J330"")"),10.0)</f>
        <v>10</v>
      </c>
      <c r="K435" s="444">
        <f>IF(I435&gt;0,J435*100/I435,0)</f>
        <v>100</v>
      </c>
      <c r="L435" s="445">
        <f>IFERROR(__xludf.DUMMYFUNCTION("IMPORTRANGE(""https://docs.google.com/spreadsheets/d/1IYY_tgx_IHuhSq3AJ5eI5OnqOPBNLWSHKh2a30DoXe8/edit?usp=sharing"",""นราธิวาส!L330"")"),71000.0)</f>
        <v>71000</v>
      </c>
      <c r="M435" s="445"/>
      <c r="N435" s="445">
        <f>IFERROR(__xludf.DUMMYFUNCTION("IMPORTRANGE(""https://docs.google.com/spreadsheets/d/1IYY_tgx_IHuhSq3AJ5eI5OnqOPBNLWSHKh2a30DoXe8/edit?usp=sharing"",""นราธิวาส!M330"")"),49096.740000000005)</f>
        <v>49096.74</v>
      </c>
      <c r="O435" s="445">
        <f t="shared" ref="O435:O439" si="115">+IF(L435&gt;0,N435*100/L435,0)</f>
        <v>69.15033803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IFERROR(__xludf.DUMMYFUNCTION("IMPORTRANGE(""https://docs.google.com/spreadsheets/d/1IYY_tgx_IHuhSq3AJ5eI5OnqOPBNLWSHKh2a30DoXe8/edit?usp=sharing"",""นราธิวาส!L331"")"),0.0)</f>
        <v>0</v>
      </c>
      <c r="M436" s="197"/>
      <c r="N436" s="203">
        <f>IFERROR(__xludf.DUMMYFUNCTION("IMPORTRANGE(""https://docs.google.com/spreadsheets/d/1IYY_tgx_IHuhSq3AJ5eI5OnqOPBNLWSHKh2a30DoXe8/edit?usp=sharing"",""นราธิวาส!M331"")"),0.0)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411" t="s">
        <v>249</v>
      </c>
      <c r="H437" s="194" t="s">
        <v>13</v>
      </c>
      <c r="I437" s="195"/>
      <c r="J437" s="195"/>
      <c r="K437" s="196"/>
      <c r="L437" s="553">
        <f>IFERROR(__xludf.DUMMYFUNCTION("IMPORTRANGE(""https://docs.google.com/spreadsheets/d/1IYY_tgx_IHuhSq3AJ5eI5OnqOPBNLWSHKh2a30DoXe8/edit?usp=sharing"",""นราธิวาส!L332"")+904000"),975000.0)</f>
        <v>975000</v>
      </c>
      <c r="M437" s="198"/>
      <c r="N437" s="203">
        <f>IFERROR(__xludf.DUMMYFUNCTION("IMPORTRANGE(""https://docs.google.com/spreadsheets/d/1IYY_tgx_IHuhSq3AJ5eI5OnqOPBNLWSHKh2a30DoXe8/edit?usp=sharing"",""นราธิวาส!M332"")"),49096.740000000005)</f>
        <v>49096.74</v>
      </c>
      <c r="O437" s="203">
        <f t="shared" si="115"/>
        <v>5.035563077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IFERROR(__xludf.DUMMYFUNCTION("IMPORTRANGE(""https://docs.google.com/spreadsheets/d/1IYY_tgx_IHuhSq3AJ5eI5OnqOPBNLWSHKh2a30DoXe8/edit?usp=sharing"",""นราธิวาส!L333"")"),0.0)</f>
        <v>0</v>
      </c>
      <c r="M438" s="203"/>
      <c r="N438" s="203">
        <f>IFERROR(__xludf.DUMMYFUNCTION("IMPORTRANGE(""https://docs.google.com/spreadsheets/d/1IYY_tgx_IHuhSq3AJ5eI5OnqOPBNLWSHKh2a30DoXe8/edit?usp=sharing"",""นราธิวาส!M333"")"),0.0)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IFERROR(__xludf.DUMMYFUNCTION("IMPORTRANGE(""https://docs.google.com/spreadsheets/d/1IYY_tgx_IHuhSq3AJ5eI5OnqOPBNLWSHKh2a30DoXe8/edit?usp=sharing"",""นราธิวาส!L334"")"),71000.0)</f>
        <v>71000</v>
      </c>
      <c r="M439" s="203"/>
      <c r="N439" s="203">
        <f>IFERROR(__xludf.DUMMYFUNCTION("IMPORTRANGE(""https://docs.google.com/spreadsheets/d/1IYY_tgx_IHuhSq3AJ5eI5OnqOPBNLWSHKh2a30DoXe8/edit?usp=sharing"",""นราธิวาส!M334"")"),49096.740000000005)</f>
        <v>49096.74</v>
      </c>
      <c r="O439" s="203">
        <f t="shared" si="115"/>
        <v>69.15033803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IFERROR(__xludf.DUMMYFUNCTION("IMPORTRANGE(""https://docs.google.com/spreadsheets/d/1IYY_tgx_IHuhSq3AJ5eI5OnqOPBNLWSHKh2a30DoXe8/edit?usp=sharing"",""นราธิวาส!M335"")"),20200.0)</f>
        <v>20200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IFERROR(__xludf.DUMMYFUNCTION("IMPORTRANGE(""https://docs.google.com/spreadsheets/d/1IYY_tgx_IHuhSq3AJ5eI5OnqOPBNLWSHKh2a30DoXe8/edit?usp=sharing"",""นราธิวาส!M336"")"),0.0)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IFERROR(__xludf.DUMMYFUNCTION("IMPORTRANGE(""https://docs.google.com/spreadsheets/d/1IYY_tgx_IHuhSq3AJ5eI5OnqOPBNLWSHKh2a30DoXe8/edit?usp=sharing"",""นราธิวาส!M337"")"),0.0)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IFERROR(__xludf.DUMMYFUNCTION("IMPORTRANGE(""https://docs.google.com/spreadsheets/d/1IYY_tgx_IHuhSq3AJ5eI5OnqOPBNLWSHKh2a30DoXe8/edit?usp=sharing"",""นราธิวาส!M338"")"),28896.74)</f>
        <v>28896.74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IFERROR(__xludf.DUMMYFUNCTION("IMPORTRANGE(""https://docs.google.com/spreadsheets/d/1IYY_tgx_IHuhSq3AJ5eI5OnqOPBNLWSHKh2a30DoXe8/edit?usp=sharing"",""นราธิวาส!J340"")"),0.0)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IFERROR(__xludf.DUMMYFUNCTION("IMPORTRANGE(""https://docs.google.com/spreadsheets/d/1IYY_tgx_IHuhSq3AJ5eI5OnqOPBNLWSHKh2a30DoXe8/edit?usp=sharing"",""นราธิวาส!J341"")"),1.0)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IFERROR(__xludf.DUMMYFUNCTION("IMPORTRANGE(""https://docs.google.com/spreadsheets/d/1IYY_tgx_IHuhSq3AJ5eI5OnqOPBNLWSHKh2a30DoXe8/edit?usp=sharing"",""นราธิวาส!J342"")"),1.0)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IFERROR(__xludf.DUMMYFUNCTION("IMPORTRANGE(""https://docs.google.com/spreadsheets/d/1IYY_tgx_IHuhSq3AJ5eI5OnqOPBNLWSHKh2a30DoXe8/edit?usp=sharing"",""นราธิวาส!J343"")"),1.0)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IFERROR(__xludf.DUMMYFUNCTION("IMPORTRANGE(""https://docs.google.com/spreadsheets/d/1IYY_tgx_IHuhSq3AJ5eI5OnqOPBNLWSHKh2a30DoXe8/edit?usp=sharing"",""นราธิวาส!I344"")"),10.0)</f>
        <v>10</v>
      </c>
      <c r="J449" s="235">
        <f>IFERROR(__xludf.DUMMYFUNCTION("IMPORTRANGE(""https://docs.google.com/spreadsheets/d/1IYY_tgx_IHuhSq3AJ5eI5OnqOPBNLWSHKh2a30DoXe8/edit?usp=sharing"",""นราธิวาส!J344"")"),10.0)</f>
        <v>10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IFERROR(__xludf.DUMMYFUNCTION("IMPORTRANGE(""https://docs.google.com/spreadsheets/d/1IYY_tgx_IHuhSq3AJ5eI5OnqOPBNLWSHKh2a30DoXe8/edit?usp=sharing"",""นราธิวาส!I345"")"),10.0)</f>
        <v>10</v>
      </c>
      <c r="J450" s="223">
        <f>IFERROR(__xludf.DUMMYFUNCTION("IMPORTRANGE(""https://docs.google.com/spreadsheets/d/1IYY_tgx_IHuhSq3AJ5eI5OnqOPBNLWSHKh2a30DoXe8/edit?usp=sharing"",""นราธิวาส!J345"")"),10.0)</f>
        <v>10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IFERROR(__xludf.DUMMYFUNCTION("IMPORTRANGE(""https://docs.google.com/spreadsheets/d/1IYY_tgx_IHuhSq3AJ5eI5OnqOPBNLWSHKh2a30DoXe8/edit?usp=sharing"",""นราธิวาส!I346"")"),0.0)</f>
        <v>0</v>
      </c>
      <c r="J451" s="222">
        <f>IFERROR(__xludf.DUMMYFUNCTION("IMPORTRANGE(""https://docs.google.com/spreadsheets/d/1IYY_tgx_IHuhSq3AJ5eI5OnqOPBNLWSHKh2a30DoXe8/edit?usp=sharing"",""นราธิวาส!J346"")"),0.0)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IFERROR(__xludf.DUMMYFUNCTION("IMPORTRANGE(""https://docs.google.com/spreadsheets/d/1IYY_tgx_IHuhSq3AJ5eI5OnqOPBNLWSHKh2a30DoXe8/edit?usp=sharing"",""นราธิวาส!I347"")"),0.0)</f>
        <v>0</v>
      </c>
      <c r="J452" s="222">
        <f>IFERROR(__xludf.DUMMYFUNCTION("IMPORTRANGE(""https://docs.google.com/spreadsheets/d/1IYY_tgx_IHuhSq3AJ5eI5OnqOPBNLWSHKh2a30DoXe8/edit?usp=sharing"",""นราธิวาส!J347"")"),0.0)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IFERROR(__xludf.DUMMYFUNCTION("IMPORTRANGE(""https://docs.google.com/spreadsheets/d/1IYY_tgx_IHuhSq3AJ5eI5OnqOPBNLWSHKh2a30DoXe8/edit?usp=sharing"",""นราธิวาส!J348"")"),0.0)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IFERROR(__xludf.DUMMYFUNCTION("IMPORTRANGE(""https://docs.google.com/spreadsheets/d/1IYY_tgx_IHuhSq3AJ5eI5OnqOPBNLWSHKh2a30DoXe8/edit?usp=sharing"",""นราธิวาส!J349"")"),0.0)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IFERROR(__xludf.DUMMYFUNCTION("IMPORTRANGE(""https://docs.google.com/spreadsheets/d/1IYY_tgx_IHuhSq3AJ5eI5OnqOPBNLWSHKh2a30DoXe8/edit?usp=sharing"",""นราธิวาส!I350"")"),2587.0)</f>
        <v>2587</v>
      </c>
      <c r="J455" s="404">
        <f>IFERROR(__xludf.DUMMYFUNCTION("IMPORTRANGE(""https://docs.google.com/spreadsheets/d/1IYY_tgx_IHuhSq3AJ5eI5OnqOPBNLWSHKh2a30DoXe8/edit?usp=sharing"",""นราธิวาส!J350"")"),0.0)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IFERROR(__xludf.DUMMYFUNCTION("IMPORTRANGE(""https://docs.google.com/spreadsheets/d/1IYY_tgx_IHuhSq3AJ5eI5OnqOPBNLWSHKh2a30DoXe8/edit?usp=sharing"",""นราธิวาส!L350"")"),54258.0)</f>
        <v>54258</v>
      </c>
      <c r="M455" s="406"/>
      <c r="N455" s="406">
        <f>IFERROR(__xludf.DUMMYFUNCTION("IMPORTRANGE(""https://docs.google.com/spreadsheets/d/1IYY_tgx_IHuhSq3AJ5eI5OnqOPBNLWSHKh2a30DoXe8/edit?usp=sharing"",""นราธิวาส!M350"")"),14154.0)</f>
        <v>14154</v>
      </c>
      <c r="O455" s="406">
        <f t="shared" ref="O455:O459" si="117">+IF(L455&gt;0,N455*100/L455,0)</f>
        <v>26.08647573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IFERROR(__xludf.DUMMYFUNCTION("IMPORTRANGE(""https://docs.google.com/spreadsheets/d/1IYY_tgx_IHuhSq3AJ5eI5OnqOPBNLWSHKh2a30DoXe8/edit?usp=sharing"",""นราธิวาส!L351"")"),0.0)</f>
        <v>0</v>
      </c>
      <c r="M456" s="197"/>
      <c r="N456" s="203">
        <f>IFERROR(__xludf.DUMMYFUNCTION("IMPORTRANGE(""https://docs.google.com/spreadsheets/d/1IYY_tgx_IHuhSq3AJ5eI5OnqOPBNLWSHKh2a30DoXe8/edit?usp=sharing"",""นราธิวาส!M351"")"),0.0)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IFERROR(__xludf.DUMMYFUNCTION("IMPORTRANGE(""https://docs.google.com/spreadsheets/d/1IYY_tgx_IHuhSq3AJ5eI5OnqOPBNLWSHKh2a30DoXe8/edit?usp=sharing"",""นราธิวาส!L352"")"),54258.0)</f>
        <v>54258</v>
      </c>
      <c r="M457" s="198"/>
      <c r="N457" s="203">
        <f>IFERROR(__xludf.DUMMYFUNCTION("IMPORTRANGE(""https://docs.google.com/spreadsheets/d/1IYY_tgx_IHuhSq3AJ5eI5OnqOPBNLWSHKh2a30DoXe8/edit?usp=sharing"",""นราธิวาส!M352"")"),14154.0)</f>
        <v>14154</v>
      </c>
      <c r="O457" s="203">
        <f t="shared" si="117"/>
        <v>26.08647573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IFERROR(__xludf.DUMMYFUNCTION("IMPORTRANGE(""https://docs.google.com/spreadsheets/d/1IYY_tgx_IHuhSq3AJ5eI5OnqOPBNLWSHKh2a30DoXe8/edit?usp=sharing"",""นราธิวาส!L353"")"),0.0)</f>
        <v>0</v>
      </c>
      <c r="M458" s="203"/>
      <c r="N458" s="203">
        <f>IFERROR(__xludf.DUMMYFUNCTION("IMPORTRANGE(""https://docs.google.com/spreadsheets/d/1IYY_tgx_IHuhSq3AJ5eI5OnqOPBNLWSHKh2a30DoXe8/edit?usp=sharing"",""นราธิวาส!M353"")"),0.0)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IFERROR(__xludf.DUMMYFUNCTION("IMPORTRANGE(""https://docs.google.com/spreadsheets/d/1IYY_tgx_IHuhSq3AJ5eI5OnqOPBNLWSHKh2a30DoXe8/edit?usp=sharing"",""นราธิวาส!L354"")"),54258.0)</f>
        <v>54258</v>
      </c>
      <c r="M459" s="203"/>
      <c r="N459" s="203">
        <f>IFERROR(__xludf.DUMMYFUNCTION("IMPORTRANGE(""https://docs.google.com/spreadsheets/d/1IYY_tgx_IHuhSq3AJ5eI5OnqOPBNLWSHKh2a30DoXe8/edit?usp=sharing"",""นราธิวาส!M354"")"),14154.0)</f>
        <v>14154</v>
      </c>
      <c r="O459" s="203">
        <f t="shared" si="117"/>
        <v>26.08647573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IFERROR(__xludf.DUMMYFUNCTION("IMPORTRANGE(""https://docs.google.com/spreadsheets/d/1IYY_tgx_IHuhSq3AJ5eI5OnqOPBNLWSHKh2a30DoXe8/edit?usp=sharing"",""นราธิวาส!M355"")"),0.0)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IFERROR(__xludf.DUMMYFUNCTION("IMPORTRANGE(""https://docs.google.com/spreadsheets/d/1IYY_tgx_IHuhSq3AJ5eI5OnqOPBNLWSHKh2a30DoXe8/edit?usp=sharing"",""นราธิวาส!M356"")"),0.0)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IFERROR(__xludf.DUMMYFUNCTION("IMPORTRANGE(""https://docs.google.com/spreadsheets/d/1IYY_tgx_IHuhSq3AJ5eI5OnqOPBNLWSHKh2a30DoXe8/edit?usp=sharing"",""นราธิวาส!M357"")"),0.0)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IFERROR(__xludf.DUMMYFUNCTION("IMPORTRANGE(""https://docs.google.com/spreadsheets/d/1IYY_tgx_IHuhSq3AJ5eI5OnqOPBNLWSHKh2a30DoXe8/edit?usp=sharing"",""นราธิวาส!M358"")"),14154.0)</f>
        <v>14154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IFERROR(__xludf.DUMMYFUNCTION("IMPORTRANGE(""https://docs.google.com/spreadsheets/d/1IYY_tgx_IHuhSq3AJ5eI5OnqOPBNLWSHKh2a30DoXe8/edit?usp=sharing"",""นราธิวาส!I359"")"),2587.0)</f>
        <v>2587</v>
      </c>
      <c r="J464" s="301">
        <f>IFERROR(__xludf.DUMMYFUNCTION("IMPORTRANGE(""https://docs.google.com/spreadsheets/d/1IYY_tgx_IHuhSq3AJ5eI5OnqOPBNLWSHKh2a30DoXe8/edit?usp=sharing"",""นราธิวาส!J359"")"),0.0)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IFERROR(__xludf.DUMMYFUNCTION("IMPORTRANGE(""https://docs.google.com/spreadsheets/d/1IYY_tgx_IHuhSq3AJ5eI5OnqOPBNLWSHKh2a30DoXe8/edit?usp=sharing"",""นราธิวาส!I360"")"),2587.0)</f>
        <v>2587</v>
      </c>
      <c r="J465" s="453">
        <f>IFERROR(__xludf.DUMMYFUNCTION("IMPORTRANGE(""https://docs.google.com/spreadsheets/d/1IYY_tgx_IHuhSq3AJ5eI5OnqOPBNLWSHKh2a30DoXe8/edit?usp=sharing"",""นราธิวาส!J360"")"),2991.0)</f>
        <v>2991</v>
      </c>
      <c r="K465" s="236">
        <f t="shared" si="118"/>
        <v>115.6165443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IFERROR(__xludf.DUMMYFUNCTION("IMPORTRANGE(""https://docs.google.com/spreadsheets/d/1IYY_tgx_IHuhSq3AJ5eI5OnqOPBNLWSHKh2a30DoXe8/edit?usp=sharing"",""นราธิวาส!I361"")"),902.0)</f>
        <v>902</v>
      </c>
      <c r="J466" s="453">
        <f>IFERROR(__xludf.DUMMYFUNCTION("IMPORTRANGE(""https://docs.google.com/spreadsheets/d/1IYY_tgx_IHuhSq3AJ5eI5OnqOPBNLWSHKh2a30DoXe8/edit?usp=sharing"",""นราธิวาส!J361"")"),891.0)</f>
        <v>891</v>
      </c>
      <c r="K466" s="236">
        <f t="shared" si="118"/>
        <v>98.7804878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IFERROR(__xludf.DUMMYFUNCTION("IMPORTRANGE(""https://docs.google.com/spreadsheets/d/1IYY_tgx_IHuhSq3AJ5eI5OnqOPBNLWSHKh2a30DoXe8/edit?usp=sharing"",""นราธิวาส!I362"")"),0.0)</f>
        <v>0</v>
      </c>
      <c r="J467" s="223">
        <f>IFERROR(__xludf.DUMMYFUNCTION("IMPORTRANGE(""https://docs.google.com/spreadsheets/d/1IYY_tgx_IHuhSq3AJ5eI5OnqOPBNLWSHKh2a30DoXe8/edit?usp=sharing"",""นราธิวาส!J362"")"),2988.0)</f>
        <v>2988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IFERROR(__xludf.DUMMYFUNCTION("IMPORTRANGE(""https://docs.google.com/spreadsheets/d/1IYY_tgx_IHuhSq3AJ5eI5OnqOPBNLWSHKh2a30DoXe8/edit?usp=sharing"",""นราธิวาส!I363"")"),0.0)</f>
        <v>0</v>
      </c>
      <c r="J468" s="223">
        <f>IFERROR(__xludf.DUMMYFUNCTION("IMPORTRANGE(""https://docs.google.com/spreadsheets/d/1IYY_tgx_IHuhSq3AJ5eI5OnqOPBNLWSHKh2a30DoXe8/edit?usp=sharing"",""นราธิวาส!J363"")"),888.0)</f>
        <v>888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IFERROR(__xludf.DUMMYFUNCTION("IMPORTRANGE(""https://docs.google.com/spreadsheets/d/1IYY_tgx_IHuhSq3AJ5eI5OnqOPBNLWSHKh2a30DoXe8/edit?usp=sharing"",""นราธิวาส!I364"")"),0.0)</f>
        <v>0</v>
      </c>
      <c r="J469" s="223">
        <f>IFERROR(__xludf.DUMMYFUNCTION("IMPORTRANGE(""https://docs.google.com/spreadsheets/d/1IYY_tgx_IHuhSq3AJ5eI5OnqOPBNLWSHKh2a30DoXe8/edit?usp=sharing"",""นราธิวาส!J364"")"),0.0)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IFERROR(__xludf.DUMMYFUNCTION("IMPORTRANGE(""https://docs.google.com/spreadsheets/d/1IYY_tgx_IHuhSq3AJ5eI5OnqOPBNLWSHKh2a30DoXe8/edit?usp=sharing"",""นราธิวาส!I365"")"),0.0)</f>
        <v>0</v>
      </c>
      <c r="J470" s="223">
        <f>IFERROR(__xludf.DUMMYFUNCTION("IMPORTRANGE(""https://docs.google.com/spreadsheets/d/1IYY_tgx_IHuhSq3AJ5eI5OnqOPBNLWSHKh2a30DoXe8/edit?usp=sharing"",""นราธิวาส!J365"")"),0.0)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IFERROR(__xludf.DUMMYFUNCTION("IMPORTRANGE(""https://docs.google.com/spreadsheets/d/1IYY_tgx_IHuhSq3AJ5eI5OnqOPBNLWSHKh2a30DoXe8/edit?usp=sharing"",""นราธิวาส!I366"")"),0.0)</f>
        <v>0</v>
      </c>
      <c r="J471" s="223">
        <f>IFERROR(__xludf.DUMMYFUNCTION("IMPORTRANGE(""https://docs.google.com/spreadsheets/d/1IYY_tgx_IHuhSq3AJ5eI5OnqOPBNLWSHKh2a30DoXe8/edit?usp=sharing"",""นราธิวาส!J366"")"),3.0)</f>
        <v>3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IFERROR(__xludf.DUMMYFUNCTION("IMPORTRANGE(""https://docs.google.com/spreadsheets/d/1IYY_tgx_IHuhSq3AJ5eI5OnqOPBNLWSHKh2a30DoXe8/edit?usp=sharing"",""นราธิวาส!I367"")"),0.0)</f>
        <v>0</v>
      </c>
      <c r="J472" s="223">
        <f>IFERROR(__xludf.DUMMYFUNCTION("IMPORTRANGE(""https://docs.google.com/spreadsheets/d/1IYY_tgx_IHuhSq3AJ5eI5OnqOPBNLWSHKh2a30DoXe8/edit?usp=sharing"",""นราธิวาส!J367"")"),3.0)</f>
        <v>3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IFERROR(__xludf.DUMMYFUNCTION("IMPORTRANGE(""https://docs.google.com/spreadsheets/d/1IYY_tgx_IHuhSq3AJ5eI5OnqOPBNLWSHKh2a30DoXe8/edit?usp=sharing"",""นราธิวาส!I368"")"),2587.0)</f>
        <v>2587</v>
      </c>
      <c r="J473" s="453">
        <f>IFERROR(__xludf.DUMMYFUNCTION("IMPORTRANGE(""https://docs.google.com/spreadsheets/d/1IYY_tgx_IHuhSq3AJ5eI5OnqOPBNLWSHKh2a30DoXe8/edit?usp=sharing"",""นราธิวาส!J368"")"),0.0)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IFERROR(__xludf.DUMMYFUNCTION("IMPORTRANGE(""https://docs.google.com/spreadsheets/d/1IYY_tgx_IHuhSq3AJ5eI5OnqOPBNLWSHKh2a30DoXe8/edit?usp=sharing"",""นราธิวาส!I369"")"),902.0)</f>
        <v>902</v>
      </c>
      <c r="J474" s="453">
        <f>IFERROR(__xludf.DUMMYFUNCTION("IMPORTRANGE(""https://docs.google.com/spreadsheets/d/1IYY_tgx_IHuhSq3AJ5eI5OnqOPBNLWSHKh2a30DoXe8/edit?usp=sharing"",""นราธิวาส!J369"")"),0.0)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IFERROR(__xludf.DUMMYFUNCTION("IMPORTRANGE(""https://docs.google.com/spreadsheets/d/1IYY_tgx_IHuhSq3AJ5eI5OnqOPBNLWSHKh2a30DoXe8/edit?usp=sharing"",""นราธิวาส!I370"")"),0.0)</f>
        <v>0</v>
      </c>
      <c r="J475" s="223">
        <f>IFERROR(__xludf.DUMMYFUNCTION("IMPORTRANGE(""https://docs.google.com/spreadsheets/d/1IYY_tgx_IHuhSq3AJ5eI5OnqOPBNLWSHKh2a30DoXe8/edit?usp=sharing"",""นราธิวาส!J370"")"),0.0)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IFERROR(__xludf.DUMMYFUNCTION("IMPORTRANGE(""https://docs.google.com/spreadsheets/d/1IYY_tgx_IHuhSq3AJ5eI5OnqOPBNLWSHKh2a30DoXe8/edit?usp=sharing"",""นราธิวาส!I371"")"),0.0)</f>
        <v>0</v>
      </c>
      <c r="J476" s="223">
        <f>IFERROR(__xludf.DUMMYFUNCTION("IMPORTRANGE(""https://docs.google.com/spreadsheets/d/1IYY_tgx_IHuhSq3AJ5eI5OnqOPBNLWSHKh2a30DoXe8/edit?usp=sharing"",""นราธิวาส!J371"")"),0.0)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IFERROR(__xludf.DUMMYFUNCTION("IMPORTRANGE(""https://docs.google.com/spreadsheets/d/1IYY_tgx_IHuhSq3AJ5eI5OnqOPBNLWSHKh2a30DoXe8/edit?usp=sharing"",""นราธิวาส!I372"")"),0.0)</f>
        <v>0</v>
      </c>
      <c r="J477" s="223">
        <f>IFERROR(__xludf.DUMMYFUNCTION("IMPORTRANGE(""https://docs.google.com/spreadsheets/d/1IYY_tgx_IHuhSq3AJ5eI5OnqOPBNLWSHKh2a30DoXe8/edit?usp=sharing"",""นราธิวาส!J372"")"),0.0)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IFERROR(__xludf.DUMMYFUNCTION("IMPORTRANGE(""https://docs.google.com/spreadsheets/d/1IYY_tgx_IHuhSq3AJ5eI5OnqOPBNLWSHKh2a30DoXe8/edit?usp=sharing"",""นราธิวาส!I373"")"),0.0)</f>
        <v>0</v>
      </c>
      <c r="J478" s="223">
        <f>IFERROR(__xludf.DUMMYFUNCTION("IMPORTRANGE(""https://docs.google.com/spreadsheets/d/1IYY_tgx_IHuhSq3AJ5eI5OnqOPBNLWSHKh2a30DoXe8/edit?usp=sharing"",""นราธิวาส!J373"")"),0.0)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IFERROR(__xludf.DUMMYFUNCTION("IMPORTRANGE(""https://docs.google.com/spreadsheets/d/1IYY_tgx_IHuhSq3AJ5eI5OnqOPBNLWSHKh2a30DoXe8/edit?usp=sharing"",""นราธิวาส!I374"")"),0.0)</f>
        <v>0</v>
      </c>
      <c r="J479" s="223">
        <f>IFERROR(__xludf.DUMMYFUNCTION("IMPORTRANGE(""https://docs.google.com/spreadsheets/d/1IYY_tgx_IHuhSq3AJ5eI5OnqOPBNLWSHKh2a30DoXe8/edit?usp=sharing"",""นราธิวาส!J374"")"),0.0)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IFERROR(__xludf.DUMMYFUNCTION("IMPORTRANGE(""https://docs.google.com/spreadsheets/d/1IYY_tgx_IHuhSq3AJ5eI5OnqOPBNLWSHKh2a30DoXe8/edit?usp=sharing"",""นราธิวาส!I375"")"),0.0)</f>
        <v>0</v>
      </c>
      <c r="J480" s="223">
        <f>IFERROR(__xludf.DUMMYFUNCTION("IMPORTRANGE(""https://docs.google.com/spreadsheets/d/1IYY_tgx_IHuhSq3AJ5eI5OnqOPBNLWSHKh2a30DoXe8/edit?usp=sharing"",""นราธิวาส!J375"")"),0.0)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IFERROR(__xludf.DUMMYFUNCTION("IMPORTRANGE(""https://docs.google.com/spreadsheets/d/1IYY_tgx_IHuhSq3AJ5eI5OnqOPBNLWSHKh2a30DoXe8/edit?usp=sharing"",""นราธิวาส!I376"")"),2587.0)</f>
        <v>2587</v>
      </c>
      <c r="J481" s="453">
        <f>IFERROR(__xludf.DUMMYFUNCTION("IMPORTRANGE(""https://docs.google.com/spreadsheets/d/1IYY_tgx_IHuhSq3AJ5eI5OnqOPBNLWSHKh2a30DoXe8/edit?usp=sharing"",""นราธิวาส!J376"")"),0.0)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IFERROR(__xludf.DUMMYFUNCTION("IMPORTRANGE(""https://docs.google.com/spreadsheets/d/1IYY_tgx_IHuhSq3AJ5eI5OnqOPBNLWSHKh2a30DoXe8/edit?usp=sharing"",""นราธิวาส!I377"")"),902.0)</f>
        <v>902</v>
      </c>
      <c r="J482" s="453">
        <f>IFERROR(__xludf.DUMMYFUNCTION("IMPORTRANGE(""https://docs.google.com/spreadsheets/d/1IYY_tgx_IHuhSq3AJ5eI5OnqOPBNLWSHKh2a30DoXe8/edit?usp=sharing"",""นราธิวาส!J377"")"),0.0)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IFERROR(__xludf.DUMMYFUNCTION("IMPORTRANGE(""https://docs.google.com/spreadsheets/d/1IYY_tgx_IHuhSq3AJ5eI5OnqOPBNLWSHKh2a30DoXe8/edit?usp=sharing"",""นราธิวาส!I378"")"),0.0)</f>
        <v>0</v>
      </c>
      <c r="J483" s="223">
        <f>IFERROR(__xludf.DUMMYFUNCTION("IMPORTRANGE(""https://docs.google.com/spreadsheets/d/1IYY_tgx_IHuhSq3AJ5eI5OnqOPBNLWSHKh2a30DoXe8/edit?usp=sharing"",""นราธิวาส!J378"")"),0.0)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IFERROR(__xludf.DUMMYFUNCTION("IMPORTRANGE(""https://docs.google.com/spreadsheets/d/1IYY_tgx_IHuhSq3AJ5eI5OnqOPBNLWSHKh2a30DoXe8/edit?usp=sharing"",""นราธิวาส!I379"")"),0.0)</f>
        <v>0</v>
      </c>
      <c r="J484" s="223">
        <f>IFERROR(__xludf.DUMMYFUNCTION("IMPORTRANGE(""https://docs.google.com/spreadsheets/d/1IYY_tgx_IHuhSq3AJ5eI5OnqOPBNLWSHKh2a30DoXe8/edit?usp=sharing"",""นราธิวาส!J379"")"),0.0)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IFERROR(__xludf.DUMMYFUNCTION("IMPORTRANGE(""https://docs.google.com/spreadsheets/d/1IYY_tgx_IHuhSq3AJ5eI5OnqOPBNLWSHKh2a30DoXe8/edit?usp=sharing"",""นราธิวาส!I380"")"),0.0)</f>
        <v>0</v>
      </c>
      <c r="J485" s="223">
        <f>IFERROR(__xludf.DUMMYFUNCTION("IMPORTRANGE(""https://docs.google.com/spreadsheets/d/1IYY_tgx_IHuhSq3AJ5eI5OnqOPBNLWSHKh2a30DoXe8/edit?usp=sharing"",""นราธิวาส!J380"")"),0.0)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IFERROR(__xludf.DUMMYFUNCTION("IMPORTRANGE(""https://docs.google.com/spreadsheets/d/1IYY_tgx_IHuhSq3AJ5eI5OnqOPBNLWSHKh2a30DoXe8/edit?usp=sharing"",""นราธิวาส!I381"")"),0.0)</f>
        <v>0</v>
      </c>
      <c r="J486" s="223">
        <f>IFERROR(__xludf.DUMMYFUNCTION("IMPORTRANGE(""https://docs.google.com/spreadsheets/d/1IYY_tgx_IHuhSq3AJ5eI5OnqOPBNLWSHKh2a30DoXe8/edit?usp=sharing"",""นราธิวาส!J381"")"),0.0)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IFERROR(__xludf.DUMMYFUNCTION("IMPORTRANGE(""https://docs.google.com/spreadsheets/d/1IYY_tgx_IHuhSq3AJ5eI5OnqOPBNLWSHKh2a30DoXe8/edit?usp=sharing"",""นราธิวาส!I382"")"),0.0)</f>
        <v>0</v>
      </c>
      <c r="J487" s="453">
        <f>IFERROR(__xludf.DUMMYFUNCTION("IMPORTRANGE(""https://docs.google.com/spreadsheets/d/1IYY_tgx_IHuhSq3AJ5eI5OnqOPBNLWSHKh2a30DoXe8/edit?usp=sharing"",""นราธิวาส!J382"")"),0.0)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IFERROR(__xludf.DUMMYFUNCTION("IMPORTRANGE(""https://docs.google.com/spreadsheets/d/1IYY_tgx_IHuhSq3AJ5eI5OnqOPBNLWSHKh2a30DoXe8/edit?usp=sharing"",""นราธิวาส!I383"")"),0.0)</f>
        <v>0</v>
      </c>
      <c r="J488" s="453">
        <f>IFERROR(__xludf.DUMMYFUNCTION("IMPORTRANGE(""https://docs.google.com/spreadsheets/d/1IYY_tgx_IHuhSq3AJ5eI5OnqOPBNLWSHKh2a30DoXe8/edit?usp=sharing"",""นราธิวาส!J383"")"),0.0)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IFERROR(__xludf.DUMMYFUNCTION("IMPORTRANGE(""https://docs.google.com/spreadsheets/d/1IYY_tgx_IHuhSq3AJ5eI5OnqOPBNLWSHKh2a30DoXe8/edit?usp=sharing"",""นราธิวาส!I384"")"),0.0)</f>
        <v>0</v>
      </c>
      <c r="J489" s="223">
        <f>IFERROR(__xludf.DUMMYFUNCTION("IMPORTRANGE(""https://docs.google.com/spreadsheets/d/1IYY_tgx_IHuhSq3AJ5eI5OnqOPBNLWSHKh2a30DoXe8/edit?usp=sharing"",""นราธิวาส!J384"")"),0.0)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IFERROR(__xludf.DUMMYFUNCTION("IMPORTRANGE(""https://docs.google.com/spreadsheets/d/1IYY_tgx_IHuhSq3AJ5eI5OnqOPBNLWSHKh2a30DoXe8/edit?usp=sharing"",""นราธิวาส!I385"")"),0.0)</f>
        <v>0</v>
      </c>
      <c r="J490" s="223">
        <f>IFERROR(__xludf.DUMMYFUNCTION("IMPORTRANGE(""https://docs.google.com/spreadsheets/d/1IYY_tgx_IHuhSq3AJ5eI5OnqOPBNLWSHKh2a30DoXe8/edit?usp=sharing"",""นราธิวาส!J385"")"),0.0)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IFERROR(__xludf.DUMMYFUNCTION("IMPORTRANGE(""https://docs.google.com/spreadsheets/d/1IYY_tgx_IHuhSq3AJ5eI5OnqOPBNLWSHKh2a30DoXe8/edit?usp=sharing"",""นราธิวาส!I386"")"),0.0)</f>
        <v>0</v>
      </c>
      <c r="J491" s="223">
        <f>IFERROR(__xludf.DUMMYFUNCTION("IMPORTRANGE(""https://docs.google.com/spreadsheets/d/1IYY_tgx_IHuhSq3AJ5eI5OnqOPBNLWSHKh2a30DoXe8/edit?usp=sharing"",""นราธิวาส!J386"")"),0.0)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IFERROR(__xludf.DUMMYFUNCTION("IMPORTRANGE(""https://docs.google.com/spreadsheets/d/1IYY_tgx_IHuhSq3AJ5eI5OnqOPBNLWSHKh2a30DoXe8/edit?usp=sharing"",""นราธิวาส!I387"")"),0.0)</f>
        <v>0</v>
      </c>
      <c r="J492" s="223">
        <f>IFERROR(__xludf.DUMMYFUNCTION("IMPORTRANGE(""https://docs.google.com/spreadsheets/d/1IYY_tgx_IHuhSq3AJ5eI5OnqOPBNLWSHKh2a30DoXe8/edit?usp=sharing"",""นราธิวาส!J387"")"),0.0)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IFERROR(__xludf.DUMMYFUNCTION("IMPORTRANGE(""https://docs.google.com/spreadsheets/d/1IYY_tgx_IHuhSq3AJ5eI5OnqOPBNLWSHKh2a30DoXe8/edit?usp=sharing"",""นราธิวาส!I388"")"),0.0)</f>
        <v>0</v>
      </c>
      <c r="J493" s="223">
        <f>IFERROR(__xludf.DUMMYFUNCTION("IMPORTRANGE(""https://docs.google.com/spreadsheets/d/1IYY_tgx_IHuhSq3AJ5eI5OnqOPBNLWSHKh2a30DoXe8/edit?usp=sharing"",""นราธิวาส!J388"")"),0.0)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IFERROR(__xludf.DUMMYFUNCTION("IMPORTRANGE(""https://docs.google.com/spreadsheets/d/1IYY_tgx_IHuhSq3AJ5eI5OnqOPBNLWSHKh2a30DoXe8/edit?usp=sharing"",""นราธิวาส!I389"")"),0.0)</f>
        <v>0</v>
      </c>
      <c r="J494" s="469">
        <f>IFERROR(__xludf.DUMMYFUNCTION("IMPORTRANGE(""https://docs.google.com/spreadsheets/d/1IYY_tgx_IHuhSq3AJ5eI5OnqOPBNLWSHKh2a30DoXe8/edit?usp=sharing"",""นราธิวาส!J389"")"),0.0)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IFERROR(__xludf.DUMMYFUNCTION("IMPORTRANGE(""https://docs.google.com/spreadsheets/d/1IYY_tgx_IHuhSq3AJ5eI5OnqOPBNLWSHKh2a30DoXe8/edit?usp=sharing"",""นราธิวาส!I390"")"),0.0)</f>
        <v>0</v>
      </c>
      <c r="J495" s="469">
        <f>IFERROR(__xludf.DUMMYFUNCTION("IMPORTRANGE(""https://docs.google.com/spreadsheets/d/1IYY_tgx_IHuhSq3AJ5eI5OnqOPBNLWSHKh2a30DoXe8/edit?usp=sharing"",""นราธิวาส!J390"")"),0.0)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IFERROR(__xludf.DUMMYFUNCTION("IMPORTRANGE(""https://docs.google.com/spreadsheets/d/1IYY_tgx_IHuhSq3AJ5eI5OnqOPBNLWSHKh2a30DoXe8/edit?usp=sharing"",""นราธิวาส!I391"")"),0.0)</f>
        <v>0</v>
      </c>
      <c r="J496" s="469">
        <f>IFERROR(__xludf.DUMMYFUNCTION("IMPORTRANGE(""https://docs.google.com/spreadsheets/d/1IYY_tgx_IHuhSq3AJ5eI5OnqOPBNLWSHKh2a30DoXe8/edit?usp=sharing"",""นราธิวาส!J391"")"),0.0)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IFERROR(__xludf.DUMMYFUNCTION("IMPORTRANGE(""https://docs.google.com/spreadsheets/d/1IYY_tgx_IHuhSq3AJ5eI5OnqOPBNLWSHKh2a30DoXe8/edit?usp=sharing"",""นราธิวาส!I392"")"),0.0)</f>
        <v>0</v>
      </c>
      <c r="J497" s="476">
        <f>IFERROR(__xludf.DUMMYFUNCTION("IMPORTRANGE(""https://docs.google.com/spreadsheets/d/1IYY_tgx_IHuhSq3AJ5eI5OnqOPBNLWSHKh2a30DoXe8/edit?usp=sharing"",""นราธิวาส!J392"")"),0.0)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IFERROR(__xludf.DUMMYFUNCTION("IMPORTRANGE(""https://docs.google.com/spreadsheets/d/1IYY_tgx_IHuhSq3AJ5eI5OnqOPBNLWSHKh2a30DoXe8/edit?usp=sharing"",""นราธิวาส!I393"")"),0.0)</f>
        <v>0</v>
      </c>
      <c r="J498" s="453">
        <f>IFERROR(__xludf.DUMMYFUNCTION("IMPORTRANGE(""https://docs.google.com/spreadsheets/d/1IYY_tgx_IHuhSq3AJ5eI5OnqOPBNLWSHKh2a30DoXe8/edit?usp=sharing"",""นราธิวาส!J393"")"),0.0)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IFERROR(__xludf.DUMMYFUNCTION("IMPORTRANGE(""https://docs.google.com/spreadsheets/d/1IYY_tgx_IHuhSq3AJ5eI5OnqOPBNLWSHKh2a30DoXe8/edit?usp=sharing"",""นราธิวาส!I394"")"),0.0)</f>
        <v>0</v>
      </c>
      <c r="J499" s="453">
        <f>IFERROR(__xludf.DUMMYFUNCTION("IMPORTRANGE(""https://docs.google.com/spreadsheets/d/1IYY_tgx_IHuhSq3AJ5eI5OnqOPBNLWSHKh2a30DoXe8/edit?usp=sharing"",""นราธิวาส!J394"")"),0.0)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IFERROR(__xludf.DUMMYFUNCTION("IMPORTRANGE(""https://docs.google.com/spreadsheets/d/1IYY_tgx_IHuhSq3AJ5eI5OnqOPBNLWSHKh2a30DoXe8/edit?usp=sharing"",""นราธิวาส!I395"")"),0.0)</f>
        <v>0</v>
      </c>
      <c r="J500" s="195">
        <f>IFERROR(__xludf.DUMMYFUNCTION("IMPORTRANGE(""https://docs.google.com/spreadsheets/d/1IYY_tgx_IHuhSq3AJ5eI5OnqOPBNLWSHKh2a30DoXe8/edit?usp=sharing"",""นราธิวาส!J395"")"),0.0)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IFERROR(__xludf.DUMMYFUNCTION("IMPORTRANGE(""https://docs.google.com/spreadsheets/d/1IYY_tgx_IHuhSq3AJ5eI5OnqOPBNLWSHKh2a30DoXe8/edit?usp=sharing"",""นราธิวาส!I396"")"),0.0)</f>
        <v>0</v>
      </c>
      <c r="J501" s="195">
        <f>IFERROR(__xludf.DUMMYFUNCTION("IMPORTRANGE(""https://docs.google.com/spreadsheets/d/1IYY_tgx_IHuhSq3AJ5eI5OnqOPBNLWSHKh2a30DoXe8/edit?usp=sharing"",""นราธิวาส!J396"")"),0.0)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IFERROR(__xludf.DUMMYFUNCTION("IMPORTRANGE(""https://docs.google.com/spreadsheets/d/1IYY_tgx_IHuhSq3AJ5eI5OnqOPBNLWSHKh2a30DoXe8/edit?usp=sharing"",""นราธิวาส!I397"")"),0.0)</f>
        <v>0</v>
      </c>
      <c r="J502" s="223">
        <f>IFERROR(__xludf.DUMMYFUNCTION("IMPORTRANGE(""https://docs.google.com/spreadsheets/d/1IYY_tgx_IHuhSq3AJ5eI5OnqOPBNLWSHKh2a30DoXe8/edit?usp=sharing"",""นราธิวาส!J397"")"),0.0)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IFERROR(__xludf.DUMMYFUNCTION("IMPORTRANGE(""https://docs.google.com/spreadsheets/d/1IYY_tgx_IHuhSq3AJ5eI5OnqOPBNLWSHKh2a30DoXe8/edit?usp=sharing"",""นราธิวาส!I398"")"),0.0)</f>
        <v>0</v>
      </c>
      <c r="J503" s="232">
        <f>IFERROR(__xludf.DUMMYFUNCTION("IMPORTRANGE(""https://docs.google.com/spreadsheets/d/1IYY_tgx_IHuhSq3AJ5eI5OnqOPBNLWSHKh2a30DoXe8/edit?usp=sharing"",""นราธิวาส!J398"")"),0.0)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IFERROR(__xludf.DUMMYFUNCTION("IMPORTRANGE(""https://docs.google.com/spreadsheets/d/1IYY_tgx_IHuhSq3AJ5eI5OnqOPBNLWSHKh2a30DoXe8/edit?usp=sharing"",""นราธิวาส!I399"")"),0.0)</f>
        <v>0</v>
      </c>
      <c r="J504" s="223">
        <f>IFERROR(__xludf.DUMMYFUNCTION("IMPORTRANGE(""https://docs.google.com/spreadsheets/d/1IYY_tgx_IHuhSq3AJ5eI5OnqOPBNLWSHKh2a30DoXe8/edit?usp=sharing"",""นราธิวาส!J399"")"),0.0)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IFERROR(__xludf.DUMMYFUNCTION("IMPORTRANGE(""https://docs.google.com/spreadsheets/d/1IYY_tgx_IHuhSq3AJ5eI5OnqOPBNLWSHKh2a30DoXe8/edit?usp=sharing"",""นราธิวาส!I400"")"),0.0)</f>
        <v>0</v>
      </c>
      <c r="J505" s="232">
        <f>IFERROR(__xludf.DUMMYFUNCTION("IMPORTRANGE(""https://docs.google.com/spreadsheets/d/1IYY_tgx_IHuhSq3AJ5eI5OnqOPBNLWSHKh2a30DoXe8/edit?usp=sharing"",""นราธิวาส!J400"")"),0.0)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IFERROR(__xludf.DUMMYFUNCTION("IMPORTRANGE(""https://docs.google.com/spreadsheets/d/1IYY_tgx_IHuhSq3AJ5eI5OnqOPBNLWSHKh2a30DoXe8/edit?usp=sharing"",""นราธิวาส!I401"")"),0.0)</f>
        <v>0</v>
      </c>
      <c r="J506" s="223">
        <f>IFERROR(__xludf.DUMMYFUNCTION("IMPORTRANGE(""https://docs.google.com/spreadsheets/d/1IYY_tgx_IHuhSq3AJ5eI5OnqOPBNLWSHKh2a30DoXe8/edit?usp=sharing"",""นราธิวาส!J401"")"),0.0)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IFERROR(__xludf.DUMMYFUNCTION("IMPORTRANGE(""https://docs.google.com/spreadsheets/d/1IYY_tgx_IHuhSq3AJ5eI5OnqOPBNLWSHKh2a30DoXe8/edit?usp=sharing"",""นราธิวาส!I402"")"),0.0)</f>
        <v>0</v>
      </c>
      <c r="J507" s="232">
        <f>IFERROR(__xludf.DUMMYFUNCTION("IMPORTRANGE(""https://docs.google.com/spreadsheets/d/1IYY_tgx_IHuhSq3AJ5eI5OnqOPBNLWSHKh2a30DoXe8/edit?usp=sharing"",""นราธิวาส!J402"")"),0.0)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IFERROR(__xludf.DUMMYFUNCTION("IMPORTRANGE(""https://docs.google.com/spreadsheets/d/1IYY_tgx_IHuhSq3AJ5eI5OnqOPBNLWSHKh2a30DoXe8/edit?usp=sharing"",""นราธิวาส!I403"")"),0.0)</f>
        <v>0</v>
      </c>
      <c r="J508" s="195">
        <f>IFERROR(__xludf.DUMMYFUNCTION("IMPORTRANGE(""https://docs.google.com/spreadsheets/d/1IYY_tgx_IHuhSq3AJ5eI5OnqOPBNLWSHKh2a30DoXe8/edit?usp=sharing"",""นราธิวาส!J403"")"),0.0)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IFERROR(__xludf.DUMMYFUNCTION("IMPORTRANGE(""https://docs.google.com/spreadsheets/d/1IYY_tgx_IHuhSq3AJ5eI5OnqOPBNLWSHKh2a30DoXe8/edit?usp=sharing"",""นราธิวาส!I404"")"),0.0)</f>
        <v>0</v>
      </c>
      <c r="J509" s="195">
        <f>IFERROR(__xludf.DUMMYFUNCTION("IMPORTRANGE(""https://docs.google.com/spreadsheets/d/1IYY_tgx_IHuhSq3AJ5eI5OnqOPBNLWSHKh2a30DoXe8/edit?usp=sharing"",""นราธิวาส!J404"")"),0.0)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IFERROR(__xludf.DUMMYFUNCTION("IMPORTRANGE(""https://docs.google.com/spreadsheets/d/1IYY_tgx_IHuhSq3AJ5eI5OnqOPBNLWSHKh2a30DoXe8/edit?usp=sharing"",""นราธิวาส!I405"")"),0.0)</f>
        <v>0</v>
      </c>
      <c r="J510" s="232">
        <f>IFERROR(__xludf.DUMMYFUNCTION("IMPORTRANGE(""https://docs.google.com/spreadsheets/d/1IYY_tgx_IHuhSq3AJ5eI5OnqOPBNLWSHKh2a30DoXe8/edit?usp=sharing"",""นราธิวาส!J405"")"),0.0)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IFERROR(__xludf.DUMMYFUNCTION("IMPORTRANGE(""https://docs.google.com/spreadsheets/d/1IYY_tgx_IHuhSq3AJ5eI5OnqOPBNLWSHKh2a30DoXe8/edit?usp=sharing"",""นราธิวาส!I406"")"),0.0)</f>
        <v>0</v>
      </c>
      <c r="J511" s="232">
        <f>IFERROR(__xludf.DUMMYFUNCTION("IMPORTRANGE(""https://docs.google.com/spreadsheets/d/1IYY_tgx_IHuhSq3AJ5eI5OnqOPBNLWSHKh2a30DoXe8/edit?usp=sharing"",""นราธิวาส!J406"")"),0.0)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IFERROR(__xludf.DUMMYFUNCTION("IMPORTRANGE(""https://docs.google.com/spreadsheets/d/1IYY_tgx_IHuhSq3AJ5eI5OnqOPBNLWSHKh2a30DoXe8/edit?usp=sharing"",""นราธิวาส!I407"")"),0.0)</f>
        <v>0</v>
      </c>
      <c r="J512" s="232">
        <f>IFERROR(__xludf.DUMMYFUNCTION("IMPORTRANGE(""https://docs.google.com/spreadsheets/d/1IYY_tgx_IHuhSq3AJ5eI5OnqOPBNLWSHKh2a30DoXe8/edit?usp=sharing"",""นราธิวาส!J407"")"),0.0)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IFERROR(__xludf.DUMMYFUNCTION("IMPORTRANGE(""https://docs.google.com/spreadsheets/d/1IYY_tgx_IHuhSq3AJ5eI5OnqOPBNLWSHKh2a30DoXe8/edit?usp=sharing"",""นราธิวาส!I408"")"),0.0)</f>
        <v>0</v>
      </c>
      <c r="J513" s="232">
        <f>IFERROR(__xludf.DUMMYFUNCTION("IMPORTRANGE(""https://docs.google.com/spreadsheets/d/1IYY_tgx_IHuhSq3AJ5eI5OnqOPBNLWSHKh2a30DoXe8/edit?usp=sharing"",""นราธิวาส!J408"")"),0.0)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IFERROR(__xludf.DUMMYFUNCTION("IMPORTRANGE(""https://docs.google.com/spreadsheets/d/1IYY_tgx_IHuhSq3AJ5eI5OnqOPBNLWSHKh2a30DoXe8/edit?usp=sharing"",""นราธิวาส!I409"")"),0.0)</f>
        <v>0</v>
      </c>
      <c r="J514" s="232">
        <f>IFERROR(__xludf.DUMMYFUNCTION("IMPORTRANGE(""https://docs.google.com/spreadsheets/d/1IYY_tgx_IHuhSq3AJ5eI5OnqOPBNLWSHKh2a30DoXe8/edit?usp=sharing"",""นราธิวาส!J409"")"),0.0)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IFERROR(__xludf.DUMMYFUNCTION("IMPORTRANGE(""https://docs.google.com/spreadsheets/d/1IYY_tgx_IHuhSq3AJ5eI5OnqOPBNLWSHKh2a30DoXe8/edit?usp=sharing"",""นราธิวาส!I410"")"),0.0)</f>
        <v>0</v>
      </c>
      <c r="J515" s="232">
        <f>IFERROR(__xludf.DUMMYFUNCTION("IMPORTRANGE(""https://docs.google.com/spreadsheets/d/1IYY_tgx_IHuhSq3AJ5eI5OnqOPBNLWSHKh2a30DoXe8/edit?usp=sharing"",""นราธิวาส!J410"")"),0.0)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IFERROR(__xludf.DUMMYFUNCTION("IMPORTRANGE(""https://docs.google.com/spreadsheets/d/1IYY_tgx_IHuhSq3AJ5eI5OnqOPBNLWSHKh2a30DoXe8/edit?usp=sharing"",""นราธิวาส!I411"")"),0.0)</f>
        <v>0</v>
      </c>
      <c r="J516" s="301">
        <f>IFERROR(__xludf.DUMMYFUNCTION("IMPORTRANGE(""https://docs.google.com/spreadsheets/d/1IYY_tgx_IHuhSq3AJ5eI5OnqOPBNLWSHKh2a30DoXe8/edit?usp=sharing"",""นราธิวาส!J411"")"),0.0)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IFERROR(__xludf.DUMMYFUNCTION("IMPORTRANGE(""https://docs.google.com/spreadsheets/d/1IYY_tgx_IHuhSq3AJ5eI5OnqOPBNLWSHKh2a30DoXe8/edit?usp=sharing"",""นราธิวาส!I412"")"),0.0)</f>
        <v>0</v>
      </c>
      <c r="J517" s="317">
        <f>IFERROR(__xludf.DUMMYFUNCTION("IMPORTRANGE(""https://docs.google.com/spreadsheets/d/1IYY_tgx_IHuhSq3AJ5eI5OnqOPBNLWSHKh2a30DoXe8/edit?usp=sharing"",""นราธิวาส!J412"")"),0.0)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IFERROR(__xludf.DUMMYFUNCTION("IMPORTRANGE(""https://docs.google.com/spreadsheets/d/1IYY_tgx_IHuhSq3AJ5eI5OnqOPBNLWSHKh2a30DoXe8/edit?usp=sharing"",""นราธิวาส!I413"")"),0.0)</f>
        <v>0</v>
      </c>
      <c r="J518" s="317">
        <f>IFERROR(__xludf.DUMMYFUNCTION("IMPORTRANGE(""https://docs.google.com/spreadsheets/d/1IYY_tgx_IHuhSq3AJ5eI5OnqOPBNLWSHKh2a30DoXe8/edit?usp=sharing"",""นราธิวาส!J413"")"),0.0)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IFERROR(__xludf.DUMMYFUNCTION("IMPORTRANGE(""https://docs.google.com/spreadsheets/d/1IYY_tgx_IHuhSq3AJ5eI5OnqOPBNLWSHKh2a30DoXe8/edit?usp=sharing"",""นราธิวาส!I414"")"),0.0)</f>
        <v>0</v>
      </c>
      <c r="J519" s="222">
        <f>IFERROR(__xludf.DUMMYFUNCTION("IMPORTRANGE(""https://docs.google.com/spreadsheets/d/1IYY_tgx_IHuhSq3AJ5eI5OnqOPBNLWSHKh2a30DoXe8/edit?usp=sharing"",""นราธิวาส!J414"")"),0.0)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IFERROR(__xludf.DUMMYFUNCTION("IMPORTRANGE(""https://docs.google.com/spreadsheets/d/1IYY_tgx_IHuhSq3AJ5eI5OnqOPBNLWSHKh2a30DoXe8/edit?usp=sharing"",""นราธิวาส!I415"")"),0.0)</f>
        <v>0</v>
      </c>
      <c r="J520" s="222">
        <f>IFERROR(__xludf.DUMMYFUNCTION("IMPORTRANGE(""https://docs.google.com/spreadsheets/d/1IYY_tgx_IHuhSq3AJ5eI5OnqOPBNLWSHKh2a30DoXe8/edit?usp=sharing"",""นราธิวาส!J415"")"),0.0)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IFERROR(__xludf.DUMMYFUNCTION("IMPORTRANGE(""https://docs.google.com/spreadsheets/d/1IYY_tgx_IHuhSq3AJ5eI5OnqOPBNLWSHKh2a30DoXe8/edit?usp=sharing"",""นราธิวาส!I416"")"),0.0)</f>
        <v>0</v>
      </c>
      <c r="J521" s="222">
        <f>IFERROR(__xludf.DUMMYFUNCTION("IMPORTRANGE(""https://docs.google.com/spreadsheets/d/1IYY_tgx_IHuhSq3AJ5eI5OnqOPBNLWSHKh2a30DoXe8/edit?usp=sharing"",""นราธิวาส!J416"")"),0.0)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IFERROR(__xludf.DUMMYFUNCTION("IMPORTRANGE(""https://docs.google.com/spreadsheets/d/1IYY_tgx_IHuhSq3AJ5eI5OnqOPBNLWSHKh2a30DoXe8/edit?usp=sharing"",""นราธิวาส!I417"")"),0.0)</f>
        <v>0</v>
      </c>
      <c r="J522" s="222">
        <f>IFERROR(__xludf.DUMMYFUNCTION("IMPORTRANGE(""https://docs.google.com/spreadsheets/d/1IYY_tgx_IHuhSq3AJ5eI5OnqOPBNLWSHKh2a30DoXe8/edit?usp=sharing"",""นราธิวาส!J417"")"),0.0)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IFERROR(__xludf.DUMMYFUNCTION("IMPORTRANGE(""https://docs.google.com/spreadsheets/d/1IYY_tgx_IHuhSq3AJ5eI5OnqOPBNLWSHKh2a30DoXe8/edit?usp=sharing"",""นราธิวาส!I418"")"),0.0)</f>
        <v>0</v>
      </c>
      <c r="J523" s="222">
        <f>IFERROR(__xludf.DUMMYFUNCTION("IMPORTRANGE(""https://docs.google.com/spreadsheets/d/1IYY_tgx_IHuhSq3AJ5eI5OnqOPBNLWSHKh2a30DoXe8/edit?usp=sharing"",""นราธิวาส!J418"")"),0.0)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IFERROR(__xludf.DUMMYFUNCTION("IMPORTRANGE(""https://docs.google.com/spreadsheets/d/1IYY_tgx_IHuhSq3AJ5eI5OnqOPBNLWSHKh2a30DoXe8/edit?usp=sharing"",""นราธิวาส!I419"")"),0.0)</f>
        <v>0</v>
      </c>
      <c r="J524" s="222">
        <f>IFERROR(__xludf.DUMMYFUNCTION("IMPORTRANGE(""https://docs.google.com/spreadsheets/d/1IYY_tgx_IHuhSq3AJ5eI5OnqOPBNLWSHKh2a30DoXe8/edit?usp=sharing"",""นราธิวาส!J419"")"),0.0)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IFERROR(__xludf.DUMMYFUNCTION("IMPORTRANGE(""https://docs.google.com/spreadsheets/d/1IYY_tgx_IHuhSq3AJ5eI5OnqOPBNLWSHKh2a30DoXe8/edit?usp=sharing"",""นราธิวาส!I420"")"),0.0)</f>
        <v>0</v>
      </c>
      <c r="J525" s="317">
        <f>IFERROR(__xludf.DUMMYFUNCTION("IMPORTRANGE(""https://docs.google.com/spreadsheets/d/1IYY_tgx_IHuhSq3AJ5eI5OnqOPBNLWSHKh2a30DoXe8/edit?usp=sharing"",""นราธิวาส!J420"")"),0.0)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IFERROR(__xludf.DUMMYFUNCTION("IMPORTRANGE(""https://docs.google.com/spreadsheets/d/1IYY_tgx_IHuhSq3AJ5eI5OnqOPBNLWSHKh2a30DoXe8/edit?usp=sharing"",""นราธิวาส!I421"")"),0.0)</f>
        <v>0</v>
      </c>
      <c r="J526" s="317">
        <f>IFERROR(__xludf.DUMMYFUNCTION("IMPORTRANGE(""https://docs.google.com/spreadsheets/d/1IYY_tgx_IHuhSq3AJ5eI5OnqOPBNLWSHKh2a30DoXe8/edit?usp=sharing"",""นราธิวาส!J421"")"),0.0)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IFERROR(__xludf.DUMMYFUNCTION("IMPORTRANGE(""https://docs.google.com/spreadsheets/d/1IYY_tgx_IHuhSq3AJ5eI5OnqOPBNLWSHKh2a30DoXe8/edit?usp=sharing"",""นราธิวาส!I422"")"),0.0)</f>
        <v>0</v>
      </c>
      <c r="J527" s="232">
        <f>IFERROR(__xludf.DUMMYFUNCTION("IMPORTRANGE(""https://docs.google.com/spreadsheets/d/1IYY_tgx_IHuhSq3AJ5eI5OnqOPBNLWSHKh2a30DoXe8/edit?usp=sharing"",""นราธิวาส!J422"")"),0.0)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IFERROR(__xludf.DUMMYFUNCTION("IMPORTRANGE(""https://docs.google.com/spreadsheets/d/1IYY_tgx_IHuhSq3AJ5eI5OnqOPBNLWSHKh2a30DoXe8/edit?usp=sharing"",""นราธิวาส!I423"")"),0.0)</f>
        <v>0</v>
      </c>
      <c r="J528" s="232">
        <f>IFERROR(__xludf.DUMMYFUNCTION("IMPORTRANGE(""https://docs.google.com/spreadsheets/d/1IYY_tgx_IHuhSq3AJ5eI5OnqOPBNLWSHKh2a30DoXe8/edit?usp=sharing"",""นราธิวาส!J423"")"),0.0)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IFERROR(__xludf.DUMMYFUNCTION("IMPORTRANGE(""https://docs.google.com/spreadsheets/d/1IYY_tgx_IHuhSq3AJ5eI5OnqOPBNLWSHKh2a30DoXe8/edit?usp=sharing"",""นราธิวาส!I424"")"),0.0)</f>
        <v>0</v>
      </c>
      <c r="J529" s="232">
        <f>IFERROR(__xludf.DUMMYFUNCTION("IMPORTRANGE(""https://docs.google.com/spreadsheets/d/1IYY_tgx_IHuhSq3AJ5eI5OnqOPBNLWSHKh2a30DoXe8/edit?usp=sharing"",""นราธิวาส!J424"")"),0.0)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IFERROR(__xludf.DUMMYFUNCTION("IMPORTRANGE(""https://docs.google.com/spreadsheets/d/1IYY_tgx_IHuhSq3AJ5eI5OnqOPBNLWSHKh2a30DoXe8/edit?usp=sharing"",""นราธิวาส!I425"")"),0.0)</f>
        <v>0</v>
      </c>
      <c r="J530" s="232">
        <f>IFERROR(__xludf.DUMMYFUNCTION("IMPORTRANGE(""https://docs.google.com/spreadsheets/d/1IYY_tgx_IHuhSq3AJ5eI5OnqOPBNLWSHKh2a30DoXe8/edit?usp=sharing"",""นราธิวาส!J425"")"),0.0)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IFERROR(__xludf.DUMMYFUNCTION("IMPORTRANGE(""https://docs.google.com/spreadsheets/d/1IYY_tgx_IHuhSq3AJ5eI5OnqOPBNLWSHKh2a30DoXe8/edit?usp=sharing"",""นราธิวาส!I426"")"),0.0)</f>
        <v>0</v>
      </c>
      <c r="J531" s="232">
        <f>IFERROR(__xludf.DUMMYFUNCTION("IMPORTRANGE(""https://docs.google.com/spreadsheets/d/1IYY_tgx_IHuhSq3AJ5eI5OnqOPBNLWSHKh2a30DoXe8/edit?usp=sharing"",""นราธิวาส!J426"")"),0.0)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IFERROR(__xludf.DUMMYFUNCTION("IMPORTRANGE(""https://docs.google.com/spreadsheets/d/1IYY_tgx_IHuhSq3AJ5eI5OnqOPBNLWSHKh2a30DoXe8/edit?usp=sharing"",""นราธิวาส!I427"")"),0.0)</f>
        <v>0</v>
      </c>
      <c r="J532" s="499">
        <f>IFERROR(__xludf.DUMMYFUNCTION("IMPORTRANGE(""https://docs.google.com/spreadsheets/d/1IYY_tgx_IHuhSq3AJ5eI5OnqOPBNLWSHKh2a30DoXe8/edit?usp=sharing"",""นราธิวาส!J427"")"),0.0)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IFERROR(__xludf.DUMMYFUNCTION("IMPORTRANGE(""https://docs.google.com/spreadsheets/d/1IYY_tgx_IHuhSq3AJ5eI5OnqOPBNLWSHKh2a30DoXe8/edit?usp=sharing"",""นราธิวาส!I428"")"),20.0)</f>
        <v>20</v>
      </c>
      <c r="J533" s="443">
        <f>IFERROR(__xludf.DUMMYFUNCTION("IMPORTRANGE(""https://docs.google.com/spreadsheets/d/1IYY_tgx_IHuhSq3AJ5eI5OnqOPBNLWSHKh2a30DoXe8/edit?usp=sharing"",""นราธิวาส!J428"")"),20.0)</f>
        <v>20</v>
      </c>
      <c r="K533" s="444">
        <f>IF(I533&gt;0,J533*100/I533,0)</f>
        <v>100</v>
      </c>
      <c r="L533" s="445">
        <f>IFERROR(__xludf.DUMMYFUNCTION("IMPORTRANGE(""https://docs.google.com/spreadsheets/d/1IYY_tgx_IHuhSq3AJ5eI5OnqOPBNLWSHKh2a30DoXe8/edit?usp=sharing"",""นราธิวาส!L428"")"),32640.0)</f>
        <v>32640</v>
      </c>
      <c r="M533" s="445"/>
      <c r="N533" s="445">
        <f>IFERROR(__xludf.DUMMYFUNCTION("IMPORTRANGE(""https://docs.google.com/spreadsheets/d/1IYY_tgx_IHuhSq3AJ5eI5OnqOPBNLWSHKh2a30DoXe8/edit?usp=sharing"",""นราธิวาส!M428"")"),32640.0)</f>
        <v>32640</v>
      </c>
      <c r="O533" s="445">
        <f t="shared" ref="O533:O537" si="119">+IF(L533&gt;0,N533*100/L533,0)</f>
        <v>100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IFERROR(__xludf.DUMMYFUNCTION("IMPORTRANGE(""https://docs.google.com/spreadsheets/d/1IYY_tgx_IHuhSq3AJ5eI5OnqOPBNLWSHKh2a30DoXe8/edit?usp=sharing"",""นราธิวาส!L429"")"),0.0)</f>
        <v>0</v>
      </c>
      <c r="M534" s="197"/>
      <c r="N534" s="203">
        <f>IFERROR(__xludf.DUMMYFUNCTION("IMPORTRANGE(""https://docs.google.com/spreadsheets/d/1IYY_tgx_IHuhSq3AJ5eI5OnqOPBNLWSHKh2a30DoXe8/edit?usp=sharing"",""นราธิวาส!M429"")"),0.0)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IFERROR(__xludf.DUMMYFUNCTION("IMPORTRANGE(""https://docs.google.com/spreadsheets/d/1IYY_tgx_IHuhSq3AJ5eI5OnqOPBNLWSHKh2a30DoXe8/edit?usp=sharing"",""นราธิวาส!L430"")"),32640.0)</f>
        <v>32640</v>
      </c>
      <c r="M535" s="198"/>
      <c r="N535" s="203">
        <f>IFERROR(__xludf.DUMMYFUNCTION("IMPORTRANGE(""https://docs.google.com/spreadsheets/d/1IYY_tgx_IHuhSq3AJ5eI5OnqOPBNLWSHKh2a30DoXe8/edit?usp=sharing"",""นราธิวาส!M430"")"),32640.0)</f>
        <v>32640</v>
      </c>
      <c r="O535" s="203">
        <f t="shared" si="119"/>
        <v>100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IFERROR(__xludf.DUMMYFUNCTION("IMPORTRANGE(""https://docs.google.com/spreadsheets/d/1IYY_tgx_IHuhSq3AJ5eI5OnqOPBNLWSHKh2a30DoXe8/edit?usp=sharing"",""นราธิวาส!L431"")"),0.0)</f>
        <v>0</v>
      </c>
      <c r="M536" s="203"/>
      <c r="N536" s="203">
        <f>IFERROR(__xludf.DUMMYFUNCTION("IMPORTRANGE(""https://docs.google.com/spreadsheets/d/1IYY_tgx_IHuhSq3AJ5eI5OnqOPBNLWSHKh2a30DoXe8/edit?usp=sharing"",""นราธิวาส!M431"")"),0.0)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IFERROR(__xludf.DUMMYFUNCTION("IMPORTRANGE(""https://docs.google.com/spreadsheets/d/1IYY_tgx_IHuhSq3AJ5eI5OnqOPBNLWSHKh2a30DoXe8/edit?usp=sharing"",""นราธิวาส!L432"")"),32640.0)</f>
        <v>32640</v>
      </c>
      <c r="M537" s="203"/>
      <c r="N537" s="203">
        <f>IFERROR(__xludf.DUMMYFUNCTION("IMPORTRANGE(""https://docs.google.com/spreadsheets/d/1IYY_tgx_IHuhSq3AJ5eI5OnqOPBNLWSHKh2a30DoXe8/edit?usp=sharing"",""นราธิวาส!M432"")"),32640.0)</f>
        <v>32640</v>
      </c>
      <c r="O537" s="203">
        <f t="shared" si="119"/>
        <v>100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IFERROR(__xludf.DUMMYFUNCTION("IMPORTRANGE(""https://docs.google.com/spreadsheets/d/1IYY_tgx_IHuhSq3AJ5eI5OnqOPBNLWSHKh2a30DoXe8/edit?usp=sharing"",""นราธิวาส!M433"")"),17040.0)</f>
        <v>17040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IFERROR(__xludf.DUMMYFUNCTION("IMPORTRANGE(""https://docs.google.com/spreadsheets/d/1IYY_tgx_IHuhSq3AJ5eI5OnqOPBNLWSHKh2a30DoXe8/edit?usp=sharing"",""นราธิวาส!M434"")"),0.0)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IFERROR(__xludf.DUMMYFUNCTION("IMPORTRANGE(""https://docs.google.com/spreadsheets/d/1IYY_tgx_IHuhSq3AJ5eI5OnqOPBNLWSHKh2a30DoXe8/edit?usp=sharing"",""นราธิวาส!M435"")"),0.0)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IFERROR(__xludf.DUMMYFUNCTION("IMPORTRANGE(""https://docs.google.com/spreadsheets/d/1IYY_tgx_IHuhSq3AJ5eI5OnqOPBNLWSHKh2a30DoXe8/edit?usp=sharing"",""นราธิวาส!M436"")"),15600.0)</f>
        <v>15600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IFERROR(__xludf.DUMMYFUNCTION("IMPORTRANGE(""https://docs.google.com/spreadsheets/d/1IYY_tgx_IHuhSq3AJ5eI5OnqOPBNLWSHKh2a30DoXe8/edit?usp=sharing"",""นราธิวาส!J438"")"),0.0)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IFERROR(__xludf.DUMMYFUNCTION("IMPORTRANGE(""https://docs.google.com/spreadsheets/d/1IYY_tgx_IHuhSq3AJ5eI5OnqOPBNLWSHKh2a30DoXe8/edit?usp=sharing"",""นราธิวาส!J439"")"),1.0)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IFERROR(__xludf.DUMMYFUNCTION("IMPORTRANGE(""https://docs.google.com/spreadsheets/d/1IYY_tgx_IHuhSq3AJ5eI5OnqOPBNLWSHKh2a30DoXe8/edit?usp=sharing"",""นราธิวาส!J440"")"),1.0)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IFERROR(__xludf.DUMMYFUNCTION("IMPORTRANGE(""https://docs.google.com/spreadsheets/d/1IYY_tgx_IHuhSq3AJ5eI5OnqOPBNLWSHKh2a30DoXe8/edit?usp=sharing"",""นราธิวาส!J441"")"),1.0)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IFERROR(__xludf.DUMMYFUNCTION("IMPORTRANGE(""https://docs.google.com/spreadsheets/d/1IYY_tgx_IHuhSq3AJ5eI5OnqOPBNLWSHKh2a30DoXe8/edit?usp=sharing"",""นราธิวาส!I442"")"),20.0)</f>
        <v>20</v>
      </c>
      <c r="J547" s="223">
        <f>IFERROR(__xludf.DUMMYFUNCTION("IMPORTRANGE(""https://docs.google.com/spreadsheets/d/1IYY_tgx_IHuhSq3AJ5eI5OnqOPBNLWSHKh2a30DoXe8/edit?usp=sharing"",""นราธิวาส!J442"")"),20.0)</f>
        <v>20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IFERROR(__xludf.DUMMYFUNCTION("IMPORTRANGE(""https://docs.google.com/spreadsheets/d/1IYY_tgx_IHuhSq3AJ5eI5OnqOPBNLWSHKh2a30DoXe8/edit?usp=sharing"",""นราธิวาส!J166"")"),0.0)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IFERROR(__xludf.DUMMYFUNCTION("IMPORTRANGE(""https://docs.google.com/spreadsheets/d/1IYY_tgx_IHuhSq3AJ5eI5OnqOPBNLWSHKh2a30DoXe8/edit?usp=sharing"",""นราธิวาส!J444"")"),0.0)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IFERROR(__xludf.DUMMYFUNCTION("IMPORTRANGE(""https://docs.google.com/spreadsheets/d/1IYY_tgx_IHuhSq3AJ5eI5OnqOPBNLWSHKh2a30DoXe8/edit?usp=sharing"",""นราธิวาส!J445"")"),0.0)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IFERROR(__xludf.DUMMYFUNCTION("IMPORTRANGE(""https://docs.google.com/spreadsheets/d/1IYY_tgx_IHuhSq3AJ5eI5OnqOPBNLWSHKh2a30DoXe8/edit?usp=sharing"",""นราธิวาส!I446"")"),0.0)</f>
        <v>0</v>
      </c>
      <c r="J551" s="443">
        <f>IFERROR(__xludf.DUMMYFUNCTION("IMPORTRANGE(""https://docs.google.com/spreadsheets/d/1IYY_tgx_IHuhSq3AJ5eI5OnqOPBNLWSHKh2a30DoXe8/edit?usp=sharing"",""นราธิวาส!J446"")"),0.0)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IFERROR(__xludf.DUMMYFUNCTION("IMPORTRANGE(""https://docs.google.com/spreadsheets/d/1IYY_tgx_IHuhSq3AJ5eI5OnqOPBNLWSHKh2a30DoXe8/edit?usp=sharing"",""นราธิวาส!L446"")"),0.0)</f>
        <v>0</v>
      </c>
      <c r="M551" s="445"/>
      <c r="N551" s="445">
        <f>IFERROR(__xludf.DUMMYFUNCTION("IMPORTRANGE(""https://docs.google.com/spreadsheets/d/1IYY_tgx_IHuhSq3AJ5eI5OnqOPBNLWSHKh2a30DoXe8/edit?usp=sharing"",""นราธิวาส!M446"")"),0.0)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IFERROR(__xludf.DUMMYFUNCTION("IMPORTRANGE(""https://docs.google.com/spreadsheets/d/1IYY_tgx_IHuhSq3AJ5eI5OnqOPBNLWSHKh2a30DoXe8/edit?usp=sharing"",""นราธิวาส!L447"")"),0.0)</f>
        <v>0</v>
      </c>
      <c r="M552" s="197"/>
      <c r="N552" s="203">
        <f>IFERROR(__xludf.DUMMYFUNCTION("IMPORTRANGE(""https://docs.google.com/spreadsheets/d/1IYY_tgx_IHuhSq3AJ5eI5OnqOPBNLWSHKh2a30DoXe8/edit?usp=sharing"",""นราธิวาส!M447"")"),0.0)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IFERROR(__xludf.DUMMYFUNCTION("IMPORTRANGE(""https://docs.google.com/spreadsheets/d/1IYY_tgx_IHuhSq3AJ5eI5OnqOPBNLWSHKh2a30DoXe8/edit?usp=sharing"",""นราธิวาส!L448"")"),0.0)</f>
        <v>0</v>
      </c>
      <c r="M553" s="198"/>
      <c r="N553" s="203">
        <f>IFERROR(__xludf.DUMMYFUNCTION("IMPORTRANGE(""https://docs.google.com/spreadsheets/d/1IYY_tgx_IHuhSq3AJ5eI5OnqOPBNLWSHKh2a30DoXe8/edit?usp=sharing"",""นราธิวาส!M448"")"),0.0)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IFERROR(__xludf.DUMMYFUNCTION("IMPORTRANGE(""https://docs.google.com/spreadsheets/d/1IYY_tgx_IHuhSq3AJ5eI5OnqOPBNLWSHKh2a30DoXe8/edit?usp=sharing"",""นราธิวาส!L449"")"),0.0)</f>
        <v>0</v>
      </c>
      <c r="M554" s="203"/>
      <c r="N554" s="203">
        <f>IFERROR(__xludf.DUMMYFUNCTION("IMPORTRANGE(""https://docs.google.com/spreadsheets/d/1IYY_tgx_IHuhSq3AJ5eI5OnqOPBNLWSHKh2a30DoXe8/edit?usp=sharing"",""นราธิวาส!M449"")"),0.0)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IFERROR(__xludf.DUMMYFUNCTION("IMPORTRANGE(""https://docs.google.com/spreadsheets/d/1IYY_tgx_IHuhSq3AJ5eI5OnqOPBNLWSHKh2a30DoXe8/edit?usp=sharing"",""นราธิวาส!L450"")"),0.0)</f>
        <v>0</v>
      </c>
      <c r="M555" s="203"/>
      <c r="N555" s="203">
        <f>IFERROR(__xludf.DUMMYFUNCTION("IMPORTRANGE(""https://docs.google.com/spreadsheets/d/1IYY_tgx_IHuhSq3AJ5eI5OnqOPBNLWSHKh2a30DoXe8/edit?usp=sharing"",""นราธิวาส!M450"")"),0.0)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IFERROR(__xludf.DUMMYFUNCTION("IMPORTRANGE(""https://docs.google.com/spreadsheets/d/1IYY_tgx_IHuhSq3AJ5eI5OnqOPBNLWSHKh2a30DoXe8/edit?usp=sharing"",""นราธิวาส!M451"")"),0.0)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IFERROR(__xludf.DUMMYFUNCTION("IMPORTRANGE(""https://docs.google.com/spreadsheets/d/1IYY_tgx_IHuhSq3AJ5eI5OnqOPBNLWSHKh2a30DoXe8/edit?usp=sharing"",""นราธิวาส!M452"")"),0.0)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IFERROR(__xludf.DUMMYFUNCTION("IMPORTRANGE(""https://docs.google.com/spreadsheets/d/1IYY_tgx_IHuhSq3AJ5eI5OnqOPBNLWSHKh2a30DoXe8/edit?usp=sharing"",""นราธิวาส!M453"")"),0.0)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IFERROR(__xludf.DUMMYFUNCTION("IMPORTRANGE(""https://docs.google.com/spreadsheets/d/1IYY_tgx_IHuhSq3AJ5eI5OnqOPBNLWSHKh2a30DoXe8/edit?usp=sharing"",""นราธิวาส!M454"")"),0.0)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IFERROR(__xludf.DUMMYFUNCTION("IMPORTRANGE(""https://docs.google.com/spreadsheets/d/1IYY_tgx_IHuhSq3AJ5eI5OnqOPBNLWSHKh2a30DoXe8/edit?usp=sharing"",""นราธิวาส!I455"")"),0.0)</f>
        <v>0</v>
      </c>
      <c r="J560" s="195">
        <f>IFERROR(__xludf.DUMMYFUNCTION("IMPORTRANGE(""https://docs.google.com/spreadsheets/d/1IYY_tgx_IHuhSq3AJ5eI5OnqOPBNLWSHKh2a30DoXe8/edit?usp=sharing"",""นราธิวาส!J455"")"),0.0)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IFERROR(__xludf.DUMMYFUNCTION("IMPORTRANGE(""https://docs.google.com/spreadsheets/d/1IYY_tgx_IHuhSq3AJ5eI5OnqOPBNLWSHKh2a30DoXe8/edit?usp=sharing"",""นราธิวาส!I456"")"),0.0)</f>
        <v>0</v>
      </c>
      <c r="J561" s="238">
        <f>IFERROR(__xludf.DUMMYFUNCTION("IMPORTRANGE(""https://docs.google.com/spreadsheets/d/1IYY_tgx_IHuhSq3AJ5eI5OnqOPBNLWSHKh2a30DoXe8/edit?usp=sharing"",""นราธิวาส!J456"")"),0.0)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IFERROR(__xludf.DUMMYFUNCTION("IMPORTRANGE(""https://docs.google.com/spreadsheets/d/1IYY_tgx_IHuhSq3AJ5eI5OnqOPBNLWSHKh2a30DoXe8/edit?usp=sharing"",""นราธิวาส!I457"")"),"")</f>
        <v/>
      </c>
      <c r="J562" s="238" t="str">
        <f>IFERROR(__xludf.DUMMYFUNCTION("IMPORTRANGE(""https://docs.google.com/spreadsheets/d/1IYY_tgx_IHuhSq3AJ5eI5OnqOPBNLWSHKh2a30DoXe8/edit?usp=sharing"",""นราธิวาส!J457"")"),"")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IFERROR(__xludf.DUMMYFUNCTION("IMPORTRANGE(""https://docs.google.com/spreadsheets/d/1IYY_tgx_IHuhSq3AJ5eI5OnqOPBNLWSHKh2a30DoXe8/edit?usp=sharing"",""นราธิวาส!I458"")"),"")</f>
        <v/>
      </c>
      <c r="J563" s="222" t="str">
        <f>IFERROR(__xludf.DUMMYFUNCTION("IMPORTRANGE(""https://docs.google.com/spreadsheets/d/1IYY_tgx_IHuhSq3AJ5eI5OnqOPBNLWSHKh2a30DoXe8/edit?usp=sharing"",""นราธิวาส!J458"")"),"")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IFERROR(__xludf.DUMMYFUNCTION("IMPORTRANGE(""https://docs.google.com/spreadsheets/d/1IYY_tgx_IHuhSq3AJ5eI5OnqOPBNLWSHKh2a30DoXe8/edit?usp=sharing"",""นราธิวาส!I459"")"),150.0)</f>
        <v>150</v>
      </c>
      <c r="J564" s="404">
        <f>IFERROR(__xludf.DUMMYFUNCTION("IMPORTRANGE(""https://docs.google.com/spreadsheets/d/1IYY_tgx_IHuhSq3AJ5eI5OnqOPBNLWSHKh2a30DoXe8/edit?usp=sharing"",""นราธิวาส!J459"")"),155.0)</f>
        <v>155</v>
      </c>
      <c r="K564" s="405">
        <f t="shared" si="122"/>
        <v>103.3333333</v>
      </c>
      <c r="L564" s="406">
        <f>IFERROR(__xludf.DUMMYFUNCTION("IMPORTRANGE(""https://docs.google.com/spreadsheets/d/1IYY_tgx_IHuhSq3AJ5eI5OnqOPBNLWSHKh2a30DoXe8/edit?usp=sharing"",""นราธิวาส!L459"")"),120720.0)</f>
        <v>120720</v>
      </c>
      <c r="M564" s="406"/>
      <c r="N564" s="406">
        <f>IFERROR(__xludf.DUMMYFUNCTION("IMPORTRANGE(""https://docs.google.com/spreadsheets/d/1IYY_tgx_IHuhSq3AJ5eI5OnqOPBNLWSHKh2a30DoXe8/edit?usp=sharing"",""นราธิวาส!M459"")"),12940.0)</f>
        <v>12940</v>
      </c>
      <c r="O564" s="406">
        <f t="shared" ref="O564:O568" si="123">+IF(L564&gt;0,N564*100/L564,0)</f>
        <v>10.71901922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IFERROR(__xludf.DUMMYFUNCTION("IMPORTRANGE(""https://docs.google.com/spreadsheets/d/1IYY_tgx_IHuhSq3AJ5eI5OnqOPBNLWSHKh2a30DoXe8/edit?usp=sharing"",""นราธิวาส!L460"")"),0.0)</f>
        <v>0</v>
      </c>
      <c r="M565" s="197"/>
      <c r="N565" s="203">
        <f>IFERROR(__xludf.DUMMYFUNCTION("IMPORTRANGE(""https://docs.google.com/spreadsheets/d/1IYY_tgx_IHuhSq3AJ5eI5OnqOPBNLWSHKh2a30DoXe8/edit?usp=sharing"",""นราธิวาส!M460"")"),0.0)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IFERROR(__xludf.DUMMYFUNCTION("IMPORTRANGE(""https://docs.google.com/spreadsheets/d/1IYY_tgx_IHuhSq3AJ5eI5OnqOPBNLWSHKh2a30DoXe8/edit?usp=sharing"",""นราธิวาส!L461"")"),120720.0)</f>
        <v>120720</v>
      </c>
      <c r="M566" s="198"/>
      <c r="N566" s="203">
        <f>IFERROR(__xludf.DUMMYFUNCTION("IMPORTRANGE(""https://docs.google.com/spreadsheets/d/1IYY_tgx_IHuhSq3AJ5eI5OnqOPBNLWSHKh2a30DoXe8/edit?usp=sharing"",""นราธิวาส!M461"")"),12940.0)</f>
        <v>12940</v>
      </c>
      <c r="O566" s="203">
        <f t="shared" si="123"/>
        <v>10.71901922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IFERROR(__xludf.DUMMYFUNCTION("IMPORTRANGE(""https://docs.google.com/spreadsheets/d/1IYY_tgx_IHuhSq3AJ5eI5OnqOPBNLWSHKh2a30DoXe8/edit?usp=sharing"",""นราธิวาส!L462"")"),0.0)</f>
        <v>0</v>
      </c>
      <c r="M567" s="203"/>
      <c r="N567" s="203">
        <f>IFERROR(__xludf.DUMMYFUNCTION("IMPORTRANGE(""https://docs.google.com/spreadsheets/d/1IYY_tgx_IHuhSq3AJ5eI5OnqOPBNLWSHKh2a30DoXe8/edit?usp=sharing"",""นราธิวาส!M462"")"),0.0)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IFERROR(__xludf.DUMMYFUNCTION("IMPORTRANGE(""https://docs.google.com/spreadsheets/d/1IYY_tgx_IHuhSq3AJ5eI5OnqOPBNLWSHKh2a30DoXe8/edit?usp=sharing"",""นราธิวาส!L463"")"),120720.0)</f>
        <v>120720</v>
      </c>
      <c r="M568" s="203"/>
      <c r="N568" s="203">
        <f>IFERROR(__xludf.DUMMYFUNCTION("IMPORTRANGE(""https://docs.google.com/spreadsheets/d/1IYY_tgx_IHuhSq3AJ5eI5OnqOPBNLWSHKh2a30DoXe8/edit?usp=sharing"",""นราธิวาส!M463"")"),12940.0)</f>
        <v>12940</v>
      </c>
      <c r="O568" s="203">
        <f t="shared" si="123"/>
        <v>10.71901922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IFERROR(__xludf.DUMMYFUNCTION("IMPORTRANGE(""https://docs.google.com/spreadsheets/d/1IYY_tgx_IHuhSq3AJ5eI5OnqOPBNLWSHKh2a30DoXe8/edit?usp=sharing"",""นราธิวาส!M464"")"),0.0)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IFERROR(__xludf.DUMMYFUNCTION("IMPORTRANGE(""https://docs.google.com/spreadsheets/d/1IYY_tgx_IHuhSq3AJ5eI5OnqOPBNLWSHKh2a30DoXe8/edit?usp=sharing"",""นราธิวาส!M465"")"),0.0)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IFERROR(__xludf.DUMMYFUNCTION("IMPORTRANGE(""https://docs.google.com/spreadsheets/d/1IYY_tgx_IHuhSq3AJ5eI5OnqOPBNLWSHKh2a30DoXe8/edit?usp=sharing"",""นราธิวาส!M466"")"),0.0)</f>
        <v>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IFERROR(__xludf.DUMMYFUNCTION("IMPORTRANGE(""https://docs.google.com/spreadsheets/d/1IYY_tgx_IHuhSq3AJ5eI5OnqOPBNLWSHKh2a30DoXe8/edit?usp=sharing"",""นราธิวาส!M467"")"),12940.0)</f>
        <v>12940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IFERROR(__xludf.DUMMYFUNCTION("IMPORTRANGE(""https://docs.google.com/spreadsheets/d/1IYY_tgx_IHuhSq3AJ5eI5OnqOPBNLWSHKh2a30DoXe8/edit?usp=sharing"",""นราธิวาส!I468"")"),150.0)</f>
        <v>150</v>
      </c>
      <c r="J573" s="453">
        <f>IFERROR(__xludf.DUMMYFUNCTION("IMPORTRANGE(""https://docs.google.com/spreadsheets/d/1IYY_tgx_IHuhSq3AJ5eI5OnqOPBNLWSHKh2a30DoXe8/edit?usp=sharing"",""นราธิวาส!J468"")"),155.0)</f>
        <v>155</v>
      </c>
      <c r="K573" s="236">
        <f>IF(I573&gt;0,J573*100/I573,0)</f>
        <v>103.3333333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IFERROR(__xludf.DUMMYFUNCTION("IMPORTRANGE(""https://docs.google.com/spreadsheets/d/1IYY_tgx_IHuhSq3AJ5eI5OnqOPBNLWSHKh2a30DoXe8/edit?usp=sharing"",""นราธิวาส!I470"")"),0.0)</f>
        <v>0</v>
      </c>
      <c r="J575" s="232">
        <f>IFERROR(__xludf.DUMMYFUNCTION("IMPORTRANGE(""https://docs.google.com/spreadsheets/d/1IYY_tgx_IHuhSq3AJ5eI5OnqOPBNLWSHKh2a30DoXe8/edit?usp=sharing"",""นราธิวาส!J470"")"),1.0)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IFERROR(__xludf.DUMMYFUNCTION("IMPORTRANGE(""https://docs.google.com/spreadsheets/d/1IYY_tgx_IHuhSq3AJ5eI5OnqOPBNLWSHKh2a30DoXe8/edit?usp=sharing"",""นราธิวาส!I471"")"),0.0)</f>
        <v>0</v>
      </c>
      <c r="J576" s="232">
        <f>IFERROR(__xludf.DUMMYFUNCTION("IMPORTRANGE(""https://docs.google.com/spreadsheets/d/1IYY_tgx_IHuhSq3AJ5eI5OnqOPBNLWSHKh2a30DoXe8/edit?usp=sharing"",""นราธิวาส!J471"")"),27.0)</f>
        <v>27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IFERROR(__xludf.DUMMYFUNCTION("IMPORTRANGE(""https://docs.google.com/spreadsheets/d/1IYY_tgx_IHuhSq3AJ5eI5OnqOPBNLWSHKh2a30DoXe8/edit?usp=sharing"",""นราธิวาส!I472"")"),0.0)</f>
        <v>0</v>
      </c>
      <c r="J577" s="223">
        <f>IFERROR(__xludf.DUMMYFUNCTION("IMPORTRANGE(""https://docs.google.com/spreadsheets/d/1IYY_tgx_IHuhSq3AJ5eI5OnqOPBNLWSHKh2a30DoXe8/edit?usp=sharing"",""นราธิวาส!J472"")"),128.0)</f>
        <v>128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IFERROR(__xludf.DUMMYFUNCTION("IMPORTRANGE(""https://docs.google.com/spreadsheets/d/1IYY_tgx_IHuhSq3AJ5eI5OnqOPBNLWSHKh2a30DoXe8/edit?usp=sharing"",""นราธิวาส!I473"")"),0.0)</f>
        <v>0</v>
      </c>
      <c r="J578" s="232">
        <f>IFERROR(__xludf.DUMMYFUNCTION("IMPORTRANGE(""https://docs.google.com/spreadsheets/d/1IYY_tgx_IHuhSq3AJ5eI5OnqOPBNLWSHKh2a30DoXe8/edit?usp=sharing"",""นราธิวาส!J473"")"),0.0)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IFERROR(__xludf.DUMMYFUNCTION("IMPORTRANGE(""https://docs.google.com/spreadsheets/d/1IYY_tgx_IHuhSq3AJ5eI5OnqOPBNLWSHKh2a30DoXe8/edit?usp=sharing"",""นราธิวาส!I474"")"),0.0)</f>
        <v>0</v>
      </c>
      <c r="J579" s="232">
        <f>IFERROR(__xludf.DUMMYFUNCTION("IMPORTRANGE(""https://docs.google.com/spreadsheets/d/1IYY_tgx_IHuhSq3AJ5eI5OnqOPBNLWSHKh2a30DoXe8/edit?usp=sharing"",""นราธิวาส!J474"")"),0.0)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IFERROR(__xludf.DUMMYFUNCTION("IMPORTRANGE(""https://docs.google.com/spreadsheets/d/1IYY_tgx_IHuhSq3AJ5eI5OnqOPBNLWSHKh2a30DoXe8/edit?usp=sharing"",""นราธิวาส!I475"")"),0.0)</f>
        <v>0</v>
      </c>
      <c r="J580" s="404">
        <f>IFERROR(__xludf.DUMMYFUNCTION("IMPORTRANGE(""https://docs.google.com/spreadsheets/d/1IYY_tgx_IHuhSq3AJ5eI5OnqOPBNLWSHKh2a30DoXe8/edit?usp=sharing"",""นราธิวาส!J475"")"),0.0)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IFERROR(__xludf.DUMMYFUNCTION("IMPORTRANGE(""https://docs.google.com/spreadsheets/d/1IYY_tgx_IHuhSq3AJ5eI5OnqOPBNLWSHKh2a30DoXe8/edit?usp=sharing"",""นราธิวาส!L475"")"),0.0)</f>
        <v>0</v>
      </c>
      <c r="M580" s="406"/>
      <c r="N580" s="406">
        <f>IFERROR(__xludf.DUMMYFUNCTION("IMPORTRANGE(""https://docs.google.com/spreadsheets/d/1IYY_tgx_IHuhSq3AJ5eI5OnqOPBNLWSHKh2a30DoXe8/edit?usp=sharing"",""นราธิวาส!M475"")"),0.0)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IFERROR(__xludf.DUMMYFUNCTION("IMPORTRANGE(""https://docs.google.com/spreadsheets/d/1IYY_tgx_IHuhSq3AJ5eI5OnqOPBNLWSHKh2a30DoXe8/edit?usp=sharing"",""นราธิวาส!L476"")"),0.0)</f>
        <v>0</v>
      </c>
      <c r="M581" s="197"/>
      <c r="N581" s="203">
        <f>IFERROR(__xludf.DUMMYFUNCTION("IMPORTRANGE(""https://docs.google.com/spreadsheets/d/1IYY_tgx_IHuhSq3AJ5eI5OnqOPBNLWSHKh2a30DoXe8/edit?usp=sharing"",""นราธิวาส!M476"")"),0.0)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IFERROR(__xludf.DUMMYFUNCTION("IMPORTRANGE(""https://docs.google.com/spreadsheets/d/1IYY_tgx_IHuhSq3AJ5eI5OnqOPBNLWSHKh2a30DoXe8/edit?usp=sharing"",""นราธิวาส!L477"")"),0.0)</f>
        <v>0</v>
      </c>
      <c r="M582" s="198"/>
      <c r="N582" s="203">
        <f>IFERROR(__xludf.DUMMYFUNCTION("IMPORTRANGE(""https://docs.google.com/spreadsheets/d/1IYY_tgx_IHuhSq3AJ5eI5OnqOPBNLWSHKh2a30DoXe8/edit?usp=sharing"",""นราธิวาส!M477"")"),0.0)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IFERROR(__xludf.DUMMYFUNCTION("IMPORTRANGE(""https://docs.google.com/spreadsheets/d/1IYY_tgx_IHuhSq3AJ5eI5OnqOPBNLWSHKh2a30DoXe8/edit?usp=sharing"",""นราธิวาส!L478"")"),0.0)</f>
        <v>0</v>
      </c>
      <c r="M583" s="203"/>
      <c r="N583" s="203">
        <f>IFERROR(__xludf.DUMMYFUNCTION("IMPORTRANGE(""https://docs.google.com/spreadsheets/d/1IYY_tgx_IHuhSq3AJ5eI5OnqOPBNLWSHKh2a30DoXe8/edit?usp=sharing"",""นราธิวาส!M478"")"),0.0)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IFERROR(__xludf.DUMMYFUNCTION("IMPORTRANGE(""https://docs.google.com/spreadsheets/d/1IYY_tgx_IHuhSq3AJ5eI5OnqOPBNLWSHKh2a30DoXe8/edit?usp=sharing"",""นราธิวาส!L479"")"),0.0)</f>
        <v>0</v>
      </c>
      <c r="M584" s="203"/>
      <c r="N584" s="203">
        <f>IFERROR(__xludf.DUMMYFUNCTION("IMPORTRANGE(""https://docs.google.com/spreadsheets/d/1IYY_tgx_IHuhSq3AJ5eI5OnqOPBNLWSHKh2a30DoXe8/edit?usp=sharing"",""นราธิวาส!M479"")"),0.0)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IFERROR(__xludf.DUMMYFUNCTION("IMPORTRANGE(""https://docs.google.com/spreadsheets/d/1IYY_tgx_IHuhSq3AJ5eI5OnqOPBNLWSHKh2a30DoXe8/edit?usp=sharing"",""นราธิวาส!M480"")"),0.0)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IFERROR(__xludf.DUMMYFUNCTION("IMPORTRANGE(""https://docs.google.com/spreadsheets/d/1IYY_tgx_IHuhSq3AJ5eI5OnqOPBNLWSHKh2a30DoXe8/edit?usp=sharing"",""นราธิวาส!M481"")"),0.0)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IFERROR(__xludf.DUMMYFUNCTION("IMPORTRANGE(""https://docs.google.com/spreadsheets/d/1IYY_tgx_IHuhSq3AJ5eI5OnqOPBNLWSHKh2a30DoXe8/edit?usp=sharing"",""นราธิวาส!M482"")"),0.0)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IFERROR(__xludf.DUMMYFUNCTION("IMPORTRANGE(""https://docs.google.com/spreadsheets/d/1IYY_tgx_IHuhSq3AJ5eI5OnqOPBNLWSHKh2a30DoXe8/edit?usp=sharing"",""นราธิวาส!M483"")"),0.0)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IFERROR(__xludf.DUMMYFUNCTION("IMPORTRANGE(""https://docs.google.com/spreadsheets/d/1IYY_tgx_IHuhSq3AJ5eI5OnqOPBNLWSHKh2a30DoXe8/edit?usp=sharing"",""นราธิวาส!I484"")"),0.0)</f>
        <v>0</v>
      </c>
      <c r="J589" s="222">
        <f>IFERROR(__xludf.DUMMYFUNCTION("IMPORTRANGE(""https://docs.google.com/spreadsheets/d/1IYY_tgx_IHuhSq3AJ5eI5OnqOPBNLWSHKh2a30DoXe8/edit?usp=sharing"",""นราธิวาส!J484"")"),0.0)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IFERROR(__xludf.DUMMYFUNCTION("IMPORTRANGE(""https://docs.google.com/spreadsheets/d/1IYY_tgx_IHuhSq3AJ5eI5OnqOPBNLWSHKh2a30DoXe8/edit?usp=sharing"",""นราธิวาส!I485"")"),0.0)</f>
        <v>0</v>
      </c>
      <c r="J590" s="222">
        <f>IFERROR(__xludf.DUMMYFUNCTION("IMPORTRANGE(""https://docs.google.com/spreadsheets/d/1IYY_tgx_IHuhSq3AJ5eI5OnqOPBNLWSHKh2a30DoXe8/edit?usp=sharing"",""นราธิวาส!J485"")"),0.0)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IFERROR(__xludf.DUMMYFUNCTION("IMPORTRANGE(""https://docs.google.com/spreadsheets/d/1IYY_tgx_IHuhSq3AJ5eI5OnqOPBNLWSHKh2a30DoXe8/edit?usp=sharing"",""นราธิวาส!I486"")"),0.0)</f>
        <v>0</v>
      </c>
      <c r="J591" s="222">
        <f>IFERROR(__xludf.DUMMYFUNCTION("IMPORTRANGE(""https://docs.google.com/spreadsheets/d/1IYY_tgx_IHuhSq3AJ5eI5OnqOPBNLWSHKh2a30DoXe8/edit?usp=sharing"",""นราธิวาส!J486"")"),0.0)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IFERROR(__xludf.DUMMYFUNCTION("IMPORTRANGE(""https://docs.google.com/spreadsheets/d/1IYY_tgx_IHuhSq3AJ5eI5OnqOPBNLWSHKh2a30DoXe8/edit?usp=sharing"",""นราธิวาส!I487"")"),0.0)</f>
        <v>0</v>
      </c>
      <c r="J592" s="222">
        <f>IFERROR(__xludf.DUMMYFUNCTION("IMPORTRANGE(""https://docs.google.com/spreadsheets/d/1IYY_tgx_IHuhSq3AJ5eI5OnqOPBNLWSHKh2a30DoXe8/edit?usp=sharing"",""นราธิวาส!J487"")"),0.0)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IFERROR(__xludf.DUMMYFUNCTION("IMPORTRANGE(""https://docs.google.com/spreadsheets/d/1IYY_tgx_IHuhSq3AJ5eI5OnqOPBNLWSHKh2a30DoXe8/edit?usp=sharing"",""นราธิวาส!I488"")"),0.0)</f>
        <v>0</v>
      </c>
      <c r="J593" s="222">
        <f>IFERROR(__xludf.DUMMYFUNCTION("IMPORTRANGE(""https://docs.google.com/spreadsheets/d/1IYY_tgx_IHuhSq3AJ5eI5OnqOPBNLWSHKh2a30DoXe8/edit?usp=sharing"",""นราธิวาส!J488"")"),0.0)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IFERROR(__xludf.DUMMYFUNCTION("IMPORTRANGE(""https://docs.google.com/spreadsheets/d/1IYY_tgx_IHuhSq3AJ5eI5OnqOPBNLWSHKh2a30DoXe8/edit?usp=sharing"",""นราธิวาส!I489"")"),0.0)</f>
        <v>0</v>
      </c>
      <c r="J594" s="222">
        <f>IFERROR(__xludf.DUMMYFUNCTION("IMPORTRANGE(""https://docs.google.com/spreadsheets/d/1IYY_tgx_IHuhSq3AJ5eI5OnqOPBNLWSHKh2a30DoXe8/edit?usp=sharing"",""นราธิวาส!J489"")"),0.0)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IFERROR(__xludf.DUMMYFUNCTION("IMPORTRANGE(""https://docs.google.com/spreadsheets/d/1IYY_tgx_IHuhSq3AJ5eI5OnqOPBNLWSHKh2a30DoXe8/edit?usp=sharing"",""นราธิวาส!I490"")"),0.0)</f>
        <v>0</v>
      </c>
      <c r="J595" s="222">
        <f>IFERROR(__xludf.DUMMYFUNCTION("IMPORTRANGE(""https://docs.google.com/spreadsheets/d/1IYY_tgx_IHuhSq3AJ5eI5OnqOPBNLWSHKh2a30DoXe8/edit?usp=sharing"",""นราธิวาส!J490"")"),0.0)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IFERROR(__xludf.DUMMYFUNCTION("IMPORTRANGE(""https://docs.google.com/spreadsheets/d/1IYY_tgx_IHuhSq3AJ5eI5OnqOPBNLWSHKh2a30DoXe8/edit?usp=sharing"",""นราธิวาส!I491"")"),0.0)</f>
        <v>0</v>
      </c>
      <c r="J596" s="275">
        <f>IFERROR(__xludf.DUMMYFUNCTION("IMPORTRANGE(""https://docs.google.com/spreadsheets/d/1IYY_tgx_IHuhSq3AJ5eI5OnqOPBNLWSHKh2a30DoXe8/edit?usp=sharing"",""นราธิวาส!J491"")"),0.0)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IFERROR(__xludf.DUMMYFUNCTION("IMPORTRANGE(""https://docs.google.com/spreadsheets/d/1IYY_tgx_IHuhSq3AJ5eI5OnqOPBNLWSHKh2a30DoXe8/edit?usp=sharing"",""นราธิวาส!I492"")"),50.0)</f>
        <v>50</v>
      </c>
      <c r="J597" s="520">
        <f>IFERROR(__xludf.DUMMYFUNCTION("IMPORTRANGE(""https://docs.google.com/spreadsheets/d/1IYY_tgx_IHuhSq3AJ5eI5OnqOPBNLWSHKh2a30DoXe8/edit?usp=sharing"",""นราธิวาส!J492"")"),0.0)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IFERROR(__xludf.DUMMYFUNCTION("IMPORTRANGE(""https://docs.google.com/spreadsheets/d/1IYY_tgx_IHuhSq3AJ5eI5OnqOPBNLWSHKh2a30DoXe8/edit?usp=sharing"",""นราธิวาส!L492"")"),10690.0)</f>
        <v>10690</v>
      </c>
      <c r="M597" s="445"/>
      <c r="N597" s="445">
        <f>IFERROR(__xludf.DUMMYFUNCTION("IMPORTRANGE(""https://docs.google.com/spreadsheets/d/1IYY_tgx_IHuhSq3AJ5eI5OnqOPBNLWSHKh2a30DoXe8/edit?usp=sharing"",""นราธิวาส!M492"")"),2180.0)</f>
        <v>2180</v>
      </c>
      <c r="O597" s="445">
        <f t="shared" ref="O597:O601" si="127">+IF(L597&gt;0,N597*100/L597,0)</f>
        <v>20.39289055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IFERROR(__xludf.DUMMYFUNCTION("IMPORTRANGE(""https://docs.google.com/spreadsheets/d/1IYY_tgx_IHuhSq3AJ5eI5OnqOPBNLWSHKh2a30DoXe8/edit?usp=sharing"",""นราธิวาส!L493"")"),0.0)</f>
        <v>0</v>
      </c>
      <c r="M598" s="197"/>
      <c r="N598" s="203">
        <f>IFERROR(__xludf.DUMMYFUNCTION("IMPORTRANGE(""https://docs.google.com/spreadsheets/d/1IYY_tgx_IHuhSq3AJ5eI5OnqOPBNLWSHKh2a30DoXe8/edit?usp=sharing"",""นราธิวาส!M493"")"),0.0)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IFERROR(__xludf.DUMMYFUNCTION("IMPORTRANGE(""https://docs.google.com/spreadsheets/d/1IYY_tgx_IHuhSq3AJ5eI5OnqOPBNLWSHKh2a30DoXe8/edit?usp=sharing"",""นราธิวาส!L494"")"),10690.0)</f>
        <v>10690</v>
      </c>
      <c r="M599" s="198"/>
      <c r="N599" s="203">
        <f>IFERROR(__xludf.DUMMYFUNCTION("IMPORTRANGE(""https://docs.google.com/spreadsheets/d/1IYY_tgx_IHuhSq3AJ5eI5OnqOPBNLWSHKh2a30DoXe8/edit?usp=sharing"",""นราธิวาส!M494"")"),2180.0)</f>
        <v>2180</v>
      </c>
      <c r="O599" s="203">
        <f t="shared" si="127"/>
        <v>20.39289055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IFERROR(__xludf.DUMMYFUNCTION("IMPORTRANGE(""https://docs.google.com/spreadsheets/d/1IYY_tgx_IHuhSq3AJ5eI5OnqOPBNLWSHKh2a30DoXe8/edit?usp=sharing"",""นราธิวาส!L495"")"),0.0)</f>
        <v>0</v>
      </c>
      <c r="M600" s="203"/>
      <c r="N600" s="203">
        <f>IFERROR(__xludf.DUMMYFUNCTION("IMPORTRANGE(""https://docs.google.com/spreadsheets/d/1IYY_tgx_IHuhSq3AJ5eI5OnqOPBNLWSHKh2a30DoXe8/edit?usp=sharing"",""นราธิวาส!M495"")"),0.0)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IFERROR(__xludf.DUMMYFUNCTION("IMPORTRANGE(""https://docs.google.com/spreadsheets/d/1IYY_tgx_IHuhSq3AJ5eI5OnqOPBNLWSHKh2a30DoXe8/edit?usp=sharing"",""นราธิวาส!L496"")"),10690.0)</f>
        <v>10690</v>
      </c>
      <c r="M601" s="203"/>
      <c r="N601" s="203">
        <f>IFERROR(__xludf.DUMMYFUNCTION("IMPORTRANGE(""https://docs.google.com/spreadsheets/d/1IYY_tgx_IHuhSq3AJ5eI5OnqOPBNLWSHKh2a30DoXe8/edit?usp=sharing"",""นราธิวาส!M496"")"),2180.0)</f>
        <v>2180</v>
      </c>
      <c r="O601" s="203">
        <f t="shared" si="127"/>
        <v>20.39289055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IFERROR(__xludf.DUMMYFUNCTION("IMPORTRANGE(""https://docs.google.com/spreadsheets/d/1IYY_tgx_IHuhSq3AJ5eI5OnqOPBNLWSHKh2a30DoXe8/edit?usp=sharing"",""นราธิวาส!M497"")"),0.0)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IFERROR(__xludf.DUMMYFUNCTION("IMPORTRANGE(""https://docs.google.com/spreadsheets/d/1IYY_tgx_IHuhSq3AJ5eI5OnqOPBNLWSHKh2a30DoXe8/edit?usp=sharing"",""นราธิวาส!M498"")"),0.0)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IFERROR(__xludf.DUMMYFUNCTION("IMPORTRANGE(""https://docs.google.com/spreadsheets/d/1IYY_tgx_IHuhSq3AJ5eI5OnqOPBNLWSHKh2a30DoXe8/edit?usp=sharing"",""นราธิวาส!M499"")"),0.0)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IFERROR(__xludf.DUMMYFUNCTION("IMPORTRANGE(""https://docs.google.com/spreadsheets/d/1IYY_tgx_IHuhSq3AJ5eI5OnqOPBNLWSHKh2a30DoXe8/edit?usp=sharing"",""นราธิวาส!M500"")"),2180.0)</f>
        <v>2180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IFERROR(__xludf.DUMMYFUNCTION("IMPORTRANGE(""https://docs.google.com/spreadsheets/d/1IYY_tgx_IHuhSq3AJ5eI5OnqOPBNLWSHKh2a30DoXe8/edit?usp=sharing"",""นราธิวาส!J502"")"),0.0)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IFERROR(__xludf.DUMMYFUNCTION("IMPORTRANGE(""https://docs.google.com/spreadsheets/d/1IYY_tgx_IHuhSq3AJ5eI5OnqOPBNLWSHKh2a30DoXe8/edit?usp=sharing"",""นราธิวาส!J503"")"),1.0)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IFERROR(__xludf.DUMMYFUNCTION("IMPORTRANGE(""https://docs.google.com/spreadsheets/d/1IYY_tgx_IHuhSq3AJ5eI5OnqOPBNLWSHKh2a30DoXe8/edit?usp=sharing"",""นราธิวาส!J166"")"),0.0)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IFERROR(__xludf.DUMMYFUNCTION("IMPORTRANGE(""https://docs.google.com/spreadsheets/d/1IYY_tgx_IHuhSq3AJ5eI5OnqOPBNLWSHKh2a30DoXe8/edit?usp=sharing"",""นราธิวาส!J166"")"),0.0)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IFERROR(__xludf.DUMMYFUNCTION("IMPORTRANGE(""https://docs.google.com/spreadsheets/d/1IYY_tgx_IHuhSq3AJ5eI5OnqOPBNLWSHKh2a30DoXe8/edit?usp=sharing"",""นราธิวาส!I506"")"),50.0)</f>
        <v>50</v>
      </c>
      <c r="J611" s="195">
        <f>IFERROR(__xludf.DUMMYFUNCTION("IMPORTRANGE(""https://docs.google.com/spreadsheets/d/1IYY_tgx_IHuhSq3AJ5eI5OnqOPBNLWSHKh2a30DoXe8/edit?usp=sharing"",""นราธิวาส!J506"")"),0.0)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IFERROR(__xludf.DUMMYFUNCTION("IMPORTRANGE(""https://docs.google.com/spreadsheets/d/1IYY_tgx_IHuhSq3AJ5eI5OnqOPBNLWSHKh2a30DoXe8/edit?usp=sharing"",""นราธิวาส!I507"")"),0.0)</f>
        <v>0</v>
      </c>
      <c r="J612" s="232">
        <f>IFERROR(__xludf.DUMMYFUNCTION("IMPORTRANGE(""https://docs.google.com/spreadsheets/d/1IYY_tgx_IHuhSq3AJ5eI5OnqOPBNLWSHKh2a30DoXe8/edit?usp=sharing"",""นราธิวาส!J507"")"),50.0)</f>
        <v>50</v>
      </c>
      <c r="K612" s="196">
        <f t="shared" si="128"/>
        <v>100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IFERROR(__xludf.DUMMYFUNCTION("IMPORTRANGE(""https://docs.google.com/spreadsheets/d/1IYY_tgx_IHuhSq3AJ5eI5OnqOPBNLWSHKh2a30DoXe8/edit?usp=sharing"",""นราธิวาส!I508"")"),0.0)</f>
        <v>0</v>
      </c>
      <c r="J613" s="232">
        <f>IFERROR(__xludf.DUMMYFUNCTION("IMPORTRANGE(""https://docs.google.com/spreadsheets/d/1IYY_tgx_IHuhSq3AJ5eI5OnqOPBNLWSHKh2a30DoXe8/edit?usp=sharing"",""นราธิวาส!J508"")"),0.0)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IFERROR(__xludf.DUMMYFUNCTION("IMPORTRANGE(""https://docs.google.com/spreadsheets/d/1IYY_tgx_IHuhSq3AJ5eI5OnqOPBNLWSHKh2a30DoXe8/edit?usp=sharing"",""นราธิวาส!I509"")"),0.0)</f>
        <v>0</v>
      </c>
      <c r="J614" s="232">
        <f>IFERROR(__xludf.DUMMYFUNCTION("IMPORTRANGE(""https://docs.google.com/spreadsheets/d/1IYY_tgx_IHuhSq3AJ5eI5OnqOPBNLWSHKh2a30DoXe8/edit?usp=sharing"",""นราธิวาส!J509"")"),0.0)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IFERROR(__xludf.DUMMYFUNCTION("IMPORTRANGE(""https://docs.google.com/spreadsheets/d/1IYY_tgx_IHuhSq3AJ5eI5OnqOPBNLWSHKh2a30DoXe8/edit?usp=sharing"",""นราธิวาส!I510"")"),0.0)</f>
        <v>0</v>
      </c>
      <c r="J615" s="232">
        <f>IFERROR(__xludf.DUMMYFUNCTION("IMPORTRANGE(""https://docs.google.com/spreadsheets/d/1IYY_tgx_IHuhSq3AJ5eI5OnqOPBNLWSHKh2a30DoXe8/edit?usp=sharing"",""นราธิวาส!J510"")"),0.0)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IFERROR(__xludf.DUMMYFUNCTION("IMPORTRANGE(""https://docs.google.com/spreadsheets/d/1IYY_tgx_IHuhSq3AJ5eI5OnqOPBNLWSHKh2a30DoXe8/edit?usp=sharing"",""นราธิวาส!I511"")"),0.0)</f>
        <v>0</v>
      </c>
      <c r="J616" s="232">
        <f>IFERROR(__xludf.DUMMYFUNCTION("IMPORTRANGE(""https://docs.google.com/spreadsheets/d/1IYY_tgx_IHuhSq3AJ5eI5OnqOPBNLWSHKh2a30DoXe8/edit?usp=sharing"",""นราธิวาส!J511"")"),0.0)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IFERROR(__xludf.DUMMYFUNCTION("IMPORTRANGE(""https://docs.google.com/spreadsheets/d/1IYY_tgx_IHuhSq3AJ5eI5OnqOPBNLWSHKh2a30DoXe8/edit?usp=sharing"",""นราธิวาส!I512"")"),0.0)</f>
        <v>0</v>
      </c>
      <c r="J617" s="222">
        <f>IFERROR(__xludf.DUMMYFUNCTION("IMPORTRANGE(""https://docs.google.com/spreadsheets/d/1IYY_tgx_IHuhSq3AJ5eI5OnqOPBNLWSHKh2a30DoXe8/edit?usp=sharing"",""นราธิวาส!J512"")"),0.0)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IFERROR(__xludf.DUMMYFUNCTION("IMPORTRANGE(""https://docs.google.com/spreadsheets/d/1IYY_tgx_IHuhSq3AJ5eI5OnqOPBNLWSHKh2a30DoXe8/edit?usp=sharing"",""นราธิวาส!I513"")"),0.0)</f>
        <v>0</v>
      </c>
      <c r="J618" s="223">
        <f>IFERROR(__xludf.DUMMYFUNCTION("IMPORTRANGE(""https://docs.google.com/spreadsheets/d/1IYY_tgx_IHuhSq3AJ5eI5OnqOPBNLWSHKh2a30DoXe8/edit?usp=sharing"",""นราธิวาส!J513"")"),0.0)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IFERROR(__xludf.DUMMYFUNCTION("IMPORTRANGE(""https://docs.google.com/spreadsheets/d/1IYY_tgx_IHuhSq3AJ5eI5OnqOPBNLWSHKh2a30DoXe8/edit?usp=sharing"",""นราธิวาส!I514"")"),0.0)</f>
        <v>0</v>
      </c>
      <c r="J619" s="223">
        <f>IFERROR(__xludf.DUMMYFUNCTION("IMPORTRANGE(""https://docs.google.com/spreadsheets/d/1IYY_tgx_IHuhSq3AJ5eI5OnqOPBNLWSHKh2a30DoXe8/edit?usp=sharing"",""นราธิวาส!J514"")"),0.0)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IFERROR(__xludf.DUMMYFUNCTION("IMPORTRANGE(""https://docs.google.com/spreadsheets/d/1IYY_tgx_IHuhSq3AJ5eI5OnqOPBNLWSHKh2a30DoXe8/edit?usp=sharing"",""นราธิวาส!I515"")"),266.8399999999999)</f>
        <v>266.84</v>
      </c>
      <c r="J620" s="237">
        <f>IFERROR(__xludf.DUMMYFUNCTION("IMPORTRANGE(""https://docs.google.com/spreadsheets/d/1IYY_tgx_IHuhSq3AJ5eI5OnqOPBNLWSHKh2a30DoXe8/edit?usp=sharing"",""นราธิวาส!J515"")"),0.0)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IFERROR(__xludf.DUMMYFUNCTION("IMPORTRANGE(""https://docs.google.com/spreadsheets/d/1IYY_tgx_IHuhSq3AJ5eI5OnqOPBNLWSHKh2a30DoXe8/edit?usp=sharing"",""นราธิวาส!I516"")"),0.0)</f>
        <v>0</v>
      </c>
      <c r="J621" s="237">
        <f>IFERROR(__xludf.DUMMYFUNCTION("IMPORTRANGE(""https://docs.google.com/spreadsheets/d/1IYY_tgx_IHuhSq3AJ5eI5OnqOPBNLWSHKh2a30DoXe8/edit?usp=sharing"",""นราธิวาส!J516"")"),0.0)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IFERROR(__xludf.DUMMYFUNCTION("IMPORTRANGE(""https://docs.google.com/spreadsheets/d/1IYY_tgx_IHuhSq3AJ5eI5OnqOPBNLWSHKh2a30DoXe8/edit?usp=sharing"",""นราธิวาส!I517"")"),0.0)</f>
        <v>0</v>
      </c>
      <c r="J622" s="223">
        <f>IFERROR(__xludf.DUMMYFUNCTION("IMPORTRANGE(""https://docs.google.com/spreadsheets/d/1IYY_tgx_IHuhSq3AJ5eI5OnqOPBNLWSHKh2a30DoXe8/edit?usp=sharing"",""นราธิวาส!J517"")"),0.0)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IFERROR(__xludf.DUMMYFUNCTION("IMPORTRANGE(""https://docs.google.com/spreadsheets/d/1IYY_tgx_IHuhSq3AJ5eI5OnqOPBNLWSHKh2a30DoXe8/edit?usp=sharing"",""นราธิวาส!I518"")"),0.0)</f>
        <v>0</v>
      </c>
      <c r="J623" s="223">
        <f>IFERROR(__xludf.DUMMYFUNCTION("IMPORTRANGE(""https://docs.google.com/spreadsheets/d/1IYY_tgx_IHuhSq3AJ5eI5OnqOPBNLWSHKh2a30DoXe8/edit?usp=sharing"",""นราธิวาส!J518"")"),0.0)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IFERROR(__xludf.DUMMYFUNCTION("IMPORTRANGE(""https://docs.google.com/spreadsheets/d/1IYY_tgx_IHuhSq3AJ5eI5OnqOPBNLWSHKh2a30DoXe8/edit?usp=sharing"",""นราธิวาส!I519"")"),0.0)</f>
        <v>0</v>
      </c>
      <c r="J624" s="222">
        <f>IFERROR(__xludf.DUMMYFUNCTION("IMPORTRANGE(""https://docs.google.com/spreadsheets/d/1IYY_tgx_IHuhSq3AJ5eI5OnqOPBNLWSHKh2a30DoXe8/edit?usp=sharing"",""นราธิวาส!J519"")"),0.0)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IFERROR(__xludf.DUMMYFUNCTION("IMPORTRANGE(""https://docs.google.com/spreadsheets/d/1IYY_tgx_IHuhSq3AJ5eI5OnqOPBNLWSHKh2a30DoXe8/edit?usp=sharing"",""นราธิวาส!I520"")"),0.0)</f>
        <v>0</v>
      </c>
      <c r="J625" s="223">
        <f>IFERROR(__xludf.DUMMYFUNCTION("IMPORTRANGE(""https://docs.google.com/spreadsheets/d/1IYY_tgx_IHuhSq3AJ5eI5OnqOPBNLWSHKh2a30DoXe8/edit?usp=sharing"",""นราธิวาส!J520"")"),0.0)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IFERROR(__xludf.DUMMYFUNCTION("IMPORTRANGE(""https://docs.google.com/spreadsheets/d/1IYY_tgx_IHuhSq3AJ5eI5OnqOPBNLWSHKh2a30DoXe8/edit?usp=sharing"",""นราธิวาส!I521"")"),0.0)</f>
        <v>0</v>
      </c>
      <c r="J626" s="223">
        <f>IFERROR(__xludf.DUMMYFUNCTION("IMPORTRANGE(""https://docs.google.com/spreadsheets/d/1IYY_tgx_IHuhSq3AJ5eI5OnqOPBNLWSHKh2a30DoXe8/edit?usp=sharing"",""นราธิวาส!J521"")"),0.0)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IFERROR(__xludf.DUMMYFUNCTION("IMPORTRANGE(""https://docs.google.com/spreadsheets/d/1IYY_tgx_IHuhSq3AJ5eI5OnqOPBNLWSHKh2a30DoXe8/edit?usp=sharing"",""นราธิวาส!I523"")"),309233.81)</f>
        <v>309233.81</v>
      </c>
      <c r="J628" s="374">
        <f>IFERROR(__xludf.DUMMYFUNCTION("IMPORTRANGE(""https://docs.google.com/spreadsheets/d/1IYY_tgx_IHuhSq3AJ5eI5OnqOPBNLWSHKh2a30DoXe8/edit?usp=sharing"",""นราธิวาส!J523"")"),14065.97)</f>
        <v>14065.97</v>
      </c>
      <c r="K628" s="375">
        <f t="shared" ref="K628:K635" si="130">IF(I628&gt;0,J628*100/I628,0)</f>
        <v>4.548652038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IFERROR(__xludf.DUMMYFUNCTION("IMPORTRANGE(""https://docs.google.com/spreadsheets/d/1IYY_tgx_IHuhSq3AJ5eI5OnqOPBNLWSHKh2a30DoXe8/edit?usp=sharing"",""นราธิวาส!I524"")"),29.0)</f>
        <v>29</v>
      </c>
      <c r="J629" s="374">
        <f>IFERROR(__xludf.DUMMYFUNCTION("IMPORTRANGE(""https://docs.google.com/spreadsheets/d/1IYY_tgx_IHuhSq3AJ5eI5OnqOPBNLWSHKh2a30DoXe8/edit?usp=sharing"",""นราธิวาส!J524"")"),1.0)</f>
        <v>1</v>
      </c>
      <c r="K629" s="375">
        <f t="shared" si="130"/>
        <v>3.448275862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IFERROR(__xludf.DUMMYFUNCTION("IMPORTRANGE(""https://docs.google.com/spreadsheets/d/1IYY_tgx_IHuhSq3AJ5eI5OnqOPBNLWSHKh2a30DoXe8/edit?usp=sharing"",""นราธิวาส!I525"")"),284624.01)</f>
        <v>284624.01</v>
      </c>
      <c r="J630" s="374">
        <f>IFERROR(__xludf.DUMMYFUNCTION("IMPORTRANGE(""https://docs.google.com/spreadsheets/d/1IYY_tgx_IHuhSq3AJ5eI5OnqOPBNLWSHKh2a30DoXe8/edit?usp=sharing"",""นราธิวาส!J525"")"),7340.07)</f>
        <v>7340.07</v>
      </c>
      <c r="K630" s="375">
        <f t="shared" si="130"/>
        <v>2.57886536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IFERROR(__xludf.DUMMYFUNCTION("IMPORTRANGE(""https://docs.google.com/spreadsheets/d/1IYY_tgx_IHuhSq3AJ5eI5OnqOPBNLWSHKh2a30DoXe8/edit?usp=sharing"",""นราธิวาส!I526"")"),10.0)</f>
        <v>10</v>
      </c>
      <c r="J631" s="374">
        <f>IFERROR(__xludf.DUMMYFUNCTION("IMPORTRANGE(""https://docs.google.com/spreadsheets/d/1IYY_tgx_IHuhSq3AJ5eI5OnqOPBNLWSHKh2a30DoXe8/edit?usp=sharing"",""นราธิวาส!J526"")"),7.0)</f>
        <v>7</v>
      </c>
      <c r="K631" s="375">
        <f t="shared" si="130"/>
        <v>70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IFERROR(__xludf.DUMMYFUNCTION("IMPORTRANGE(""https://docs.google.com/spreadsheets/d/1IYY_tgx_IHuhSq3AJ5eI5OnqOPBNLWSHKh2a30DoXe8/edit?usp=sharing"",""นราธิวาส!I527"")"),81143.83)</f>
        <v>81143.83</v>
      </c>
      <c r="J632" s="374">
        <f>IFERROR(__xludf.DUMMYFUNCTION("IMPORTRANGE(""https://docs.google.com/spreadsheets/d/1IYY_tgx_IHuhSq3AJ5eI5OnqOPBNLWSHKh2a30DoXe8/edit?usp=sharing"",""นราธิวาส!J527"")"),6489.99)</f>
        <v>6489.99</v>
      </c>
      <c r="K632" s="375">
        <f t="shared" si="130"/>
        <v>7.99813122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IFERROR(__xludf.DUMMYFUNCTION("IMPORTRANGE(""https://docs.google.com/spreadsheets/d/1IYY_tgx_IHuhSq3AJ5eI5OnqOPBNLWSHKh2a30DoXe8/edit?usp=sharing"",""นราธิวาส!I528"")"),127.0)</f>
        <v>127</v>
      </c>
      <c r="J633" s="374">
        <f>IFERROR(__xludf.DUMMYFUNCTION("IMPORTRANGE(""https://docs.google.com/spreadsheets/d/1IYY_tgx_IHuhSq3AJ5eI5OnqOPBNLWSHKh2a30DoXe8/edit?usp=sharing"",""นราธิวาส!J528"")"),7.0)</f>
        <v>7</v>
      </c>
      <c r="K633" s="375">
        <f t="shared" si="130"/>
        <v>5.511811024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IFERROR(__xludf.DUMMYFUNCTION("IMPORTRANGE(""https://docs.google.com/spreadsheets/d/1IYY_tgx_IHuhSq3AJ5eI5OnqOPBNLWSHKh2a30DoXe8/edit?usp=sharing"",""นราธิวาส!I529"")"),300000.0)</f>
        <v>300000</v>
      </c>
      <c r="J634" s="374">
        <f>IFERROR(__xludf.DUMMYFUNCTION("IMPORTRANGE(""https://docs.google.com/spreadsheets/d/1IYY_tgx_IHuhSq3AJ5eI5OnqOPBNLWSHKh2a30DoXe8/edit?usp=sharing"",""นราธิวาส!J529"")"),0.0)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IFERROR(__xludf.DUMMYFUNCTION("IMPORTRANGE(""https://docs.google.com/spreadsheets/d/1IYY_tgx_IHuhSq3AJ5eI5OnqOPBNLWSHKh2a30DoXe8/edit?usp=sharing"",""นราธิวาส!I530"")"),10.0)</f>
        <v>10</v>
      </c>
      <c r="J635" s="544">
        <f>IFERROR(__xludf.DUMMYFUNCTION("IMPORTRANGE(""https://docs.google.com/spreadsheets/d/1IYY_tgx_IHuhSq3AJ5eI5OnqOPBNLWSHKh2a30DoXe8/edit?usp=sharing"",""นราธิวาส!J530"")"),0.0)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250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2743291</v>
      </c>
      <c r="M8" s="41">
        <f t="shared" si="1"/>
        <v>1109505</v>
      </c>
      <c r="N8" s="41">
        <f t="shared" si="1"/>
        <v>944590.29</v>
      </c>
      <c r="O8" s="40">
        <f t="shared" ref="O8:O16" si="3">IF(L8&gt;0,N8*100/L8,0)</f>
        <v>34.43274119</v>
      </c>
      <c r="P8" s="40">
        <f t="shared" ref="P8:P16" si="4">IF(M8&gt;0,N8*100/M8,0)</f>
        <v>85.13619046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2743291</v>
      </c>
      <c r="M10" s="48">
        <f t="shared" si="5"/>
        <v>1109505</v>
      </c>
      <c r="N10" s="48">
        <f t="shared" si="5"/>
        <v>944590.29</v>
      </c>
      <c r="O10" s="47">
        <f t="shared" si="3"/>
        <v>34.43274119</v>
      </c>
      <c r="P10" s="47">
        <f t="shared" si="4"/>
        <v>85.13619046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2730791</v>
      </c>
      <c r="M12" s="58">
        <f t="shared" si="7"/>
        <v>1109505</v>
      </c>
      <c r="N12" s="58">
        <f t="shared" si="7"/>
        <v>932090.29</v>
      </c>
      <c r="O12" s="58">
        <f t="shared" si="3"/>
        <v>34.13261176</v>
      </c>
      <c r="P12" s="58">
        <f t="shared" si="4"/>
        <v>84.00956192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1654700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1076091</v>
      </c>
      <c r="M14" s="58">
        <f t="shared" si="9"/>
        <v>0</v>
      </c>
      <c r="N14" s="58">
        <f t="shared" si="9"/>
        <v>229633.29</v>
      </c>
      <c r="O14" s="61">
        <f t="shared" si="3"/>
        <v>21.33957909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12500</v>
      </c>
      <c r="M16" s="58">
        <f t="shared" si="11"/>
        <v>0</v>
      </c>
      <c r="N16" s="58">
        <f t="shared" si="11"/>
        <v>12500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2024465</v>
      </c>
      <c r="M18" s="41">
        <f t="shared" si="12"/>
        <v>1109505</v>
      </c>
      <c r="N18" s="41">
        <f t="shared" si="12"/>
        <v>714957</v>
      </c>
      <c r="O18" s="40">
        <f t="shared" ref="O18:O20" si="14">IF(L18&gt;0,N18*100/L18,0)</f>
        <v>35.31584888</v>
      </c>
      <c r="P18" s="40">
        <f t="shared" ref="P18:P26" si="15">IF(M18&gt;0,N18*100/M18,0)</f>
        <v>64.43927697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2024465</v>
      </c>
      <c r="M20" s="48">
        <f t="shared" si="16"/>
        <v>1109505</v>
      </c>
      <c r="N20" s="48">
        <f t="shared" si="16"/>
        <v>714957</v>
      </c>
      <c r="O20" s="47">
        <f t="shared" si="14"/>
        <v>35.31584888</v>
      </c>
      <c r="P20" s="47">
        <f t="shared" si="15"/>
        <v>64.43927697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2011965</v>
      </c>
      <c r="M22" s="62">
        <f t="shared" si="18"/>
        <v>1109505</v>
      </c>
      <c r="N22" s="61">
        <f t="shared" si="18"/>
        <v>702457</v>
      </c>
      <c r="O22" s="61">
        <f t="shared" si="19"/>
        <v>34.91397713</v>
      </c>
      <c r="P22" s="61">
        <f t="shared" si="15"/>
        <v>63.31264843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1654700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357265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12500</v>
      </c>
      <c r="M26" s="70">
        <f t="shared" si="23"/>
        <v>0</v>
      </c>
      <c r="N26" s="70">
        <f t="shared" si="23"/>
        <v>12500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718826</v>
      </c>
      <c r="M28" s="41">
        <f t="shared" si="24"/>
        <v>0</v>
      </c>
      <c r="N28" s="41">
        <f t="shared" si="24"/>
        <v>229633.29</v>
      </c>
      <c r="O28" s="40">
        <f t="shared" ref="O28:O30" si="26">IF(L28&gt;0,N28*100/L28,0)</f>
        <v>31.94560158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718826</v>
      </c>
      <c r="M30" s="48">
        <f t="shared" si="28"/>
        <v>0</v>
      </c>
      <c r="N30" s="48">
        <f t="shared" si="28"/>
        <v>229633.29</v>
      </c>
      <c r="O30" s="47">
        <f t="shared" si="26"/>
        <v>31.94560158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718826</v>
      </c>
      <c r="M32" s="61">
        <f t="shared" si="30"/>
        <v>0</v>
      </c>
      <c r="N32" s="61">
        <f t="shared" si="30"/>
        <v>229633.29</v>
      </c>
      <c r="O32" s="61">
        <f t="shared" si="31"/>
        <v>31.94560158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718826</v>
      </c>
      <c r="M34" s="61">
        <f t="shared" si="33"/>
        <v>0</v>
      </c>
      <c r="N34" s="61">
        <f t="shared" si="33"/>
        <v>229633.29</v>
      </c>
      <c r="O34" s="61">
        <f t="shared" si="31"/>
        <v>31.94560158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2024465</v>
      </c>
      <c r="M37" s="75">
        <f t="shared" si="34"/>
        <v>1109505</v>
      </c>
      <c r="N37" s="75">
        <f t="shared" si="34"/>
        <v>714957</v>
      </c>
      <c r="O37" s="76">
        <f t="shared" si="31"/>
        <v>35.31584888</v>
      </c>
      <c r="P37" s="76">
        <f t="shared" si="27"/>
        <v>64.43927697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569100</v>
      </c>
      <c r="M41" s="102">
        <f t="shared" si="35"/>
        <v>284500</v>
      </c>
      <c r="N41" s="102">
        <f t="shared" si="35"/>
        <v>193042</v>
      </c>
      <c r="O41" s="101">
        <f t="shared" ref="O41:O43" si="37">IF(L41&gt;0,N41*100/L41,0)</f>
        <v>33.92057635</v>
      </c>
      <c r="P41" s="101">
        <f t="shared" ref="P41:P43" si="38">IF(M41&gt;0,N41*100/M41,0)</f>
        <v>67.85307557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569100</v>
      </c>
      <c r="M43" s="102">
        <f t="shared" si="39"/>
        <v>284500</v>
      </c>
      <c r="N43" s="102">
        <f t="shared" si="39"/>
        <v>193042</v>
      </c>
      <c r="O43" s="101">
        <f t="shared" si="37"/>
        <v>33.92057635</v>
      </c>
      <c r="P43" s="101">
        <f t="shared" si="38"/>
        <v>67.85307557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569100</v>
      </c>
      <c r="M45" s="115">
        <f>IFERROR(__xludf.DUMMYFUNCTION("IMPORTRANGE(""https://docs.google.com/spreadsheets/d/1Yj_ptqi66GCucihVvJfMjLAmec39IyEx_6qawtMGysU/edit?usp=sharing"",""สบก!Q86"")"),284500.0)</f>
        <v>284500</v>
      </c>
      <c r="N45" s="115">
        <f>IFERROR(__xludf.DUMMYFUNCTION("IMPORTRANGE(""https://docs.google.com/spreadsheets/d/1Yj_ptqi66GCucihVvJfMjLAmec39IyEx_6qawtMGysU/edit?usp=sharing"",""สบก!R86"")"),193042.0)</f>
        <v>193042</v>
      </c>
      <c r="O45" s="116">
        <f>IF(L45&gt;0,N45*100/L45,0)</f>
        <v>33.92057635</v>
      </c>
      <c r="P45" s="116">
        <f>IF(M45&gt;0,N45*100/M45,0)</f>
        <v>67.85307557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IFERROR(__xludf.DUMMYFUNCTION("IMPORTRANGE(""https://docs.google.com/spreadsheets/d/1Yj_ptqi66GCucihVvJfMjLAmec39IyEx_6qawtMGysU/edit?usp=sharing"",""สบก!M86"")"),569100.0)</f>
        <v>569100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IFERROR(__xludf.DUMMYFUNCTION("IMPORTRANGE(""https://docs.google.com/spreadsheets/d/1Yj_ptqi66GCucihVvJfMjLAmec39IyEx_6qawtMGysU/edit?usp=sharing"",""สบก!N86"")"),0.0)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IFERROR(__xludf.DUMMYFUNCTION("IMPORTRANGE(""https://docs.google.com/spreadsheets/d/1Yj_ptqi66GCucihVvJfMjLAmec39IyEx_6qawtMGysU/edit?usp=sharing"",""สบก!O86"")"),0.0)</f>
        <v>0</v>
      </c>
      <c r="M49" s="125"/>
      <c r="N49" s="115">
        <f>IFERROR(__xludf.DUMMYFUNCTION("IMPORTRANGE(""https://docs.google.com/spreadsheets/d/1Yj_ptqi66GCucihVvJfMjLAmec39IyEx_6qawtMGysU/edit?usp=sharing"",""สบก!S86"")"),0.0)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350000</v>
      </c>
      <c r="M53" s="151">
        <f t="shared" si="40"/>
        <v>233140</v>
      </c>
      <c r="N53" s="151">
        <f t="shared" si="40"/>
        <v>136436</v>
      </c>
      <c r="O53" s="150">
        <f t="shared" ref="O53:O55" si="42">IF(L53&gt;0,N53*100/L53,0)</f>
        <v>38.98171429</v>
      </c>
      <c r="P53" s="150">
        <f t="shared" ref="P53:P55" si="43">IF(M53&gt;0,N53*100/M53,0)</f>
        <v>58.52106031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350000</v>
      </c>
      <c r="M55" s="151">
        <f t="shared" si="44"/>
        <v>233140</v>
      </c>
      <c r="N55" s="151">
        <f t="shared" si="44"/>
        <v>136436</v>
      </c>
      <c r="O55" s="150">
        <f t="shared" si="42"/>
        <v>38.98171429</v>
      </c>
      <c r="P55" s="150">
        <f t="shared" si="43"/>
        <v>58.52106031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350000</v>
      </c>
      <c r="M57" s="115">
        <f>IFERROR(__xludf.DUMMYFUNCTION("IMPORTRANGE(""https://docs.google.com/spreadsheets/d/1Yj_ptqi66GCucihVvJfMjLAmec39IyEx_6qawtMGysU/edit?usp=sharing"",""สบก!Z86"")"),233140.0)</f>
        <v>233140</v>
      </c>
      <c r="N57" s="115">
        <f>IFERROR(__xludf.DUMMYFUNCTION("IMPORTRANGE(""https://docs.google.com/spreadsheets/d/1Yj_ptqi66GCucihVvJfMjLAmec39IyEx_6qawtMGysU/edit?usp=sharing"",""สบก!AA86"")"),136436.0)</f>
        <v>136436</v>
      </c>
      <c r="O57" s="116">
        <f>IF(L57&gt;0,N57*100/L57,0)</f>
        <v>38.98171429</v>
      </c>
      <c r="P57" s="116">
        <f>IF(M57&gt;0,N57*100/M57,0)</f>
        <v>58.52106031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IFERROR(__xludf.DUMMYFUNCTION("IMPORTRANGE(""https://docs.google.com/spreadsheets/d/1Yj_ptqi66GCucihVvJfMjLAmec39IyEx_6qawtMGysU/edit?usp=sharing"",""สบก!V86"")"),350000.0)</f>
        <v>350000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IFERROR(__xludf.DUMMYFUNCTION("IMPORTRANGE(""https://docs.google.com/spreadsheets/d/1Yj_ptqi66GCucihVvJfMjLAmec39IyEx_6qawtMGysU/edit?usp=sharing"",""สบก!W86"")"),0.0)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IFERROR(__xludf.DUMMYFUNCTION("IMPORTRANGE(""https://docs.google.com/spreadsheets/d/1Yj_ptqi66GCucihVvJfMjLAmec39IyEx_6qawtMGysU/edit?usp=sharing"",""สบก!X86"")"),0.0)</f>
        <v>0</v>
      </c>
      <c r="M61" s="125"/>
      <c r="N61" s="115">
        <f>IFERROR(__xludf.DUMMYFUNCTION("IMPORTRANGE(""https://docs.google.com/spreadsheets/d/1Yj_ptqi66GCucihVvJfMjLAmec39IyEx_6qawtMGysU/edit?usp=sharing"",""สบก!AB86"")"),0.0)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IFERROR(__xludf.DUMMYFUNCTION("IMPORTRANGE(""https://docs.google.com/spreadsheets/d/1IYY_tgx_IHuhSq3AJ5eI5OnqOPBNLWSHKh2a30DoXe8/edit?usp=sharing"",""ปัตตานี!I9"")"),0.0)</f>
        <v>0</v>
      </c>
      <c r="J64" s="172">
        <f>IFERROR(__xludf.DUMMYFUNCTION("IMPORTRANGE(""https://docs.google.com/spreadsheets/d/1IYY_tgx_IHuhSq3AJ5eI5OnqOPBNLWSHKh2a30DoXe8/edit?usp=sharing"",""ปัตตานี!J9"")"),0.0)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IFERROR(__xludf.DUMMYFUNCTION("IMPORTRANGE(""https://docs.google.com/spreadsheets/d/1IYY_tgx_IHuhSq3AJ5eI5OnqOPBNLWSHKh2a30DoXe8/edit?usp=sharing"",""ปัตตานี!I10"")"),0.0)</f>
        <v>0</v>
      </c>
      <c r="J65" s="172">
        <f>IFERROR(__xludf.DUMMYFUNCTION("IMPORTRANGE(""https://docs.google.com/spreadsheets/d/1IYY_tgx_IHuhSq3AJ5eI5OnqOPBNLWSHKh2a30DoXe8/edit?usp=sharing"",""ปัตตานี!J10"")"),0.0)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IFERROR(__xludf.DUMMYFUNCTION("IMPORTRANGE(""https://docs.google.com/spreadsheets/d/1Yj_ptqi66GCucihVvJfMjLAmec39IyEx_6qawtMGysU/edit?usp=sharing"",""สบก!AI86"")"),0.0)</f>
        <v>0</v>
      </c>
      <c r="N70" s="202">
        <f>IFERROR(__xludf.DUMMYFUNCTION("IMPORTRANGE(""https://docs.google.com/spreadsheets/d/1Yj_ptqi66GCucihVvJfMjLAmec39IyEx_6qawtMGysU/edit?usp=sharing"",""สบก!AJ86"")"),0.0)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IFERROR(__xludf.DUMMYFUNCTION("IMPORTRANGE(""https://docs.google.com/spreadsheets/d/1Yj_ptqi66GCucihVvJfMjLAmec39IyEx_6qawtMGysU/edit?usp=sharing"",""สบก!AE86"")"),0.0)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IFERROR(__xludf.DUMMYFUNCTION("IMPORTRANGE(""https://docs.google.com/spreadsheets/d/1Yj_ptqi66GCucihVvJfMjLAmec39IyEx_6qawtMGysU/edit?usp=sharing"",""สบก!AF86"")"),0.0)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IFERROR(__xludf.DUMMYFUNCTION("IMPORTRANGE(""https://docs.google.com/spreadsheets/d/1Yj_ptqi66GCucihVvJfMjLAmec39IyEx_6qawtMGysU/edit?usp=sharing"",""สบก!AG86"")"),0.0)</f>
        <v>0</v>
      </c>
      <c r="M74" s="125"/>
      <c r="N74" s="115">
        <f>IFERROR(__xludf.DUMMYFUNCTION("IMPORTRANGE(""https://docs.google.com/spreadsheets/d/1Yj_ptqi66GCucihVvJfMjLAmec39IyEx_6qawtMGysU/edit?usp=sharing"",""สบก!AK86"")"),0.0)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IFERROR(__xludf.DUMMYFUNCTION("IMPORTRANGE(""https://docs.google.com/spreadsheets/d/1IYY_tgx_IHuhSq3AJ5eI5OnqOPBNLWSHKh2a30DoXe8/edit?usp=sharing"",""ปัตตานี!J16"")"),0.0)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IFERROR(__xludf.DUMMYFUNCTION("IMPORTRANGE(""https://docs.google.com/spreadsheets/d/1IYY_tgx_IHuhSq3AJ5eI5OnqOPBNLWSHKh2a30DoXe8/edit?usp=sharing"",""ปัตตานี!J17"")"),0.0)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IFERROR(__xludf.DUMMYFUNCTION("IMPORTRANGE(""https://docs.google.com/spreadsheets/d/1IYY_tgx_IHuhSq3AJ5eI5OnqOPBNLWSHKh2a30DoXe8/edit?usp=sharing"",""ปัตตานี!J18"")"),0.0)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IFERROR(__xludf.DUMMYFUNCTION("IMPORTRANGE(""https://docs.google.com/spreadsheets/d/1IYY_tgx_IHuhSq3AJ5eI5OnqOPBNLWSHKh2a30DoXe8/edit?usp=sharing"",""ปัตตานี!J19"")"),0.0)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IFERROR(__xludf.DUMMYFUNCTION("IMPORTRANGE(""https://docs.google.com/spreadsheets/d/1IYY_tgx_IHuhSq3AJ5eI5OnqOPBNLWSHKh2a30DoXe8/edit?usp=sharing"",""ปัตตานี!I20"")"),0.0)</f>
        <v>0</v>
      </c>
      <c r="J80" s="235">
        <f>IFERROR(__xludf.DUMMYFUNCTION("IMPORTRANGE(""https://docs.google.com/spreadsheets/d/1IYY_tgx_IHuhSq3AJ5eI5OnqOPBNLWSHKh2a30DoXe8/edit?usp=sharing"",""ปัตตานี!J20"")"),0.0)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IFERROR(__xludf.DUMMYFUNCTION("IMPORTRANGE(""https://docs.google.com/spreadsheets/d/1IYY_tgx_IHuhSq3AJ5eI5OnqOPBNLWSHKh2a30DoXe8/edit?usp=sharing"",""ปัตตานี!I21"")"),0.0)</f>
        <v>0</v>
      </c>
      <c r="J81" s="235">
        <f>IFERROR(__xludf.DUMMYFUNCTION("IMPORTRANGE(""https://docs.google.com/spreadsheets/d/1IYY_tgx_IHuhSq3AJ5eI5OnqOPBNLWSHKh2a30DoXe8/edit?usp=sharing"",""ปัตตานี!J21"")"),0.0)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IFERROR(__xludf.DUMMYFUNCTION("IMPORTRANGE(""https://docs.google.com/spreadsheets/d/1IYY_tgx_IHuhSq3AJ5eI5OnqOPBNLWSHKh2a30DoXe8/edit?usp=sharing"",""ปัตตานี!I22"")"),0.0)</f>
        <v>0</v>
      </c>
      <c r="J82" s="238">
        <f>IFERROR(__xludf.DUMMYFUNCTION("IMPORTRANGE(""https://docs.google.com/spreadsheets/d/1IYY_tgx_IHuhSq3AJ5eI5OnqOPBNLWSHKh2a30DoXe8/edit?usp=sharing"",""ปัตตานี!J22"")"),0.0)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IFERROR(__xludf.DUMMYFUNCTION("IMPORTRANGE(""https://docs.google.com/spreadsheets/d/1IYY_tgx_IHuhSq3AJ5eI5OnqOPBNLWSHKh2a30DoXe8/edit?usp=sharing"",""ปัตตานี!I23"")"),0.0)</f>
        <v>0</v>
      </c>
      <c r="J83" s="238">
        <f>IFERROR(__xludf.DUMMYFUNCTION("IMPORTRANGE(""https://docs.google.com/spreadsheets/d/1IYY_tgx_IHuhSq3AJ5eI5OnqOPBNLWSHKh2a30DoXe8/edit?usp=sharing"",""ปัตตานี!J23"")"),0.0)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IFERROR(__xludf.DUMMYFUNCTION("IMPORTRANGE(""https://docs.google.com/spreadsheets/d/1IYY_tgx_IHuhSq3AJ5eI5OnqOPBNLWSHKh2a30DoXe8/edit?usp=sharing"",""ปัตตานี!I24"")"),0.0)</f>
        <v>0</v>
      </c>
      <c r="J84" s="223">
        <f>IFERROR(__xludf.DUMMYFUNCTION("IMPORTRANGE(""https://docs.google.com/spreadsheets/d/1IYY_tgx_IHuhSq3AJ5eI5OnqOPBNLWSHKh2a30DoXe8/edit?usp=sharing"",""ปัตตานี!J24"")"),0.0)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IFERROR(__xludf.DUMMYFUNCTION("IMPORTRANGE(""https://docs.google.com/spreadsheets/d/1IYY_tgx_IHuhSq3AJ5eI5OnqOPBNLWSHKh2a30DoXe8/edit?usp=sharing"",""ปัตตานี!I25"")"),0.0)</f>
        <v>0</v>
      </c>
      <c r="J85" s="223">
        <f>IFERROR(__xludf.DUMMYFUNCTION("IMPORTRANGE(""https://docs.google.com/spreadsheets/d/1IYY_tgx_IHuhSq3AJ5eI5OnqOPBNLWSHKh2a30DoXe8/edit?usp=sharing"",""ปัตตานี!J25"")"),0.0)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IFERROR(__xludf.DUMMYFUNCTION("IMPORTRANGE(""https://docs.google.com/spreadsheets/d/1IYY_tgx_IHuhSq3AJ5eI5OnqOPBNLWSHKh2a30DoXe8/edit?usp=sharing"",""ปัตตานี!I26"")"),0.0)</f>
        <v>0</v>
      </c>
      <c r="J86" s="238">
        <f>IFERROR(__xludf.DUMMYFUNCTION("IMPORTRANGE(""https://docs.google.com/spreadsheets/d/1IYY_tgx_IHuhSq3AJ5eI5OnqOPBNLWSHKh2a30DoXe8/edit?usp=sharing"",""ปัตตานี!J26"")"),0.0)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IFERROR(__xludf.DUMMYFUNCTION("IMPORTRANGE(""https://docs.google.com/spreadsheets/d/1IYY_tgx_IHuhSq3AJ5eI5OnqOPBNLWSHKh2a30DoXe8/edit?usp=sharing"",""ปัตตานี!I27"")"),0.0)</f>
        <v>0</v>
      </c>
      <c r="J87" s="238">
        <f>IFERROR(__xludf.DUMMYFUNCTION("IMPORTRANGE(""https://docs.google.com/spreadsheets/d/1IYY_tgx_IHuhSq3AJ5eI5OnqOPBNLWSHKh2a30DoXe8/edit?usp=sharing"",""ปัตตานี!J27"")"),0.0)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IFERROR(__xludf.DUMMYFUNCTION("IMPORTRANGE(""https://docs.google.com/spreadsheets/d/1IYY_tgx_IHuhSq3AJ5eI5OnqOPBNLWSHKh2a30DoXe8/edit?usp=sharing"",""ปัตตานี!I28"")"),0.0)</f>
        <v>0</v>
      </c>
      <c r="J88" s="238">
        <f>IFERROR(__xludf.DUMMYFUNCTION("IMPORTRANGE(""https://docs.google.com/spreadsheets/d/1IYY_tgx_IHuhSq3AJ5eI5OnqOPBNLWSHKh2a30DoXe8/edit?usp=sharing"",""ปัตตานี!J28"")"),0.0)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IFERROR(__xludf.DUMMYFUNCTION("IMPORTRANGE(""https://docs.google.com/spreadsheets/d/1IYY_tgx_IHuhSq3AJ5eI5OnqOPBNLWSHKh2a30DoXe8/edit?usp=sharing"",""ปัตตานี!J29"")"),0.0)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IFERROR(__xludf.DUMMYFUNCTION("IMPORTRANGE(""https://docs.google.com/spreadsheets/d/1IYY_tgx_IHuhSq3AJ5eI5OnqOPBNLWSHKh2a30DoXe8/edit?usp=sharing"",""ปัตตานี!J30"")"),0.0)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IFERROR(__xludf.DUMMYFUNCTION("IMPORTRANGE(""https://docs.google.com/spreadsheets/d/1IYY_tgx_IHuhSq3AJ5eI5OnqOPBNLWSHKh2a30DoXe8/edit?usp=sharing"",""ปัตตานี!I32"")"),0.0)</f>
        <v>0</v>
      </c>
      <c r="J92" s="172">
        <f>IFERROR(__xludf.DUMMYFUNCTION("IMPORTRANGE(""https://docs.google.com/spreadsheets/d/1IYY_tgx_IHuhSq3AJ5eI5OnqOPBNLWSHKh2a30DoXe8/edit?usp=sharing"",""ปัตตานี!J32"")"),0.0)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IFERROR(__xludf.DUMMYFUNCTION("IMPORTRANGE(""https://docs.google.com/spreadsheets/d/1IYY_tgx_IHuhSq3AJ5eI5OnqOPBNLWSHKh2a30DoXe8/edit?usp=sharing"",""ปัตตานี!I33"")"),0.0)</f>
        <v>0</v>
      </c>
      <c r="J93" s="172">
        <f>IFERROR(__xludf.DUMMYFUNCTION("IMPORTRANGE(""https://docs.google.com/spreadsheets/d/1IYY_tgx_IHuhSq3AJ5eI5OnqOPBNLWSHKh2a30DoXe8/edit?usp=sharing"",""ปัตตานี!J33"")"),0.0)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IFERROR(__xludf.DUMMYFUNCTION("IMPORTRANGE(""https://docs.google.com/spreadsheets/d/1Yj_ptqi66GCucihVvJfMjLAmec39IyEx_6qawtMGysU/edit?usp=sharing"",""สบก!AR86"")"),0.0)</f>
        <v>0</v>
      </c>
      <c r="N98" s="202">
        <f>IFERROR(__xludf.DUMMYFUNCTION("IMPORTRANGE(""https://docs.google.com/spreadsheets/d/1Yj_ptqi66GCucihVvJfMjLAmec39IyEx_6qawtMGysU/edit?usp=sharing"",""สบก!AS86"")"),0.0)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IFERROR(__xludf.DUMMYFUNCTION("IMPORTRANGE(""https://docs.google.com/spreadsheets/d/1Yj_ptqi66GCucihVvJfMjLAmec39IyEx_6qawtMGysU/edit?usp=sharing"",""สบก!AN86"")"),0.0)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IFERROR(__xludf.DUMMYFUNCTION("IMPORTRANGE(""https://docs.google.com/spreadsheets/d/1Yj_ptqi66GCucihVvJfMjLAmec39IyEx_6qawtMGysU/edit?usp=sharing"",""สบก!AO86"")"),0.0)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IFERROR(__xludf.DUMMYFUNCTION("IMPORTRANGE(""https://docs.google.com/spreadsheets/d/1Yj_ptqi66GCucihVvJfMjLAmec39IyEx_6qawtMGysU/edit?usp=sharing"",""สบก!AP86"")"),0.0)</f>
        <v>0</v>
      </c>
      <c r="M102" s="125"/>
      <c r="N102" s="115">
        <f>IFERROR(__xludf.DUMMYFUNCTION("IMPORTRANGE(""https://docs.google.com/spreadsheets/d/1Yj_ptqi66GCucihVvJfMjLAmec39IyEx_6qawtMGysU/edit?usp=sharing"",""สบก!AT86"")"),0.0)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IFERROR(__xludf.DUMMYFUNCTION("IMPORTRANGE(""https://docs.google.com/spreadsheets/d/1IYY_tgx_IHuhSq3AJ5eI5OnqOPBNLWSHKh2a30DoXe8/edit?usp=sharing"",""ปัตตานี!J39"")"),0.0)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IFERROR(__xludf.DUMMYFUNCTION("IMPORTRANGE(""https://docs.google.com/spreadsheets/d/1IYY_tgx_IHuhSq3AJ5eI5OnqOPBNLWSHKh2a30DoXe8/edit?usp=sharing"",""ปัตตานี!J40"")"),0.0)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IFERROR(__xludf.DUMMYFUNCTION("IMPORTRANGE(""https://docs.google.com/spreadsheets/d/1IYY_tgx_IHuhSq3AJ5eI5OnqOPBNLWSHKh2a30DoXe8/edit?usp=sharing"",""ปัตตานี!J41"")"),0.0)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IFERROR(__xludf.DUMMYFUNCTION("IMPORTRANGE(""https://docs.google.com/spreadsheets/d/1IYY_tgx_IHuhSq3AJ5eI5OnqOPBNLWSHKh2a30DoXe8/edit?usp=sharing"",""ปัตตานี!J42"")"),0.0)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IFERROR(__xludf.DUMMYFUNCTION("IMPORTRANGE(""https://docs.google.com/spreadsheets/d/1IYY_tgx_IHuhSq3AJ5eI5OnqOPBNLWSHKh2a30DoXe8/edit?usp=sharing"",""ปัตตานี!I43"")"),0.0)</f>
        <v>0</v>
      </c>
      <c r="J108" s="238">
        <f>IFERROR(__xludf.DUMMYFUNCTION("IMPORTRANGE(""https://docs.google.com/spreadsheets/d/1IYY_tgx_IHuhSq3AJ5eI5OnqOPBNLWSHKh2a30DoXe8/edit?usp=sharing"",""ปัตตานี!J43"")"),0.0)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IFERROR(__xludf.DUMMYFUNCTION("IMPORTRANGE(""https://docs.google.com/spreadsheets/d/1IYY_tgx_IHuhSq3AJ5eI5OnqOPBNLWSHKh2a30DoXe8/edit?usp=sharing"",""ปัตตานี!I44"")"),0.0)</f>
        <v>0</v>
      </c>
      <c r="J109" s="238">
        <f>IFERROR(__xludf.DUMMYFUNCTION("IMPORTRANGE(""https://docs.google.com/spreadsheets/d/1IYY_tgx_IHuhSq3AJ5eI5OnqOPBNLWSHKh2a30DoXe8/edit?usp=sharing"",""ปัตตานี!J44"")"),0.0)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IFERROR(__xludf.DUMMYFUNCTION("IMPORTRANGE(""https://docs.google.com/spreadsheets/d/1IYY_tgx_IHuhSq3AJ5eI5OnqOPBNLWSHKh2a30DoXe8/edit?usp=sharing"",""ปัตตานี!I45"")"),0.0)</f>
        <v>0</v>
      </c>
      <c r="J110" s="238">
        <f>IFERROR(__xludf.DUMMYFUNCTION("IMPORTRANGE(""https://docs.google.com/spreadsheets/d/1IYY_tgx_IHuhSq3AJ5eI5OnqOPBNLWSHKh2a30DoXe8/edit?usp=sharing"",""ปัตตานี!J45"")"),0.0)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IFERROR(__xludf.DUMMYFUNCTION("IMPORTRANGE(""https://docs.google.com/spreadsheets/d/1IYY_tgx_IHuhSq3AJ5eI5OnqOPBNLWSHKh2a30DoXe8/edit?usp=sharing"",""ปัตตานี!I46"")"),0.0)</f>
        <v>0</v>
      </c>
      <c r="J111" s="238">
        <f>IFERROR(__xludf.DUMMYFUNCTION("IMPORTRANGE(""https://docs.google.com/spreadsheets/d/1IYY_tgx_IHuhSq3AJ5eI5OnqOPBNLWSHKh2a30DoXe8/edit?usp=sharing"",""ปัตตานี!J46"")"),0.0)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IFERROR(__xludf.DUMMYFUNCTION("IMPORTRANGE(""https://docs.google.com/spreadsheets/d/1IYY_tgx_IHuhSq3AJ5eI5OnqOPBNLWSHKh2a30DoXe8/edit?usp=sharing"",""ปัตตานี!I47"")"),0.0)</f>
        <v>0</v>
      </c>
      <c r="J112" s="238">
        <f>IFERROR(__xludf.DUMMYFUNCTION("IMPORTRANGE(""https://docs.google.com/spreadsheets/d/1IYY_tgx_IHuhSq3AJ5eI5OnqOPBNLWSHKh2a30DoXe8/edit?usp=sharing"",""ปัตตานี!J47"")"),0.0)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IFERROR(__xludf.DUMMYFUNCTION("IMPORTRANGE(""https://docs.google.com/spreadsheets/d/1IYY_tgx_IHuhSq3AJ5eI5OnqOPBNLWSHKh2a30DoXe8/edit?usp=sharing"",""ปัตตานี!I48"")"),0.0)</f>
        <v>0</v>
      </c>
      <c r="J113" s="238">
        <f>IFERROR(__xludf.DUMMYFUNCTION("IMPORTRANGE(""https://docs.google.com/spreadsheets/d/1IYY_tgx_IHuhSq3AJ5eI5OnqOPBNLWSHKh2a30DoXe8/edit?usp=sharing"",""ปัตตานี!J48"")"),0.0)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IFERROR(__xludf.DUMMYFUNCTION("IMPORTRANGE(""https://docs.google.com/spreadsheets/d/1IYY_tgx_IHuhSq3AJ5eI5OnqOPBNLWSHKh2a30DoXe8/edit?usp=sharing"",""ปัตตานี!J49"")"),0.0)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IFERROR(__xludf.DUMMYFUNCTION("IMPORTRANGE(""https://docs.google.com/spreadsheets/d/1IYY_tgx_IHuhSq3AJ5eI5OnqOPBNLWSHKh2a30DoXe8/edit?usp=sharing"",""ปัตตานี!J50"")"),0.0)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IFERROR(__xludf.DUMMYFUNCTION("IMPORTRANGE(""https://docs.google.com/spreadsheets/d/1IYY_tgx_IHuhSq3AJ5eI5OnqOPBNLWSHKh2a30DoXe8/edit?usp=sharing"",""ปัตตานี!I52"")"),0.0)</f>
        <v>0</v>
      </c>
      <c r="J117" s="172">
        <f>IFERROR(__xludf.DUMMYFUNCTION("IMPORTRANGE(""https://docs.google.com/spreadsheets/d/1IYY_tgx_IHuhSq3AJ5eI5OnqOPBNLWSHKh2a30DoXe8/edit?usp=sharing"",""ปัตตานี!J52"")"),0.0)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IFERROR(__xludf.DUMMYFUNCTION("IMPORTRANGE(""https://docs.google.com/spreadsheets/d/1Yj_ptqi66GCucihVvJfMjLAmec39IyEx_6qawtMGysU/edit?usp=sharing"",""สบก!BA86"")"),0.0)</f>
        <v>0</v>
      </c>
      <c r="N122" s="202">
        <f>IFERROR(__xludf.DUMMYFUNCTION("IMPORTRANGE(""https://docs.google.com/spreadsheets/d/1Yj_ptqi66GCucihVvJfMjLAmec39IyEx_6qawtMGysU/edit?usp=sharing"",""สบก!BB86"")"),0.0)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IFERROR(__xludf.DUMMYFUNCTION("IMPORTRANGE(""https://docs.google.com/spreadsheets/d/1Yj_ptqi66GCucihVvJfMjLAmec39IyEx_6qawtMGysU/edit?usp=sharing"",""สบก!AW86"")"),0.0)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IFERROR(__xludf.DUMMYFUNCTION("IMPORTRANGE(""https://docs.google.com/spreadsheets/d/1Yj_ptqi66GCucihVvJfMjLAmec39IyEx_6qawtMGysU/edit?usp=sharing"",""สบก!AX86"")"),0.0)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IFERROR(__xludf.DUMMYFUNCTION("IMPORTRANGE(""https://docs.google.com/spreadsheets/d/1Yj_ptqi66GCucihVvJfMjLAmec39IyEx_6qawtMGysU/edit?usp=sharing"",""สบก!AY86"")"),0.0)</f>
        <v>0</v>
      </c>
      <c r="M126" s="125"/>
      <c r="N126" s="115">
        <f>IFERROR(__xludf.DUMMYFUNCTION("IMPORTRANGE(""https://docs.google.com/spreadsheets/d/1Yj_ptqi66GCucihVvJfMjLAmec39IyEx_6qawtMGysU/edit?usp=sharing"",""สบก!BC86"")"),0.0)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251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IFERROR(__xludf.DUMMYFUNCTION("IMPORTRANGE(""https://docs.google.com/spreadsheets/d/1IYY_tgx_IHuhSq3AJ5eI5OnqOPBNLWSHKh2a30DoXe8/edit?usp=sharing"",""ปัตตานี!J58"")"),0.0)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IFERROR(__xludf.DUMMYFUNCTION("IMPORTRANGE(""https://docs.google.com/spreadsheets/d/1IYY_tgx_IHuhSq3AJ5eI5OnqOPBNLWSHKh2a30DoXe8/edit?usp=sharing"",""ปัตตานี!J59"")"),0.0)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IFERROR(__xludf.DUMMYFUNCTION("IMPORTRANGE(""https://docs.google.com/spreadsheets/d/1IYY_tgx_IHuhSq3AJ5eI5OnqOPBNLWSHKh2a30DoXe8/edit?usp=sharing"",""ปัตตานี!J60"")"),0.0)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IFERROR(__xludf.DUMMYFUNCTION("IMPORTRANGE(""https://docs.google.com/spreadsheets/d/1IYY_tgx_IHuhSq3AJ5eI5OnqOPBNLWSHKh2a30DoXe8/edit?usp=sharing"",""ปัตตานี!J61"")"),0.0)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IFERROR(__xludf.DUMMYFUNCTION("IMPORTRANGE(""https://docs.google.com/spreadsheets/d/1IYY_tgx_IHuhSq3AJ5eI5OnqOPBNLWSHKh2a30DoXe8/edit?usp=sharing"",""ปัตตานี!I62"")"),0.0)</f>
        <v>0</v>
      </c>
      <c r="J132" s="238">
        <f>IFERROR(__xludf.DUMMYFUNCTION("IMPORTRANGE(""https://docs.google.com/spreadsheets/d/1IYY_tgx_IHuhSq3AJ5eI5OnqOPBNLWSHKh2a30DoXe8/edit?usp=sharing"",""ปัตตานี!J62"")"),0.0)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IFERROR(__xludf.DUMMYFUNCTION("IMPORTRANGE(""https://docs.google.com/spreadsheets/d/1IYY_tgx_IHuhSq3AJ5eI5OnqOPBNLWSHKh2a30DoXe8/edit?usp=sharing"",""ปัตตานี!I63"")"),0.0)</f>
        <v>0</v>
      </c>
      <c r="J133" s="238">
        <f>IFERROR(__xludf.DUMMYFUNCTION("IMPORTRANGE(""https://docs.google.com/spreadsheets/d/1IYY_tgx_IHuhSq3AJ5eI5OnqOPBNLWSHKh2a30DoXe8/edit?usp=sharing"",""ปัตตานี!J63"")"),0.0)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IFERROR(__xludf.DUMMYFUNCTION("IMPORTRANGE(""https://docs.google.com/spreadsheets/d/1IYY_tgx_IHuhSq3AJ5eI5OnqOPBNLWSHKh2a30DoXe8/edit?usp=sharing"",""ปัตตานี!J64"")"),0.0)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IFERROR(__xludf.DUMMYFUNCTION("IMPORTRANGE(""https://docs.google.com/spreadsheets/d/1IYY_tgx_IHuhSq3AJ5eI5OnqOPBNLWSHKh2a30DoXe8/edit?usp=sharing"",""ปัตตานี!J65"")"),0.0)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IFERROR(__xludf.DUMMYFUNCTION("IMPORTRANGE(""https://docs.google.com/spreadsheets/d/1IYY_tgx_IHuhSq3AJ5eI5OnqOPBNLWSHKh2a30DoXe8/edit?usp=sharing"",""ปัตตานี!I68"")"),15.0)</f>
        <v>15</v>
      </c>
      <c r="J138" s="301">
        <f>IFERROR(__xludf.DUMMYFUNCTION("IMPORTRANGE(""https://docs.google.com/spreadsheets/d/1IYY_tgx_IHuhSq3AJ5eI5OnqOPBNLWSHKh2a30DoXe8/edit?usp=sharing"",""ปัตตานี!J68"")"),15.0)</f>
        <v>15</v>
      </c>
      <c r="K138" s="302">
        <f>IF(I138&gt;0,J138*100/I138,0)</f>
        <v>100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376600</v>
      </c>
      <c r="M140" s="183">
        <f t="shared" si="65"/>
        <v>205750</v>
      </c>
      <c r="N140" s="183">
        <f t="shared" si="65"/>
        <v>156660</v>
      </c>
      <c r="O140" s="182">
        <f t="shared" ref="O140:O142" si="67">IF(L140&gt;0,N140*100/L140,0)</f>
        <v>41.59851301</v>
      </c>
      <c r="P140" s="182">
        <f t="shared" ref="P140:P142" si="68">IF(M140&gt;0,N140*100/M140,0)</f>
        <v>76.14094775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376600</v>
      </c>
      <c r="M142" s="188">
        <f t="shared" si="69"/>
        <v>205750</v>
      </c>
      <c r="N142" s="188">
        <f t="shared" si="69"/>
        <v>156660</v>
      </c>
      <c r="O142" s="187">
        <f t="shared" si="67"/>
        <v>41.59851301</v>
      </c>
      <c r="P142" s="187">
        <f t="shared" si="68"/>
        <v>76.14094775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376600</v>
      </c>
      <c r="M144" s="201">
        <f>IFERROR(__xludf.DUMMYFUNCTION("IMPORTRANGE(""https://docs.google.com/spreadsheets/d/1Yj_ptqi66GCucihVvJfMjLAmec39IyEx_6qawtMGysU/edit?usp=sharing"",""สบก!BJ86"")"),205750.0)</f>
        <v>205750</v>
      </c>
      <c r="N144" s="202">
        <f>IFERROR(__xludf.DUMMYFUNCTION("IMPORTRANGE(""https://docs.google.com/spreadsheets/d/1Yj_ptqi66GCucihVvJfMjLAmec39IyEx_6qawtMGysU/edit?usp=sharing"",""สบก!BK86"")"),156660.0)</f>
        <v>156660</v>
      </c>
      <c r="O144" s="203">
        <f>IF(L144&gt;0,N144*100/L144,0)</f>
        <v>41.59851301</v>
      </c>
      <c r="P144" s="203">
        <f>IF(M144&gt;0,N144*100/M144,0)</f>
        <v>76.14094775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IFERROR(__xludf.DUMMYFUNCTION("IMPORTRANGE(""https://docs.google.com/spreadsheets/d/1Yj_ptqi66GCucihVvJfMjLAmec39IyEx_6qawtMGysU/edit?usp=sharing"",""สบก!BF86"")"),318000.0)</f>
        <v>318000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IFERROR(__xludf.DUMMYFUNCTION("IMPORTRANGE(""https://docs.google.com/spreadsheets/d/1Yj_ptqi66GCucihVvJfMjLAmec39IyEx_6qawtMGysU/edit?usp=sharing"",""สบก!BG86"")"),58600.0)</f>
        <v>58600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IFERROR(__xludf.DUMMYFUNCTION("IMPORTRANGE(""https://docs.google.com/spreadsheets/d/1Yj_ptqi66GCucihVvJfMjLAmec39IyEx_6qawtMGysU/edit?usp=sharing"",""สบก!BH86"")"),0.0)</f>
        <v>0</v>
      </c>
      <c r="M148" s="125"/>
      <c r="N148" s="115">
        <f>IFERROR(__xludf.DUMMYFUNCTION("IMPORTRANGE(""https://docs.google.com/spreadsheets/d/1Yj_ptqi66GCucihVvJfMjLAmec39IyEx_6qawtMGysU/edit?usp=sharing"",""สบก!BL86"")"),0.0)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IFERROR(__xludf.DUMMYFUNCTION("IMPORTRANGE(""https://docs.google.com/spreadsheets/d/1IYY_tgx_IHuhSq3AJ5eI5OnqOPBNLWSHKh2a30DoXe8/edit?usp=sharing"",""ปัตตานี!I74"")"),4.0)</f>
        <v>4</v>
      </c>
      <c r="J149" s="309">
        <f>IFERROR(__xludf.DUMMYFUNCTION("IMPORTRANGE(""https://docs.google.com/spreadsheets/d/1IYY_tgx_IHuhSq3AJ5eI5OnqOPBNLWSHKh2a30DoXe8/edit?usp=sharing"",""ปัตตานี!J74"")"),1.0)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IFERROR(__xludf.DUMMYFUNCTION("IMPORTRANGE(""https://docs.google.com/spreadsheets/d/1IYY_tgx_IHuhSq3AJ5eI5OnqOPBNLWSHKh2a30DoXe8/edit?usp=sharing"",""ปัตตานี!J79"")"),0.0)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IFERROR(__xludf.DUMMYFUNCTION("IMPORTRANGE(""https://docs.google.com/spreadsheets/d/1IYY_tgx_IHuhSq3AJ5eI5OnqOPBNLWSHKh2a30DoXe8/edit?usp=sharing"",""ปัตตานี!J80"")"),1.0)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IFERROR(__xludf.DUMMYFUNCTION("IMPORTRANGE(""https://docs.google.com/spreadsheets/d/1IYY_tgx_IHuhSq3AJ5eI5OnqOPBNLWSHKh2a30DoXe8/edit?usp=sharing"",""ปัตตานี!J81"")"),1.0)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IFERROR(__xludf.DUMMYFUNCTION("IMPORTRANGE(""https://docs.google.com/spreadsheets/d/1IYY_tgx_IHuhSq3AJ5eI5OnqOPBNLWSHKh2a30DoXe8/edit?usp=sharing"",""ปัตตานี!J82"")"),1.0)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IFERROR(__xludf.DUMMYFUNCTION("IMPORTRANGE(""https://docs.google.com/spreadsheets/d/1IYY_tgx_IHuhSq3AJ5eI5OnqOPBNLWSHKh2a30DoXe8/edit?usp=sharing"",""ปัตตานี!I83"")"),4.0)</f>
        <v>4</v>
      </c>
      <c r="J158" s="223">
        <f>IFERROR(__xludf.DUMMYFUNCTION("IMPORTRANGE(""https://docs.google.com/spreadsheets/d/1IYY_tgx_IHuhSq3AJ5eI5OnqOPBNLWSHKh2a30DoXe8/edit?usp=sharing"",""ปัตตานี!J83"")"),1.0)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IFERROR(__xludf.DUMMYFUNCTION("IMPORTRANGE(""https://docs.google.com/spreadsheets/d/1IYY_tgx_IHuhSq3AJ5eI5OnqOPBNLWSHKh2a30DoXe8/edit?usp=sharing"",""ปัตตานี!J84"")"),0.0)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 t="str">
        <f>IFERROR(__xludf.DUMMYFUNCTION("IMPORTRANGE(""https://docs.google.com/spreadsheets/d/1IYY_tgx_IHuhSq3AJ5eI5OnqOPBNLWSHKh2a30DoXe8/edit?usp=sharing"",""ปัตตานี!J85"")"),"")</f>
        <v/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IFERROR(__xludf.DUMMYFUNCTION("IMPORTRANGE(""https://docs.google.com/spreadsheets/d/1IYY_tgx_IHuhSq3AJ5eI5OnqOPBNLWSHKh2a30DoXe8/edit?usp=sharing"",""ปัตตานี!J86"")"),0.0)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IFERROR(__xludf.DUMMYFUNCTION("IMPORTRANGE(""https://docs.google.com/spreadsheets/d/1IYY_tgx_IHuhSq3AJ5eI5OnqOPBNLWSHKh2a30DoXe8/edit?usp=sharing"",""ปัตตานี!J87"")"),0.0)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IFERROR(__xludf.DUMMYFUNCTION("IMPORTRANGE(""https://docs.google.com/spreadsheets/d/1IYY_tgx_IHuhSq3AJ5eI5OnqOPBNLWSHKh2a30DoXe8/edit?usp=sharing"",""ปัตตานี!J88"")"),0.0)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IFERROR(__xludf.DUMMYFUNCTION("IMPORTRANGE(""https://docs.google.com/spreadsheets/d/1IYY_tgx_IHuhSq3AJ5eI5OnqOPBNLWSHKh2a30DoXe8/edit?usp=sharing"",""ปัตตานี!I89"")"),2.0)</f>
        <v>2</v>
      </c>
      <c r="J164" s="317">
        <f>IFERROR(__xludf.DUMMYFUNCTION("IMPORTRANGE(""https://docs.google.com/spreadsheets/d/1IYY_tgx_IHuhSq3AJ5eI5OnqOPBNLWSHKh2a30DoXe8/edit?usp=sharing"",""ปัตตานี!J89"")"),0.0)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IFERROR(__xludf.DUMMYFUNCTION("IMPORTRANGE(""https://docs.google.com/spreadsheets/d/1IYY_tgx_IHuhSq3AJ5eI5OnqOPBNLWSHKh2a30DoXe8/edit?usp=sharing"",""ปัตตานี!J94"")"),1.0)</f>
        <v>1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IFERROR(__xludf.DUMMYFUNCTION("IMPORTRANGE(""https://docs.google.com/spreadsheets/d/1IYY_tgx_IHuhSq3AJ5eI5OnqOPBNLWSHKh2a30DoXe8/edit?usp=sharing"",""ปัตตานี!J95"")"),0.0)</f>
        <v>0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IFERROR(__xludf.DUMMYFUNCTION("IMPORTRANGE(""https://docs.google.com/spreadsheets/d/1IYY_tgx_IHuhSq3AJ5eI5OnqOPBNLWSHKh2a30DoXe8/edit?usp=sharing"",""ปัตตานี!J96"")"),0.0)</f>
        <v>0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IFERROR(__xludf.DUMMYFUNCTION("IMPORTRANGE(""https://docs.google.com/spreadsheets/d/1IYY_tgx_IHuhSq3AJ5eI5OnqOPBNLWSHKh2a30DoXe8/edit?usp=sharing"",""ปัตตานี!J97"")"),0.0)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IFERROR(__xludf.DUMMYFUNCTION("IMPORTRANGE(""https://docs.google.com/spreadsheets/d/1IYY_tgx_IHuhSq3AJ5eI5OnqOPBNLWSHKh2a30DoXe8/edit?usp=sharing"",""ปัตตานี!I98"")"),2.0)</f>
        <v>2</v>
      </c>
      <c r="J173" s="223">
        <f>IFERROR(__xludf.DUMMYFUNCTION("IMPORTRANGE(""https://docs.google.com/spreadsheets/d/1IYY_tgx_IHuhSq3AJ5eI5OnqOPBNLWSHKh2a30DoXe8/edit?usp=sharing"",""ปัตตานี!J98"")"),0.0)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IFERROR(__xludf.DUMMYFUNCTION("IMPORTRANGE(""https://docs.google.com/spreadsheets/d/1IYY_tgx_IHuhSq3AJ5eI5OnqOPBNLWSHKh2a30DoXe8/edit?usp=sharing"",""ปัตตานี!J99"")"),0.0)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IFERROR(__xludf.DUMMYFUNCTION("IMPORTRANGE(""https://docs.google.com/spreadsheets/d/1IYY_tgx_IHuhSq3AJ5eI5OnqOPBNLWSHKh2a30DoXe8/edit?usp=sharing"",""ปัตตานี!J100"")"),0.0)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IFERROR(__xludf.DUMMYFUNCTION("IMPORTRANGE(""https://docs.google.com/spreadsheets/d/1IYY_tgx_IHuhSq3AJ5eI5OnqOPBNLWSHKh2a30DoXe8/edit?usp=sharing"",""ปัตตานี!I101"")"),0.0)</f>
        <v>0</v>
      </c>
      <c r="J176" s="317">
        <f>IFERROR(__xludf.DUMMYFUNCTION("IMPORTRANGE(""https://docs.google.com/spreadsheets/d/1IYY_tgx_IHuhSq3AJ5eI5OnqOPBNLWSHKh2a30DoXe8/edit?usp=sharing"",""ปัตตานี!J101"")"),0.0)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IFERROR(__xludf.DUMMYFUNCTION("IMPORTRANGE(""https://docs.google.com/spreadsheets/d/1IYY_tgx_IHuhSq3AJ5eI5OnqOPBNLWSHKh2a30DoXe8/edit?usp=sharing"",""ปัตตานี!J106"")"),0.0)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IFERROR(__xludf.DUMMYFUNCTION("IMPORTRANGE(""https://docs.google.com/spreadsheets/d/1IYY_tgx_IHuhSq3AJ5eI5OnqOPBNLWSHKh2a30DoXe8/edit?usp=sharing"",""ปัตตานี!J107"")"),0.0)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IFERROR(__xludf.DUMMYFUNCTION("IMPORTRANGE(""https://docs.google.com/spreadsheets/d/1IYY_tgx_IHuhSq3AJ5eI5OnqOPBNLWSHKh2a30DoXe8/edit?usp=sharing"",""ปัตตานี!J108"")"),0.0)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IFERROR(__xludf.DUMMYFUNCTION("IMPORTRANGE(""https://docs.google.com/spreadsheets/d/1IYY_tgx_IHuhSq3AJ5eI5OnqOPBNLWSHKh2a30DoXe8/edit?usp=sharing"",""ปัตตานี!J109"")"),0.0)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IFERROR(__xludf.DUMMYFUNCTION("IMPORTRANGE(""https://docs.google.com/spreadsheets/d/1IYY_tgx_IHuhSq3AJ5eI5OnqOPBNLWSHKh2a30DoXe8/edit?usp=sharing"",""ปัตตานี!I110"")"),0.0)</f>
        <v>0</v>
      </c>
      <c r="J185" s="238">
        <f>IFERROR(__xludf.DUMMYFUNCTION("IMPORTRANGE(""https://docs.google.com/spreadsheets/d/1IYY_tgx_IHuhSq3AJ5eI5OnqOPBNLWSHKh2a30DoXe8/edit?usp=sharing"",""ปัตตานี!J110"")"),0.0)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IFERROR(__xludf.DUMMYFUNCTION("IMPORTRANGE(""https://docs.google.com/spreadsheets/d/1IYY_tgx_IHuhSq3AJ5eI5OnqOPBNLWSHKh2a30DoXe8/edit?usp=sharing"",""ปัตตานี!I111"")"),0.0)</f>
        <v>0</v>
      </c>
      <c r="J186" s="238">
        <f>IFERROR(__xludf.DUMMYFUNCTION("IMPORTRANGE(""https://docs.google.com/spreadsheets/d/1IYY_tgx_IHuhSq3AJ5eI5OnqOPBNLWSHKh2a30DoXe8/edit?usp=sharing"",""ปัตตานี!J111"")"),0.0)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IFERROR(__xludf.DUMMYFUNCTION("IMPORTRANGE(""https://docs.google.com/spreadsheets/d/1IYY_tgx_IHuhSq3AJ5eI5OnqOPBNLWSHKh2a30DoXe8/edit?usp=sharing"",""ปัตตานี!J112"")"),0.0)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IFERROR(__xludf.DUMMYFUNCTION("IMPORTRANGE(""https://docs.google.com/spreadsheets/d/1IYY_tgx_IHuhSq3AJ5eI5OnqOPBNLWSHKh2a30DoXe8/edit?usp=sharing"",""ปัตตานี!J113"")"),0.0)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IFERROR(__xludf.DUMMYFUNCTION("IMPORTRANGE(""https://docs.google.com/spreadsheets/d/1IYY_tgx_IHuhSq3AJ5eI5OnqOPBNLWSHKh2a30DoXe8/edit?usp=sharing"",""ปัตตานี!I114"")"),12800.0)</f>
        <v>12800</v>
      </c>
      <c r="J189" s="317">
        <f>IFERROR(__xludf.DUMMYFUNCTION("IMPORTRANGE(""https://docs.google.com/spreadsheets/d/1IYY_tgx_IHuhSq3AJ5eI5OnqOPBNLWSHKh2a30DoXe8/edit?usp=sharing"",""ปัตตานี!J114"")"),0.0)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IFERROR(__xludf.DUMMYFUNCTION("IMPORTRANGE(""https://docs.google.com/spreadsheets/d/1IYY_tgx_IHuhSq3AJ5eI5OnqOPBNLWSHKh2a30DoXe8/edit?usp=sharing"",""ปัตตานี!J119"")"),0.0)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IFERROR(__xludf.DUMMYFUNCTION("IMPORTRANGE(""https://docs.google.com/spreadsheets/d/1IYY_tgx_IHuhSq3AJ5eI5OnqOPBNLWSHKh2a30DoXe8/edit?usp=sharing"",""ปัตตานี!J120"")"),1.0)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IFERROR(__xludf.DUMMYFUNCTION("IMPORTRANGE(""https://docs.google.com/spreadsheets/d/1IYY_tgx_IHuhSq3AJ5eI5OnqOPBNLWSHKh2a30DoXe8/edit?usp=sharing"",""ปัตตานี!J121"")"),1.0)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IFERROR(__xludf.DUMMYFUNCTION("IMPORTRANGE(""https://docs.google.com/spreadsheets/d/1IYY_tgx_IHuhSq3AJ5eI5OnqOPBNLWSHKh2a30DoXe8/edit?usp=sharing"",""ปัตตานี!J122"")"),1.0)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IFERROR(__xludf.DUMMYFUNCTION("IMPORTRANGE(""https://docs.google.com/spreadsheets/d/1IYY_tgx_IHuhSq3AJ5eI5OnqOPBNLWSHKh2a30DoXe8/edit?usp=sharing"",""ปัตตานี!I124"")"),12800.0)</f>
        <v>12800</v>
      </c>
      <c r="J199" s="223">
        <f>IFERROR(__xludf.DUMMYFUNCTION("IMPORTRANGE(""https://docs.google.com/spreadsheets/d/1IYY_tgx_IHuhSq3AJ5eI5OnqOPBNLWSHKh2a30DoXe8/edit?usp=sharing"",""ปัตตานี!J124"")"),0.0)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IFERROR(__xludf.DUMMYFUNCTION("IMPORTRANGE(""https://docs.google.com/spreadsheets/d/1IYY_tgx_IHuhSq3AJ5eI5OnqOPBNLWSHKh2a30DoXe8/edit?usp=sharing"",""ปัตตานี!I125"")"),12800.0)</f>
        <v>12800</v>
      </c>
      <c r="J200" s="223">
        <f>IFERROR(__xludf.DUMMYFUNCTION("IMPORTRANGE(""https://docs.google.com/spreadsheets/d/1IYY_tgx_IHuhSq3AJ5eI5OnqOPBNLWSHKh2a30DoXe8/edit?usp=sharing"",""ปัตตานี!J125"")"),0.0)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IFERROR(__xludf.DUMMYFUNCTION("IMPORTRANGE(""https://docs.google.com/spreadsheets/d/1IYY_tgx_IHuhSq3AJ5eI5OnqOPBNLWSHKh2a30DoXe8/edit?usp=sharing"",""ปัตตานี!I126"")"),15.0)</f>
        <v>15</v>
      </c>
      <c r="J201" s="223">
        <f>IFERROR(__xludf.DUMMYFUNCTION("IMPORTRANGE(""https://docs.google.com/spreadsheets/d/1IYY_tgx_IHuhSq3AJ5eI5OnqOPBNLWSHKh2a30DoXe8/edit?usp=sharing"",""ปัตตานี!J126"")"),15.0)</f>
        <v>15</v>
      </c>
      <c r="K201" s="196">
        <f t="shared" si="71"/>
        <v>100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IFERROR(__xludf.DUMMYFUNCTION("IMPORTRANGE(""https://docs.google.com/spreadsheets/d/1IYY_tgx_IHuhSq3AJ5eI5OnqOPBNLWSHKh2a30DoXe8/edit?usp=sharing"",""ปัตตานี!J127"")"),0.0)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IFERROR(__xludf.DUMMYFUNCTION("IMPORTRANGE(""https://docs.google.com/spreadsheets/d/1IYY_tgx_IHuhSq3AJ5eI5OnqOPBNLWSHKh2a30DoXe8/edit?usp=sharing"",""ปัตตานี!J128"")"),0.0)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IFERROR(__xludf.DUMMYFUNCTION("IMPORTRANGE(""https://docs.google.com/spreadsheets/d/1IYY_tgx_IHuhSq3AJ5eI5OnqOPBNLWSHKh2a30DoXe8/edit?usp=sharing"",""ปัตตานี!I129"")"),0.0)</f>
        <v>0</v>
      </c>
      <c r="J204" s="317">
        <f>IFERROR(__xludf.DUMMYFUNCTION("IMPORTRANGE(""https://docs.google.com/spreadsheets/d/1IYY_tgx_IHuhSq3AJ5eI5OnqOPBNLWSHKh2a30DoXe8/edit?usp=sharing"",""ปัตตานี!J129"")"),0.0)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IFERROR(__xludf.DUMMYFUNCTION("IMPORTRANGE(""https://docs.google.com/spreadsheets/d/1IYY_tgx_IHuhSq3AJ5eI5OnqOPBNLWSHKh2a30DoXe8/edit?usp=sharing"",""ปัตตานี!J134"")"),0.0)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IFERROR(__xludf.DUMMYFUNCTION("IMPORTRANGE(""https://docs.google.com/spreadsheets/d/1IYY_tgx_IHuhSq3AJ5eI5OnqOPBNLWSHKh2a30DoXe8/edit?usp=sharing"",""ปัตตานี!J135"")"),0.0)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IFERROR(__xludf.DUMMYFUNCTION("IMPORTRANGE(""https://docs.google.com/spreadsheets/d/1IYY_tgx_IHuhSq3AJ5eI5OnqOPBNLWSHKh2a30DoXe8/edit?usp=sharing"",""ปัตตานี!J136"")"),0.0)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IFERROR(__xludf.DUMMYFUNCTION("IMPORTRANGE(""https://docs.google.com/spreadsheets/d/1IYY_tgx_IHuhSq3AJ5eI5OnqOPBNLWSHKh2a30DoXe8/edit?usp=sharing"",""ปัตตานี!J137"")"),0.0)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IFERROR(__xludf.DUMMYFUNCTION("IMPORTRANGE(""https://docs.google.com/spreadsheets/d/1IYY_tgx_IHuhSq3AJ5eI5OnqOPBNLWSHKh2a30DoXe8/edit?usp=sharing"",""ปัตตานี!I138"")"),0.0)</f>
        <v>0</v>
      </c>
      <c r="J213" s="238">
        <f>IFERROR(__xludf.DUMMYFUNCTION("IMPORTRANGE(""https://docs.google.com/spreadsheets/d/1IYY_tgx_IHuhSq3AJ5eI5OnqOPBNLWSHKh2a30DoXe8/edit?usp=sharing"",""ปัตตานี!J138"")"),0.0)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IFERROR(__xludf.DUMMYFUNCTION("IMPORTRANGE(""https://docs.google.com/spreadsheets/d/1IYY_tgx_IHuhSq3AJ5eI5OnqOPBNLWSHKh2a30DoXe8/edit?usp=sharing"",""ปัตตานี!I140"")"),0.0)</f>
        <v>0</v>
      </c>
      <c r="J215" s="238">
        <f>IFERROR(__xludf.DUMMYFUNCTION("IMPORTRANGE(""https://docs.google.com/spreadsheets/d/1IYY_tgx_IHuhSq3AJ5eI5OnqOPBNLWSHKh2a30DoXe8/edit?usp=sharing"",""ปัตตานี!J140"")"),0.0)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IFERROR(__xludf.DUMMYFUNCTION("IMPORTRANGE(""https://docs.google.com/spreadsheets/d/1IYY_tgx_IHuhSq3AJ5eI5OnqOPBNLWSHKh2a30DoXe8/edit?usp=sharing"",""ปัตตานี!I141"")"),0.0)</f>
        <v>0</v>
      </c>
      <c r="J216" s="238">
        <f>IFERROR(__xludf.DUMMYFUNCTION("IMPORTRANGE(""https://docs.google.com/spreadsheets/d/1IYY_tgx_IHuhSq3AJ5eI5OnqOPBNLWSHKh2a30DoXe8/edit?usp=sharing"",""ปัตตานี!J141"")"),0.0)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IFERROR(__xludf.DUMMYFUNCTION("IMPORTRANGE(""https://docs.google.com/spreadsheets/d/1IYY_tgx_IHuhSq3AJ5eI5OnqOPBNLWSHKh2a30DoXe8/edit?usp=sharing"",""ปัตตานี!J142"")"),0.0)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IFERROR(__xludf.DUMMYFUNCTION("IMPORTRANGE(""https://docs.google.com/spreadsheets/d/1IYY_tgx_IHuhSq3AJ5eI5OnqOPBNLWSHKh2a30DoXe8/edit?usp=sharing"",""ปัตตานี!J143"")"),0.0)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IFERROR(__xludf.DUMMYFUNCTION("IMPORTRANGE(""https://docs.google.com/spreadsheets/d/1IYY_tgx_IHuhSq3AJ5eI5OnqOPBNLWSHKh2a30DoXe8/edit?usp=sharing"",""ปัตตานี!I144"")"),15.0)</f>
        <v>15</v>
      </c>
      <c r="J219" s="301">
        <f>IFERROR(__xludf.DUMMYFUNCTION("IMPORTRANGE(""https://docs.google.com/spreadsheets/d/1IYY_tgx_IHuhSq3AJ5eI5OnqOPBNLWSHKh2a30DoXe8/edit?usp=sharing"",""ปัตตานี!J144"")"),15.0)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IFERROR(__xludf.DUMMYFUNCTION("IMPORTRANGE(""https://docs.google.com/spreadsheets/d/1Yj_ptqi66GCucihVvJfMjLAmec39IyEx_6qawtMGysU/edit?usp=sharing"",""สบก!BS86"")"),21125.0)</f>
        <v>21125</v>
      </c>
      <c r="N224" s="202">
        <f>IFERROR(__xludf.DUMMYFUNCTION("IMPORTRANGE(""https://docs.google.com/spreadsheets/d/1Yj_ptqi66GCucihVvJfMjLAmec39IyEx_6qawtMGysU/edit?usp=sharing"",""สบก!BT86"")"),21125.0)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IFERROR(__xludf.DUMMYFUNCTION("IMPORTRANGE(""https://docs.google.com/spreadsheets/d/1Yj_ptqi66GCucihVvJfMjLAmec39IyEx_6qawtMGysU/edit?usp=sharing"",""สบก!BO86"")"),0.0)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IFERROR(__xludf.DUMMYFUNCTION("IMPORTRANGE(""https://docs.google.com/spreadsheets/d/1Yj_ptqi66GCucihVvJfMjLAmec39IyEx_6qawtMGysU/edit?usp=sharing"",""สบก!BP86"")"),21125.0)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IFERROR(__xludf.DUMMYFUNCTION("IMPORTRANGE(""https://docs.google.com/spreadsheets/d/1Yj_ptqi66GCucihVvJfMjLAmec39IyEx_6qawtMGysU/edit?usp=sharing"",""สบก!BQ86"")"),0.0)</f>
        <v>0</v>
      </c>
      <c r="M228" s="125"/>
      <c r="N228" s="115">
        <f>IFERROR(__xludf.DUMMYFUNCTION("IMPORTRANGE(""https://docs.google.com/spreadsheets/d/1Yj_ptqi66GCucihVvJfMjLAmec39IyEx_6qawtMGysU/edit?usp=sharing"",""สบก!BU86"")"),0.0)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IFERROR(__xludf.DUMMYFUNCTION("IMPORTRANGE(""https://docs.google.com/spreadsheets/d/1IYY_tgx_IHuhSq3AJ5eI5OnqOPBNLWSHKh2a30DoXe8/edit?usp=sharing"",""ปัตตานี!I149"")"),15.0)</f>
        <v>15</v>
      </c>
      <c r="J229" s="301">
        <f>IFERROR(__xludf.DUMMYFUNCTION("IMPORTRANGE(""https://docs.google.com/spreadsheets/d/1IYY_tgx_IHuhSq3AJ5eI5OnqOPBNLWSHKh2a30DoXe8/edit?usp=sharing"",""ปัตตานี!J149"")"),15.0)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IFERROR(__xludf.DUMMYFUNCTION("IMPORTRANGE(""https://docs.google.com/spreadsheets/d/1IYY_tgx_IHuhSq3AJ5eI5OnqOPBNLWSHKh2a30DoXe8/edit?usp=sharing"",""ปัตตานี!J151"")"),0.0)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IFERROR(__xludf.DUMMYFUNCTION("IMPORTRANGE(""https://docs.google.com/spreadsheets/d/1IYY_tgx_IHuhSq3AJ5eI5OnqOPBNLWSHKh2a30DoXe8/edit?usp=sharing"",""ปัตตานี!J152"")"),1.0)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IFERROR(__xludf.DUMMYFUNCTION("IMPORTRANGE(""https://docs.google.com/spreadsheets/d/1IYY_tgx_IHuhSq3AJ5eI5OnqOPBNLWSHKh2a30DoXe8/edit?usp=sharing"",""ปัตตานี!J153"")"),1.0)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IFERROR(__xludf.DUMMYFUNCTION("IMPORTRANGE(""https://docs.google.com/spreadsheets/d/1IYY_tgx_IHuhSq3AJ5eI5OnqOPBNLWSHKh2a30DoXe8/edit?usp=sharing"",""ปัตตานี!J154"")"),1.0)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IFERROR(__xludf.DUMMYFUNCTION("IMPORTRANGE(""https://docs.google.com/spreadsheets/d/1IYY_tgx_IHuhSq3AJ5eI5OnqOPBNLWSHKh2a30DoXe8/edit?usp=sharing"",""ปัตตานี!I155"")"),15.0)</f>
        <v>15</v>
      </c>
      <c r="J235" s="223">
        <f>IFERROR(__xludf.DUMMYFUNCTION("IMPORTRANGE(""https://docs.google.com/spreadsheets/d/1IYY_tgx_IHuhSq3AJ5eI5OnqOPBNLWSHKh2a30DoXe8/edit?usp=sharing"",""ปัตตานี!J155"")"),15.0)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IFERROR(__xludf.DUMMYFUNCTION("IMPORTRANGE(""https://docs.google.com/spreadsheets/d/1IYY_tgx_IHuhSq3AJ5eI5OnqOPBNLWSHKh2a30DoXe8/edit?usp=sharing"",""ปัตตานี!J156"")"),0.0)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IFERROR(__xludf.DUMMYFUNCTION("IMPORTRANGE(""https://docs.google.com/spreadsheets/d/1IYY_tgx_IHuhSq3AJ5eI5OnqOPBNLWSHKh2a30DoXe8/edit?usp=sharing"",""ปัตตานี!J157"")"),0.0)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IFERROR(__xludf.DUMMYFUNCTION("IMPORTRANGE(""https://docs.google.com/spreadsheets/d/1IYY_tgx_IHuhSq3AJ5eI5OnqOPBNLWSHKh2a30DoXe8/edit?usp=sharing"",""ปัตตานี!I158"")"),0.0)</f>
        <v>0</v>
      </c>
      <c r="J238" s="301">
        <f>IFERROR(__xludf.DUMMYFUNCTION("IMPORTRANGE(""https://docs.google.com/spreadsheets/d/1IYY_tgx_IHuhSq3AJ5eI5OnqOPBNLWSHKh2a30DoXe8/edit?usp=sharing"",""ปัตตานี!J158"")"),0.0)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IFERROR(__xludf.DUMMYFUNCTION("IMPORTRANGE(""https://docs.google.com/spreadsheets/d/1IYY_tgx_IHuhSq3AJ5eI5OnqOPBNLWSHKh2a30DoXe8/edit?usp=sharing"",""ปัตตานี!J159"")"),"")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IFERROR(__xludf.DUMMYFUNCTION("IMPORTRANGE(""https://docs.google.com/spreadsheets/d/1IYY_tgx_IHuhSq3AJ5eI5OnqOPBNLWSHKh2a30DoXe8/edit?usp=sharing"",""ปัตตานี!J161"")"),0.0)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IFERROR(__xludf.DUMMYFUNCTION("IMPORTRANGE(""https://docs.google.com/spreadsheets/d/1IYY_tgx_IHuhSq3AJ5eI5OnqOPBNLWSHKh2a30DoXe8/edit?usp=sharing"",""ปัตตานี!J162"")"),0.0)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IFERROR(__xludf.DUMMYFUNCTION("IMPORTRANGE(""https://docs.google.com/spreadsheets/d/1IYY_tgx_IHuhSq3AJ5eI5OnqOPBNLWSHKh2a30DoXe8/edit?usp=sharing"",""ปัตตานี!J163"")"),0.0)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IFERROR(__xludf.DUMMYFUNCTION("IMPORTRANGE(""https://docs.google.com/spreadsheets/d/1IYY_tgx_IHuhSq3AJ5eI5OnqOPBNLWSHKh2a30DoXe8/edit?usp=sharing"",""ปัตตานี!I164"")"),0.0)</f>
        <v>0</v>
      </c>
      <c r="J244" s="222">
        <f>IFERROR(__xludf.DUMMYFUNCTION("IMPORTRANGE(""https://docs.google.com/spreadsheets/d/1IYY_tgx_IHuhSq3AJ5eI5OnqOPBNLWSHKh2a30DoXe8/edit?usp=sharing"",""ปัตตานี!J164"")"),0.0)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IFERROR(__xludf.DUMMYFUNCTION("IMPORTRANGE(""https://docs.google.com/spreadsheets/d/1IYY_tgx_IHuhSq3AJ5eI5OnqOPBNLWSHKh2a30DoXe8/edit?usp=sharing"",""ปัตตานี!J165"")"),0.0)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IFERROR(__xludf.DUMMYFUNCTION("IMPORTRANGE(""https://docs.google.com/spreadsheets/d/1IYY_tgx_IHuhSq3AJ5eI5OnqOPBNLWSHKh2a30DoXe8/edit?usp=sharing"",""ปัตตานี!J166"")"),0.0)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IFERROR(__xludf.DUMMYFUNCTION("IMPORTRANGE(""https://docs.google.com/spreadsheets/d/1IYY_tgx_IHuhSq3AJ5eI5OnqOPBNLWSHKh2a30DoXe8/edit?usp=sharing"",""ปัตตานี!I169"")"),0.0)</f>
        <v>0</v>
      </c>
      <c r="J249" s="349">
        <f>IFERROR(__xludf.DUMMYFUNCTION("IMPORTRANGE(""https://docs.google.com/spreadsheets/d/1IYY_tgx_IHuhSq3AJ5eI5OnqOPBNLWSHKh2a30DoXe8/edit?usp=sharing"",""ปัตตานี!J169"")"),0.0)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IFERROR(__xludf.DUMMYFUNCTION("IMPORTRANGE(""https://docs.google.com/spreadsheets/d/1Yj_ptqi66GCucihVvJfMjLAmec39IyEx_6qawtMGysU/edit?usp=sharing"",""สบก!CB86"")"),0.0)</f>
        <v>0</v>
      </c>
      <c r="N254" s="202">
        <f>IFERROR(__xludf.DUMMYFUNCTION("IMPORTRANGE(""https://docs.google.com/spreadsheets/d/1Yj_ptqi66GCucihVvJfMjLAmec39IyEx_6qawtMGysU/edit?usp=sharing"",""สบก!CC86"")"),0.0)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IFERROR(__xludf.DUMMYFUNCTION("IMPORTRANGE(""https://docs.google.com/spreadsheets/d/1Yj_ptqi66GCucihVvJfMjLAmec39IyEx_6qawtMGysU/edit?usp=sharing"",""สบก!BX86"")"),0.0)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IFERROR(__xludf.DUMMYFUNCTION("IMPORTRANGE(""https://docs.google.com/spreadsheets/d/1Yj_ptqi66GCucihVvJfMjLAmec39IyEx_6qawtMGysU/edit?usp=sharing"",""สบก!BY86"")"),0.0)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IFERROR(__xludf.DUMMYFUNCTION("IMPORTRANGE(""https://docs.google.com/spreadsheets/d/1Yj_ptqi66GCucihVvJfMjLAmec39IyEx_6qawtMGysU/edit?usp=sharing"",""สบก!BZ86"")"),0.0)</f>
        <v>0</v>
      </c>
      <c r="M258" s="125"/>
      <c r="N258" s="115">
        <f>IFERROR(__xludf.DUMMYFUNCTION("IMPORTRANGE(""https://docs.google.com/spreadsheets/d/1Yj_ptqi66GCucihVvJfMjLAmec39IyEx_6qawtMGysU/edit?usp=sharing"",""สบก!CD86"")"),0.0)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IFERROR(__xludf.DUMMYFUNCTION("IMPORTRANGE(""https://docs.google.com/spreadsheets/d/1IYY_tgx_IHuhSq3AJ5eI5OnqOPBNLWSHKh2a30DoXe8/edit?usp=sharing"",""ปัตตานี!J175"")"),0.0)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IFERROR(__xludf.DUMMYFUNCTION("IMPORTRANGE(""https://docs.google.com/spreadsheets/d/1IYY_tgx_IHuhSq3AJ5eI5OnqOPBNLWSHKh2a30DoXe8/edit?usp=sharing"",""ปัตตานี!J176"")"),0.0)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IFERROR(__xludf.DUMMYFUNCTION("IMPORTRANGE(""https://docs.google.com/spreadsheets/d/1IYY_tgx_IHuhSq3AJ5eI5OnqOPBNLWSHKh2a30DoXe8/edit?usp=sharing"",""ปัตตานี!J177"")"),0.0)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IFERROR(__xludf.DUMMYFUNCTION("IMPORTRANGE(""https://docs.google.com/spreadsheets/d/1IYY_tgx_IHuhSq3AJ5eI5OnqOPBNLWSHKh2a30DoXe8/edit?usp=sharing"",""ปัตตานี!J178"")"),0.0)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IFERROR(__xludf.DUMMYFUNCTION("IMPORTRANGE(""https://docs.google.com/spreadsheets/d/1IYY_tgx_IHuhSq3AJ5eI5OnqOPBNLWSHKh2a30DoXe8/edit?usp=sharing"",""ปัตตานี!I179"")"),0.0)</f>
        <v>0</v>
      </c>
      <c r="J264" s="223">
        <f>IFERROR(__xludf.DUMMYFUNCTION("IMPORTRANGE(""https://docs.google.com/spreadsheets/d/1IYY_tgx_IHuhSq3AJ5eI5OnqOPBNLWSHKh2a30DoXe8/edit?usp=sharing"",""ปัตตานี!J179"")"),0.0)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IFERROR(__xludf.DUMMYFUNCTION("IMPORTRANGE(""https://docs.google.com/spreadsheets/d/1IYY_tgx_IHuhSq3AJ5eI5OnqOPBNLWSHKh2a30DoXe8/edit?usp=sharing"",""ปัตตานี!I180"")"),0.0)</f>
        <v>0</v>
      </c>
      <c r="J265" s="223">
        <f>IFERROR(__xludf.DUMMYFUNCTION("IMPORTRANGE(""https://docs.google.com/spreadsheets/d/1IYY_tgx_IHuhSq3AJ5eI5OnqOPBNLWSHKh2a30DoXe8/edit?usp=sharing"",""ปัตตานี!J180"")"),0.0)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IFERROR(__xludf.DUMMYFUNCTION("IMPORTRANGE(""https://docs.google.com/spreadsheets/d/1IYY_tgx_IHuhSq3AJ5eI5OnqOPBNLWSHKh2a30DoXe8/edit?usp=sharing"",""ปัตตานี!I181"")"),0.0)</f>
        <v>0</v>
      </c>
      <c r="J266" s="223">
        <f>IFERROR(__xludf.DUMMYFUNCTION("IMPORTRANGE(""https://docs.google.com/spreadsheets/d/1IYY_tgx_IHuhSq3AJ5eI5OnqOPBNLWSHKh2a30DoXe8/edit?usp=sharing"",""ปัตตานี!J181"")"),0.0)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IFERROR(__xludf.DUMMYFUNCTION("IMPORTRANGE(""https://docs.google.com/spreadsheets/d/1IYY_tgx_IHuhSq3AJ5eI5OnqOPBNLWSHKh2a30DoXe8/edit?usp=sharing"",""ปัตตานี!I182"")"),0.0)</f>
        <v>0</v>
      </c>
      <c r="J267" s="223">
        <f>IFERROR(__xludf.DUMMYFUNCTION("IMPORTRANGE(""https://docs.google.com/spreadsheets/d/1IYY_tgx_IHuhSq3AJ5eI5OnqOPBNLWSHKh2a30DoXe8/edit?usp=sharing"",""ปัตตานี!J182"")"),0.0)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IFERROR(__xludf.DUMMYFUNCTION("IMPORTRANGE(""https://docs.google.com/spreadsheets/d/1IYY_tgx_IHuhSq3AJ5eI5OnqOPBNLWSHKh2a30DoXe8/edit?usp=sharing"",""ปัตตานี!J183"")"),0.0)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IFERROR(__xludf.DUMMYFUNCTION("IMPORTRANGE(""https://docs.google.com/spreadsheets/d/1IYY_tgx_IHuhSq3AJ5eI5OnqOPBNLWSHKh2a30DoXe8/edit?usp=sharing"",""ปัตตานี!J184"")"),0.0)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IFERROR(__xludf.DUMMYFUNCTION("IMPORTRANGE(""https://docs.google.com/spreadsheets/d/1IYY_tgx_IHuhSq3AJ5eI5OnqOPBNLWSHKh2a30DoXe8/edit?usp=sharing"",""ปัตตานี!I185"")"),0.0)</f>
        <v>0</v>
      </c>
      <c r="J270" s="349">
        <f>IFERROR(__xludf.DUMMYFUNCTION("IMPORTRANGE(""https://docs.google.com/spreadsheets/d/1IYY_tgx_IHuhSq3AJ5eI5OnqOPBNLWSHKh2a30DoXe8/edit?usp=sharing"",""ปัตตานี!J185"")"),0.0)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IFERROR(__xludf.DUMMYFUNCTION("IMPORTRANGE(""https://docs.google.com/spreadsheets/d/1Yj_ptqi66GCucihVvJfMjLAmec39IyEx_6qawtMGysU/edit?usp=sharing"",""สบก!CK86"")"),0.0)</f>
        <v>0</v>
      </c>
      <c r="N275" s="202">
        <f>IFERROR(__xludf.DUMMYFUNCTION("IMPORTRANGE(""https://docs.google.com/spreadsheets/d/1Yj_ptqi66GCucihVvJfMjLAmec39IyEx_6qawtMGysU/edit?usp=sharing"",""สบก!CL86"")"),0.0)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IFERROR(__xludf.DUMMYFUNCTION("IMPORTRANGE(""https://docs.google.com/spreadsheets/d/1Yj_ptqi66GCucihVvJfMjLAmec39IyEx_6qawtMGysU/edit?usp=sharing"",""สบก!CG86"")"),0.0)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IFERROR(__xludf.DUMMYFUNCTION("IMPORTRANGE(""https://docs.google.com/spreadsheets/d/1Yj_ptqi66GCucihVvJfMjLAmec39IyEx_6qawtMGysU/edit?usp=sharing"",""สบก!CH86"")"),0.0)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IFERROR(__xludf.DUMMYFUNCTION("IMPORTRANGE(""https://docs.google.com/spreadsheets/d/1Yj_ptqi66GCucihVvJfMjLAmec39IyEx_6qawtMGysU/edit?usp=sharing"",""สบก!CI86"")"),0.0)</f>
        <v>0</v>
      </c>
      <c r="M279" s="125"/>
      <c r="N279" s="115">
        <f>IFERROR(__xludf.DUMMYFUNCTION("IMPORTRANGE(""https://docs.google.com/spreadsheets/d/1Yj_ptqi66GCucihVvJfMjLAmec39IyEx_6qawtMGysU/edit?usp=sharing"",""สบก!CM86"")"),0.0)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IFERROR(__xludf.DUMMYFUNCTION("IMPORTRANGE(""https://docs.google.com/spreadsheets/d/1IYY_tgx_IHuhSq3AJ5eI5OnqOPBNLWSHKh2a30DoXe8/edit?usp=sharing"",""ปัตตานี!J191"")"),0.0)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IFERROR(__xludf.DUMMYFUNCTION("IMPORTRANGE(""https://docs.google.com/spreadsheets/d/1IYY_tgx_IHuhSq3AJ5eI5OnqOPBNLWSHKh2a30DoXe8/edit?usp=sharing"",""ปัตตานี!J192"")"),0.0)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IFERROR(__xludf.DUMMYFUNCTION("IMPORTRANGE(""https://docs.google.com/spreadsheets/d/1IYY_tgx_IHuhSq3AJ5eI5OnqOPBNLWSHKh2a30DoXe8/edit?usp=sharing"",""ปัตตานี!J193"")"),0.0)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IFERROR(__xludf.DUMMYFUNCTION("IMPORTRANGE(""https://docs.google.com/spreadsheets/d/1IYY_tgx_IHuhSq3AJ5eI5OnqOPBNLWSHKh2a30DoXe8/edit?usp=sharing"",""ปัตตานี!J194"")"),0.0)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IFERROR(__xludf.DUMMYFUNCTION("IMPORTRANGE(""https://docs.google.com/spreadsheets/d/1IYY_tgx_IHuhSq3AJ5eI5OnqOPBNLWSHKh2a30DoXe8/edit?usp=sharing"",""ปัตตานี!I195"")"),0.0)</f>
        <v>0</v>
      </c>
      <c r="J285" s="223">
        <f>IFERROR(__xludf.DUMMYFUNCTION("IMPORTRANGE(""https://docs.google.com/spreadsheets/d/1IYY_tgx_IHuhSq3AJ5eI5OnqOPBNLWSHKh2a30DoXe8/edit?usp=sharing"",""ปัตตานี!J195"")"),0.0)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IFERROR(__xludf.DUMMYFUNCTION("IMPORTRANGE(""https://docs.google.com/spreadsheets/d/1IYY_tgx_IHuhSq3AJ5eI5OnqOPBNLWSHKh2a30DoXe8/edit?usp=sharing"",""ปัตตานี!J196"")"),0.0)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IFERROR(__xludf.DUMMYFUNCTION("IMPORTRANGE(""https://docs.google.com/spreadsheets/d/1IYY_tgx_IHuhSq3AJ5eI5OnqOPBNLWSHKh2a30DoXe8/edit?usp=sharing"",""ปัตตานี!J197"")"),0.0)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IFERROR(__xludf.DUMMYFUNCTION("IMPORTRANGE(""https://docs.google.com/spreadsheets/d/1IYY_tgx_IHuhSq3AJ5eI5OnqOPBNLWSHKh2a30DoXe8/edit?usp=sharing"",""ปัตตานี!I199"")"),0.0)</f>
        <v>0</v>
      </c>
      <c r="J289" s="349">
        <f>IFERROR(__xludf.DUMMYFUNCTION("IMPORTRANGE(""https://docs.google.com/spreadsheets/d/1IYY_tgx_IHuhSq3AJ5eI5OnqOPBNLWSHKh2a30DoXe8/edit?usp=sharing"",""ปัตตานี!J199"")"),0.0)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IFERROR(__xludf.DUMMYFUNCTION("IMPORTRANGE(""https://docs.google.com/spreadsheets/d/1Yj_ptqi66GCucihVvJfMjLAmec39IyEx_6qawtMGysU/edit?usp=sharing"",""สบก!CT86"")"),0.0)</f>
        <v>0</v>
      </c>
      <c r="N294" s="202">
        <f>IFERROR(__xludf.DUMMYFUNCTION("IMPORTRANGE(""https://docs.google.com/spreadsheets/d/1Yj_ptqi66GCucihVvJfMjLAmec39IyEx_6qawtMGysU/edit?usp=sharing"",""สบก!CU86"")"),0.0)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IFERROR(__xludf.DUMMYFUNCTION("IMPORTRANGE(""https://docs.google.com/spreadsheets/d/1Yj_ptqi66GCucihVvJfMjLAmec39IyEx_6qawtMGysU/edit?usp=sharing"",""สบก!CP86"")"),0.0)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IFERROR(__xludf.DUMMYFUNCTION("IMPORTRANGE(""https://docs.google.com/spreadsheets/d/1Yj_ptqi66GCucihVvJfMjLAmec39IyEx_6qawtMGysU/edit?usp=sharing"",""สบก!CQ86"")"),0.0)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IFERROR(__xludf.DUMMYFUNCTION("IMPORTRANGE(""https://docs.google.com/spreadsheets/d/1Yj_ptqi66GCucihVvJfMjLAmec39IyEx_6qawtMGysU/edit?usp=sharing"",""สบก!CR86"")"),0.0)</f>
        <v>0</v>
      </c>
      <c r="M298" s="125"/>
      <c r="N298" s="115">
        <f>IFERROR(__xludf.DUMMYFUNCTION("IMPORTRANGE(""https://docs.google.com/spreadsheets/d/1Yj_ptqi66GCucihVvJfMjLAmec39IyEx_6qawtMGysU/edit?usp=sharing"",""สบก!CV86"")"),0.0)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IFERROR(__xludf.DUMMYFUNCTION("IMPORTRANGE(""https://docs.google.com/spreadsheets/d/1IYY_tgx_IHuhSq3AJ5eI5OnqOPBNLWSHKh2a30DoXe8/edit?usp=sharing"",""ปัตตานี!J205"")"),0.0)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IFERROR(__xludf.DUMMYFUNCTION("IMPORTRANGE(""https://docs.google.com/spreadsheets/d/1IYY_tgx_IHuhSq3AJ5eI5OnqOPBNLWSHKh2a30DoXe8/edit?usp=sharing"",""ปัตตานี!J206"")"),0.0)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IFERROR(__xludf.DUMMYFUNCTION("IMPORTRANGE(""https://docs.google.com/spreadsheets/d/1IYY_tgx_IHuhSq3AJ5eI5OnqOPBNLWSHKh2a30DoXe8/edit?usp=sharing"",""ปัตตานี!J207"")"),0.0)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IFERROR(__xludf.DUMMYFUNCTION("IMPORTRANGE(""https://docs.google.com/spreadsheets/d/1IYY_tgx_IHuhSq3AJ5eI5OnqOPBNLWSHKh2a30DoXe8/edit?usp=sharing"",""ปัตตานี!J208"")"),0.0)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IFERROR(__xludf.DUMMYFUNCTION("IMPORTRANGE(""https://docs.google.com/spreadsheets/d/1IYY_tgx_IHuhSq3AJ5eI5OnqOPBNLWSHKh2a30DoXe8/edit?usp=sharing"",""ปัตตานี!I209"")"),0.0)</f>
        <v>0</v>
      </c>
      <c r="J304" s="238">
        <f>IFERROR(__xludf.DUMMYFUNCTION("IMPORTRANGE(""https://docs.google.com/spreadsheets/d/1IYY_tgx_IHuhSq3AJ5eI5OnqOPBNLWSHKh2a30DoXe8/edit?usp=sharing"",""ปัตตานี!J209"")"),0.0)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IFERROR(__xludf.DUMMYFUNCTION("IMPORTRANGE(""https://docs.google.com/spreadsheets/d/1IYY_tgx_IHuhSq3AJ5eI5OnqOPBNLWSHKh2a30DoXe8/edit?usp=sharing"",""ปัตตานี!I211"")"),0.0)</f>
        <v>0</v>
      </c>
      <c r="J306" s="238">
        <f>IFERROR(__xludf.DUMMYFUNCTION("IMPORTRANGE(""https://docs.google.com/spreadsheets/d/1IYY_tgx_IHuhSq3AJ5eI5OnqOPBNLWSHKh2a30DoXe8/edit?usp=sharing"",""ปัตตานี!J211"")"),0.0)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IFERROR(__xludf.DUMMYFUNCTION("IMPORTRANGE(""https://docs.google.com/spreadsheets/d/1IYY_tgx_IHuhSq3AJ5eI5OnqOPBNLWSHKh2a30DoXe8/edit?usp=sharing"",""ปัตตานี!J212"")"),0.0)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IFERROR(__xludf.DUMMYFUNCTION("IMPORTRANGE(""https://docs.google.com/spreadsheets/d/1IYY_tgx_IHuhSq3AJ5eI5OnqOPBNLWSHKh2a30DoXe8/edit?usp=sharing"",""ปัตตานี!J213"")"),0.0)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IFERROR(__xludf.DUMMYFUNCTION("IMPORTRANGE(""https://docs.google.com/spreadsheets/d/1IYY_tgx_IHuhSq3AJ5eI5OnqOPBNLWSHKh2a30DoXe8/edit?usp=sharing"",""ปัตตานี!I214"")"),0.0)</f>
        <v>0</v>
      </c>
      <c r="J309" s="366">
        <f>IFERROR(__xludf.DUMMYFUNCTION("IMPORTRANGE(""https://docs.google.com/spreadsheets/d/1IYY_tgx_IHuhSq3AJ5eI5OnqOPBNLWSHKh2a30DoXe8/edit?usp=sharing"",""ปัตตานี!J214"")"),0.0)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IFERROR(__xludf.DUMMYFUNCTION("IMPORTRANGE(""https://docs.google.com/spreadsheets/d/1Yj_ptqi66GCucihVvJfMjLAmec39IyEx_6qawtMGysU/edit?usp=sharing"",""สบก!DC86"")"),0.0)</f>
        <v>0</v>
      </c>
      <c r="N314" s="202">
        <f>IFERROR(__xludf.DUMMYFUNCTION("IMPORTRANGE(""https://docs.google.com/spreadsheets/d/1Yj_ptqi66GCucihVvJfMjLAmec39IyEx_6qawtMGysU/edit?usp=sharing"",""สบก!DD86"")"),0.0)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IFERROR(__xludf.DUMMYFUNCTION("IMPORTRANGE(""https://docs.google.com/spreadsheets/d/1Yj_ptqi66GCucihVvJfMjLAmec39IyEx_6qawtMGysU/edit?usp=sharing"",""สบก!CY86"")"),0.0)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IFERROR(__xludf.DUMMYFUNCTION("IMPORTRANGE(""https://docs.google.com/spreadsheets/d/1Yj_ptqi66GCucihVvJfMjLAmec39IyEx_6qawtMGysU/edit?usp=sharing"",""สบก!CZ86"")"),0.0)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IFERROR(__xludf.DUMMYFUNCTION("IMPORTRANGE(""https://docs.google.com/spreadsheets/d/1Yj_ptqi66GCucihVvJfMjLAmec39IyEx_6qawtMGysU/edit?usp=sharing"",""สบก!DA86"")"),0.0)</f>
        <v>0</v>
      </c>
      <c r="M318" s="125"/>
      <c r="N318" s="115">
        <f>IFERROR(__xludf.DUMMYFUNCTION("IMPORTRANGE(""https://docs.google.com/spreadsheets/d/1Yj_ptqi66GCucihVvJfMjLAmec39IyEx_6qawtMGysU/edit?usp=sharing"",""สบก!DE86"")"),0.0)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IFERROR(__xludf.DUMMYFUNCTION("IMPORTRANGE(""https://docs.google.com/spreadsheets/d/1IYY_tgx_IHuhSq3AJ5eI5OnqOPBNLWSHKh2a30DoXe8/edit?usp=sharing"",""ปัตตานี!J220"")"),0.0)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IFERROR(__xludf.DUMMYFUNCTION("IMPORTRANGE(""https://docs.google.com/spreadsheets/d/1IYY_tgx_IHuhSq3AJ5eI5OnqOPBNLWSHKh2a30DoXe8/edit?usp=sharing"",""ปัตตานี!J221"")"),0.0)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IFERROR(__xludf.DUMMYFUNCTION("IMPORTRANGE(""https://docs.google.com/spreadsheets/d/1IYY_tgx_IHuhSq3AJ5eI5OnqOPBNLWSHKh2a30DoXe8/edit?usp=sharing"",""ปัตตานี!J222"")"),0.0)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IFERROR(__xludf.DUMMYFUNCTION("IMPORTRANGE(""https://docs.google.com/spreadsheets/d/1IYY_tgx_IHuhSq3AJ5eI5OnqOPBNLWSHKh2a30DoXe8/edit?usp=sharing"",""ปัตตานี!J223"")"),0.0)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IFERROR(__xludf.DUMMYFUNCTION("IMPORTRANGE(""https://docs.google.com/spreadsheets/d/1IYY_tgx_IHuhSq3AJ5eI5OnqOPBNLWSHKh2a30DoXe8/edit?usp=sharing"",""ปัตตานี!I224"")"),0.0)</f>
        <v>0</v>
      </c>
      <c r="J324" s="238">
        <f>IFERROR(__xludf.DUMMYFUNCTION("IMPORTRANGE(""https://docs.google.com/spreadsheets/d/1IYY_tgx_IHuhSq3AJ5eI5OnqOPBNLWSHKh2a30DoXe8/edit?usp=sharing"",""ปัตตานี!J224"")"),0.0)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IFERROR(__xludf.DUMMYFUNCTION("IMPORTRANGE(""https://docs.google.com/spreadsheets/d/1IYY_tgx_IHuhSq3AJ5eI5OnqOPBNLWSHKh2a30DoXe8/edit?usp=sharing"",""ปัตตานี!J225"")"),0.0)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IFERROR(__xludf.DUMMYFUNCTION("IMPORTRANGE(""https://docs.google.com/spreadsheets/d/1IYY_tgx_IHuhSq3AJ5eI5OnqOPBNLWSHKh2a30DoXe8/edit?usp=sharing"",""ปัตตานี!J226"")"),0.0)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IFERROR(__xludf.DUMMYFUNCTION("IMPORTRANGE(""https://docs.google.com/spreadsheets/d/1IYY_tgx_IHuhSq3AJ5eI5OnqOPBNLWSHKh2a30DoXe8/edit?usp=sharing"",""ปัตตานี!I228"")"),210.0)</f>
        <v>210</v>
      </c>
      <c r="J328" s="372">
        <f>IFERROR(__xludf.DUMMYFUNCTION("IMPORTRANGE(""https://docs.google.com/spreadsheets/d/1IYY_tgx_IHuhSq3AJ5eI5OnqOPBNLWSHKh2a30DoXe8/edit?usp=sharing"",""ปัตตานี!J228"")"),0.0)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707640</v>
      </c>
      <c r="M329" s="183">
        <f t="shared" si="99"/>
        <v>364990</v>
      </c>
      <c r="N329" s="183">
        <f t="shared" si="99"/>
        <v>207694</v>
      </c>
      <c r="O329" s="182">
        <f t="shared" ref="O329:O331" si="101">IF(L329&gt;0,N329*100/L329,0)</f>
        <v>29.35023458</v>
      </c>
      <c r="P329" s="182">
        <f t="shared" ref="P329:P331" si="102">IF(M329&gt;0,N329*100/M329,0)</f>
        <v>56.90402477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707640</v>
      </c>
      <c r="M331" s="188">
        <f t="shared" si="103"/>
        <v>364990</v>
      </c>
      <c r="N331" s="188">
        <f t="shared" si="103"/>
        <v>207694</v>
      </c>
      <c r="O331" s="187">
        <f t="shared" si="101"/>
        <v>29.35023458</v>
      </c>
      <c r="P331" s="187">
        <f t="shared" si="102"/>
        <v>56.90402477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695140</v>
      </c>
      <c r="M333" s="201">
        <f>IFERROR(__xludf.DUMMYFUNCTION("IMPORTRANGE(""https://docs.google.com/spreadsheets/d/1Yj_ptqi66GCucihVvJfMjLAmec39IyEx_6qawtMGysU/edit?usp=sharing"",""สบก!DL86"")"),364990.0)</f>
        <v>364990</v>
      </c>
      <c r="N333" s="202">
        <f>IFERROR(__xludf.DUMMYFUNCTION("IMPORTRANGE(""https://docs.google.com/spreadsheets/d/1Yj_ptqi66GCucihVvJfMjLAmec39IyEx_6qawtMGysU/edit?usp=sharing"",""สบก!DM86"")"),195194.0)</f>
        <v>195194</v>
      </c>
      <c r="O333" s="203">
        <f>IF(L333&gt;0,N333*100/L333,0)</f>
        <v>28.07981126</v>
      </c>
      <c r="P333" s="203">
        <f>IF(M333&gt;0,N333*100/M333,0)</f>
        <v>53.4792734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IFERROR(__xludf.DUMMYFUNCTION("IMPORTRANGE(""https://docs.google.com/spreadsheets/d/1Yj_ptqi66GCucihVvJfMjLAmec39IyEx_6qawtMGysU/edit?usp=sharing"",""สบก!DH86"")"),417600.0)</f>
        <v>417600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IFERROR(__xludf.DUMMYFUNCTION("IMPORTRANGE(""https://docs.google.com/spreadsheets/d/1Yj_ptqi66GCucihVvJfMjLAmec39IyEx_6qawtMGysU/edit?usp=sharing"",""สบก!DI86"")"),277540.0)</f>
        <v>277540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IFERROR(__xludf.DUMMYFUNCTION("IMPORTRANGE(""https://docs.google.com/spreadsheets/d/1Yj_ptqi66GCucihVvJfMjLAmec39IyEx_6qawtMGysU/edit?usp=sharing"",""สบก!DJ86"")"),12500.0)</f>
        <v>12500</v>
      </c>
      <c r="M337" s="125"/>
      <c r="N337" s="115">
        <f>IFERROR(__xludf.DUMMYFUNCTION("IMPORTRANGE(""https://docs.google.com/spreadsheets/d/1Yj_ptqi66GCucihVvJfMjLAmec39IyEx_6qawtMGysU/edit?usp=sharing"",""สบก!DN86"")"),12500.0)</f>
        <v>12500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IFERROR(__xludf.DUMMYFUNCTION("IMPORTRANGE(""https://docs.google.com/spreadsheets/d/1IYY_tgx_IHuhSq3AJ5eI5OnqOPBNLWSHKh2a30DoXe8/edit?usp=sharing"",""ปัตตานี!I234"")"),0.0)</f>
        <v>0</v>
      </c>
      <c r="J339" s="222">
        <f>IFERROR(__xludf.DUMMYFUNCTION("IMPORTRANGE(""https://docs.google.com/spreadsheets/d/1IYY_tgx_IHuhSq3AJ5eI5OnqOPBNLWSHKh2a30DoXe8/edit?usp=sharing"",""ปัตตานี!J234"")"),0.0)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IFERROR(__xludf.DUMMYFUNCTION("IMPORTRANGE(""https://docs.google.com/spreadsheets/d/1IYY_tgx_IHuhSq3AJ5eI5OnqOPBNLWSHKh2a30DoXe8/edit?usp=sharing"",""ปัตตานี!I235"")"),944.0)</f>
        <v>944</v>
      </c>
      <c r="J340" s="222">
        <f>IFERROR(__xludf.DUMMYFUNCTION("IMPORTRANGE(""https://docs.google.com/spreadsheets/d/1IYY_tgx_IHuhSq3AJ5eI5OnqOPBNLWSHKh2a30DoXe8/edit?usp=sharing"",""ปัตตานี!J235"")"),0.0)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IFERROR(__xludf.DUMMYFUNCTION("IMPORTRANGE(""https://docs.google.com/spreadsheets/d/1IYY_tgx_IHuhSq3AJ5eI5OnqOPBNLWSHKh2a30DoXe8/edit?usp=sharing"",""ปัตตานี!I236"")"),210.0)</f>
        <v>210</v>
      </c>
      <c r="J341" s="222">
        <f>IFERROR(__xludf.DUMMYFUNCTION("IMPORTRANGE(""https://docs.google.com/spreadsheets/d/1IYY_tgx_IHuhSq3AJ5eI5OnqOPBNLWSHKh2a30DoXe8/edit?usp=sharing"",""ปัตตานี!J236"")"),1.0)</f>
        <v>1</v>
      </c>
      <c r="K341" s="375">
        <f t="shared" si="104"/>
        <v>0.4761904762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IFERROR(__xludf.DUMMYFUNCTION("IMPORTRANGE(""https://docs.google.com/spreadsheets/d/1IYY_tgx_IHuhSq3AJ5eI5OnqOPBNLWSHKh2a30DoXe8/edit?usp=sharing"",""ปัตตานี!I237"")"),0.0)</f>
        <v>0</v>
      </c>
      <c r="J342" s="222">
        <f>IFERROR(__xludf.DUMMYFUNCTION("IMPORTRANGE(""https://docs.google.com/spreadsheets/d/1IYY_tgx_IHuhSq3AJ5eI5OnqOPBNLWSHKh2a30DoXe8/edit?usp=sharing"",""ปัตตานี!J237"")"),11.43)</f>
        <v>11.43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IFERROR(__xludf.DUMMYFUNCTION("IMPORTRANGE(""https://docs.google.com/spreadsheets/d/1IYY_tgx_IHuhSq3AJ5eI5OnqOPBNLWSHKh2a30DoXe8/edit?usp=sharing"",""ปัตตานี!I238"")"),210.0)</f>
        <v>210</v>
      </c>
      <c r="J343" s="222">
        <f>IFERROR(__xludf.DUMMYFUNCTION("IMPORTRANGE(""https://docs.google.com/spreadsheets/d/1IYY_tgx_IHuhSq3AJ5eI5OnqOPBNLWSHKh2a30DoXe8/edit?usp=sharing"",""ปัตตานี!J238"")"),0.0)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IFERROR(__xludf.DUMMYFUNCTION("IMPORTRANGE(""https://docs.google.com/spreadsheets/d/1IYY_tgx_IHuhSq3AJ5eI5OnqOPBNLWSHKh2a30DoXe8/edit?usp=sharing"",""ปัตตานี!I239"")"),0.0)</f>
        <v>0</v>
      </c>
      <c r="J344" s="222">
        <f>IFERROR(__xludf.DUMMYFUNCTION("IMPORTRANGE(""https://docs.google.com/spreadsheets/d/1IYY_tgx_IHuhSq3AJ5eI5OnqOPBNLWSHKh2a30DoXe8/edit?usp=sharing"",""ปัตตานี!J239"")"),0.0)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IFERROR(__xludf.DUMMYFUNCTION("IMPORTRANGE(""https://docs.google.com/spreadsheets/d/1IYY_tgx_IHuhSq3AJ5eI5OnqOPBNLWSHKh2a30DoXe8/edit?usp=sharing"",""ปัตตานี!I240"")"),210.0)</f>
        <v>210</v>
      </c>
      <c r="J345" s="222">
        <f>IFERROR(__xludf.DUMMYFUNCTION("IMPORTRANGE(""https://docs.google.com/spreadsheets/d/1IYY_tgx_IHuhSq3AJ5eI5OnqOPBNLWSHKh2a30DoXe8/edit?usp=sharing"",""ปัตตานี!J240"")"),0.0)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IFERROR(__xludf.DUMMYFUNCTION("IMPORTRANGE(""https://docs.google.com/spreadsheets/d/1IYY_tgx_IHuhSq3AJ5eI5OnqOPBNLWSHKh2a30DoXe8/edit?usp=sharing"",""ปัตตานี!I241"")"),0.0)</f>
        <v>0</v>
      </c>
      <c r="J346" s="222">
        <f>IFERROR(__xludf.DUMMYFUNCTION("IMPORTRANGE(""https://docs.google.com/spreadsheets/d/1IYY_tgx_IHuhSq3AJ5eI5OnqOPBNLWSHKh2a30DoXe8/edit?usp=sharing"",""ปัตตานี!J241"")"),0.0)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IFERROR(__xludf.DUMMYFUNCTION("IMPORTRANGE(""https://docs.google.com/spreadsheets/d/1IYY_tgx_IHuhSq3AJ5eI5OnqOPBNLWSHKh2a30DoXe8/edit?usp=sharing"",""ปัตตานี!L242"")"),718826.0)</f>
        <v>718826</v>
      </c>
      <c r="M347" s="391"/>
      <c r="N347" s="391">
        <f>IFERROR(__xludf.DUMMYFUNCTION("IMPORTRANGE(""https://docs.google.com/spreadsheets/d/1IYY_tgx_IHuhSq3AJ5eI5OnqOPBNLWSHKh2a30DoXe8/edit?usp=sharing"",""ปัตตานี!M242"")"),229633.29)</f>
        <v>229633.29</v>
      </c>
      <c r="O347" s="391">
        <f>+IF(L347&gt;0,N347*100/L347,0)</f>
        <v>31.94560158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IFERROR(__xludf.DUMMYFUNCTION("IMPORTRANGE(""https://docs.google.com/spreadsheets/d/1IYY_tgx_IHuhSq3AJ5eI5OnqOPBNLWSHKh2a30DoXe8/edit?usp=sharing"",""ปัตตานี!I244"")"),20.0)</f>
        <v>20</v>
      </c>
      <c r="J349" s="404">
        <f>IFERROR(__xludf.DUMMYFUNCTION("IMPORTRANGE(""https://docs.google.com/spreadsheets/d/1IYY_tgx_IHuhSq3AJ5eI5OnqOPBNLWSHKh2a30DoXe8/edit?usp=sharing"",""ปัตตานี!J244"")"),20.0)</f>
        <v>20</v>
      </c>
      <c r="K349" s="405">
        <f t="shared" ref="K349:K350" si="105">IF(I349&gt;0,J349*100/I349,0)</f>
        <v>100</v>
      </c>
      <c r="L349" s="406">
        <f>IFERROR(__xludf.DUMMYFUNCTION("IMPORTRANGE(""https://docs.google.com/spreadsheets/d/1IYY_tgx_IHuhSq3AJ5eI5OnqOPBNLWSHKh2a30DoXe8/edit?usp=sharing"",""ปัตตานี!L244"")"),215720.0)</f>
        <v>215720</v>
      </c>
      <c r="M349" s="406"/>
      <c r="N349" s="406">
        <f>IFERROR(__xludf.DUMMYFUNCTION("IMPORTRANGE(""https://docs.google.com/spreadsheets/d/1IYY_tgx_IHuhSq3AJ5eI5OnqOPBNLWSHKh2a30DoXe8/edit?usp=sharing"",""ปัตตานี!M244"")"),52404.09)</f>
        <v>52404.09</v>
      </c>
      <c r="O349" s="406">
        <f>+IF(L349&gt;0,N349*100/L349,0)</f>
        <v>24.29264324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IFERROR(__xludf.DUMMYFUNCTION("IMPORTRANGE(""https://docs.google.com/spreadsheets/d/1IYY_tgx_IHuhSq3AJ5eI5OnqOPBNLWSHKh2a30DoXe8/edit?usp=sharing"",""ปัตตานี!I245"")"),10.0)</f>
        <v>10</v>
      </c>
      <c r="J350" s="404">
        <f>IFERROR(__xludf.DUMMYFUNCTION("IMPORTRANGE(""https://docs.google.com/spreadsheets/d/1IYY_tgx_IHuhSq3AJ5eI5OnqOPBNLWSHKh2a30DoXe8/edit?usp=sharing"",""ปัตตานี!J245"")"),10.0)</f>
        <v>10</v>
      </c>
      <c r="K350" s="405">
        <f t="shared" si="105"/>
        <v>100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IFERROR(__xludf.DUMMYFUNCTION("IMPORTRANGE(""https://docs.google.com/spreadsheets/d/1IYY_tgx_IHuhSq3AJ5eI5OnqOPBNLWSHKh2a30DoXe8/edit?usp=sharing"",""ปัตตานี!L246"")"),0.0)</f>
        <v>0</v>
      </c>
      <c r="M351" s="197"/>
      <c r="N351" s="197">
        <f>IFERROR(__xludf.DUMMYFUNCTION("IMPORTRANGE(""https://docs.google.com/spreadsheets/d/1IYY_tgx_IHuhSq3AJ5eI5OnqOPBNLWSHKh2a30DoXe8/edit?usp=sharing"",""ปัตตานี!M246"")"),0.0)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IFERROR(__xludf.DUMMYFUNCTION("IMPORTRANGE(""https://docs.google.com/spreadsheets/d/1IYY_tgx_IHuhSq3AJ5eI5OnqOPBNLWSHKh2a30DoXe8/edit?usp=sharing"",""ปัตตานี!L247"")"),215720.0)</f>
        <v>215720</v>
      </c>
      <c r="M352" s="198"/>
      <c r="N352" s="197">
        <f>IFERROR(__xludf.DUMMYFUNCTION("IMPORTRANGE(""https://docs.google.com/spreadsheets/d/1IYY_tgx_IHuhSq3AJ5eI5OnqOPBNLWSHKh2a30DoXe8/edit?usp=sharing"",""ปัตตานี!M247"")"),52404.09)</f>
        <v>52404.09</v>
      </c>
      <c r="O352" s="198">
        <f t="shared" si="106"/>
        <v>24.29264324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IFERROR(__xludf.DUMMYFUNCTION("IMPORTRANGE(""https://docs.google.com/spreadsheets/d/1IYY_tgx_IHuhSq3AJ5eI5OnqOPBNLWSHKh2a30DoXe8/edit?usp=sharing"",""ปัตตานี!L248"")"),0.0)</f>
        <v>0</v>
      </c>
      <c r="M353" s="203"/>
      <c r="N353" s="203">
        <f>IFERROR(__xludf.DUMMYFUNCTION("IMPORTRANGE(""https://docs.google.com/spreadsheets/d/1IYY_tgx_IHuhSq3AJ5eI5OnqOPBNLWSHKh2a30DoXe8/edit?usp=sharing"",""ปัตตานี!M248"")"),0.0)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IFERROR(__xludf.DUMMYFUNCTION("IMPORTRANGE(""https://docs.google.com/spreadsheets/d/1IYY_tgx_IHuhSq3AJ5eI5OnqOPBNLWSHKh2a30DoXe8/edit?usp=sharing"",""ปัตตานี!L249"")"),215720.0)</f>
        <v>215720</v>
      </c>
      <c r="M354" s="203"/>
      <c r="N354" s="200">
        <f>IFERROR(__xludf.DUMMYFUNCTION("IMPORTRANGE(""https://docs.google.com/spreadsheets/d/1IYY_tgx_IHuhSq3AJ5eI5OnqOPBNLWSHKh2a30DoXe8/edit?usp=sharing"",""ปัตตานี!M249"")"),52404.09)</f>
        <v>52404.09</v>
      </c>
      <c r="O354" s="203">
        <f t="shared" si="106"/>
        <v>24.29264324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IFERROR(__xludf.DUMMYFUNCTION("IMPORTRANGE(""https://docs.google.com/spreadsheets/d/1IYY_tgx_IHuhSq3AJ5eI5OnqOPBNLWSHKh2a30DoXe8/edit?usp=sharing"",""ปัตตานี!M250"")"),16200.0)</f>
        <v>16200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IFERROR(__xludf.DUMMYFUNCTION("IMPORTRANGE(""https://docs.google.com/spreadsheets/d/1IYY_tgx_IHuhSq3AJ5eI5OnqOPBNLWSHKh2a30DoXe8/edit?usp=sharing"",""ปัตตานี!M251"")"),25000.0)</f>
        <v>25000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IFERROR(__xludf.DUMMYFUNCTION("IMPORTRANGE(""https://docs.google.com/spreadsheets/d/1IYY_tgx_IHuhSq3AJ5eI5OnqOPBNLWSHKh2a30DoXe8/edit?usp=sharing"",""ปัตตานี!M252"")"),0.0)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IFERROR(__xludf.DUMMYFUNCTION("IMPORTRANGE(""https://docs.google.com/spreadsheets/d/1IYY_tgx_IHuhSq3AJ5eI5OnqOPBNLWSHKh2a30DoXe8/edit?usp=sharing"",""ปัตตานี!M253"")"),11204.09)</f>
        <v>11204.09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IFERROR(__xludf.DUMMYFUNCTION("IMPORTRANGE(""https://docs.google.com/spreadsheets/d/1IYY_tgx_IHuhSq3AJ5eI5OnqOPBNLWSHKh2a30DoXe8/edit?usp=sharing"",""ปัตตานี!J255"")"),0.0)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IFERROR(__xludf.DUMMYFUNCTION("IMPORTRANGE(""https://docs.google.com/spreadsheets/d/1IYY_tgx_IHuhSq3AJ5eI5OnqOPBNLWSHKh2a30DoXe8/edit?usp=sharing"",""ปัตตานี!J256"")"),1.0)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IFERROR(__xludf.DUMMYFUNCTION("IMPORTRANGE(""https://docs.google.com/spreadsheets/d/1IYY_tgx_IHuhSq3AJ5eI5OnqOPBNLWSHKh2a30DoXe8/edit?usp=sharing"",""ปัตตานี!J257"")"),1.0)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IFERROR(__xludf.DUMMYFUNCTION("IMPORTRANGE(""https://docs.google.com/spreadsheets/d/1IYY_tgx_IHuhSq3AJ5eI5OnqOPBNLWSHKh2a30DoXe8/edit?usp=sharing"",""ปัตตานี!J258"")"),1.0)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IFERROR(__xludf.DUMMYFUNCTION("IMPORTRANGE(""https://docs.google.com/spreadsheets/d/1IYY_tgx_IHuhSq3AJ5eI5OnqOPBNLWSHKh2a30DoXe8/edit?usp=sharing"",""ปัตตานี!J166"")"),0.0)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IFERROR(__xludf.DUMMYFUNCTION("IMPORTRANGE(""https://docs.google.com/spreadsheets/d/1IYY_tgx_IHuhSq3AJ5eI5OnqOPBNLWSHKh2a30DoXe8/edit?usp=sharing"",""ปัตตานี!J166"")"),0.0)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IFERROR(__xludf.DUMMYFUNCTION("IMPORTRANGE(""https://docs.google.com/spreadsheets/d/1IYY_tgx_IHuhSq3AJ5eI5OnqOPBNLWSHKh2a30DoXe8/edit?usp=sharing"",""ปัตตานี!J166"")"),0.0)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IFERROR(__xludf.DUMMYFUNCTION("IMPORTRANGE(""https://docs.google.com/spreadsheets/d/1IYY_tgx_IHuhSq3AJ5eI5OnqOPBNLWSHKh2a30DoXe8/edit?usp=sharing"",""ปัตตานี!J166"")"),0.0)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IFERROR(__xludf.DUMMYFUNCTION("IMPORTRANGE(""https://docs.google.com/spreadsheets/d/1IYY_tgx_IHuhSq3AJ5eI5OnqOPBNLWSHKh2a30DoXe8/edit?usp=sharing"",""ปัตตานี!I263"")"),10.0)</f>
        <v>10</v>
      </c>
      <c r="J368" s="222">
        <f>IFERROR(__xludf.DUMMYFUNCTION("IMPORTRANGE(""https://docs.google.com/spreadsheets/d/1IYY_tgx_IHuhSq3AJ5eI5OnqOPBNLWSHKh2a30DoXe8/edit?usp=sharing"",""ปัตตานี!J263"")"),10.0)</f>
        <v>10</v>
      </c>
      <c r="K368" s="196">
        <f t="shared" si="107"/>
        <v>100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IFERROR(__xludf.DUMMYFUNCTION("IMPORTRANGE(""https://docs.google.com/spreadsheets/d/1IYY_tgx_IHuhSq3AJ5eI5OnqOPBNLWSHKh2a30DoXe8/edit?usp=sharing"",""ปัตตานี!I164"")"),0.0)</f>
        <v>0</v>
      </c>
      <c r="J369" s="238">
        <f>IFERROR(__xludf.DUMMYFUNCTION("IMPORTRANGE(""https://docs.google.com/spreadsheets/d/1IYY_tgx_IHuhSq3AJ5eI5OnqOPBNLWSHKh2a30DoXe8/edit?usp=sharing"",""ปัตตานี!J164"")"),0.0)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IFERROR(__xludf.DUMMYFUNCTION("IMPORTRANGE(""https://docs.google.com/spreadsheets/d/1IYY_tgx_IHuhSq3AJ5eI5OnqOPBNLWSHKh2a30DoXe8/edit?usp=sharing"",""ปัตตานี!I265"")"),10.0)</f>
        <v>10</v>
      </c>
      <c r="J370" s="238">
        <f>IFERROR(__xludf.DUMMYFUNCTION("IMPORTRANGE(""https://docs.google.com/spreadsheets/d/1IYY_tgx_IHuhSq3AJ5eI5OnqOPBNLWSHKh2a30DoXe8/edit?usp=sharing"",""ปัตตานี!J265"")"),10.0)</f>
        <v>10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IFERROR(__xludf.DUMMYFUNCTION("IMPORTRANGE(""https://docs.google.com/spreadsheets/d/1IYY_tgx_IHuhSq3AJ5eI5OnqOPBNLWSHKh2a30DoXe8/edit?usp=sharing"",""ปัตตานี!I164"")"),0.0)</f>
        <v>0</v>
      </c>
      <c r="J371" s="223">
        <f>IFERROR(__xludf.DUMMYFUNCTION("IMPORTRANGE(""https://docs.google.com/spreadsheets/d/1IYY_tgx_IHuhSq3AJ5eI5OnqOPBNLWSHKh2a30DoXe8/edit?usp=sharing"",""ปัตตานี!J164"")"),0.0)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IFERROR(__xludf.DUMMYFUNCTION("IMPORTRANGE(""https://docs.google.com/spreadsheets/d/1IYY_tgx_IHuhSq3AJ5eI5OnqOPBNLWSHKh2a30DoXe8/edit?usp=sharing"",""ปัตตานี!I267"")"),10.0)</f>
        <v>10</v>
      </c>
      <c r="J372" s="223">
        <f>IFERROR(__xludf.DUMMYFUNCTION("IMPORTRANGE(""https://docs.google.com/spreadsheets/d/1IYY_tgx_IHuhSq3AJ5eI5OnqOPBNLWSHKh2a30DoXe8/edit?usp=sharing"",""ปัตตานี!J267"")"),10.0)</f>
        <v>10</v>
      </c>
      <c r="K372" s="196">
        <f t="shared" si="107"/>
        <v>100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IFERROR(__xludf.DUMMYFUNCTION("IMPORTRANGE(""https://docs.google.com/spreadsheets/d/1IYY_tgx_IHuhSq3AJ5eI5OnqOPBNLWSHKh2a30DoXe8/edit?usp=sharing"",""ปัตตานี!I164"")"),0.0)</f>
        <v>0</v>
      </c>
      <c r="J373" s="238">
        <f>IFERROR(__xludf.DUMMYFUNCTION("IMPORTRANGE(""https://docs.google.com/spreadsheets/d/1IYY_tgx_IHuhSq3AJ5eI5OnqOPBNLWSHKh2a30DoXe8/edit?usp=sharing"",""ปัตตานี!J164"")"),0.0)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IFERROR(__xludf.DUMMYFUNCTION("IMPORTRANGE(""https://docs.google.com/spreadsheets/d/1IYY_tgx_IHuhSq3AJ5eI5OnqOPBNLWSHKh2a30DoXe8/edit?usp=sharing"",""ปัตตานี!I164"")"),0.0)</f>
        <v>0</v>
      </c>
      <c r="J374" s="222">
        <f>IFERROR(__xludf.DUMMYFUNCTION("IMPORTRANGE(""https://docs.google.com/spreadsheets/d/1IYY_tgx_IHuhSq3AJ5eI5OnqOPBNLWSHKh2a30DoXe8/edit?usp=sharing"",""ปัตตานี!J164"")"),0.0)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IFERROR(__xludf.DUMMYFUNCTION("IMPORTRANGE(""https://docs.google.com/spreadsheets/d/1IYY_tgx_IHuhSq3AJ5eI5OnqOPBNLWSHKh2a30DoXe8/edit?usp=sharing"",""ปัตตานี!I270"")"),20.0)</f>
        <v>20</v>
      </c>
      <c r="J375" s="222">
        <f>IFERROR(__xludf.DUMMYFUNCTION("IMPORTRANGE(""https://docs.google.com/spreadsheets/d/1IYY_tgx_IHuhSq3AJ5eI5OnqOPBNLWSHKh2a30DoXe8/edit?usp=sharing"",""ปัตตานี!J270"")"),20.0)</f>
        <v>20</v>
      </c>
      <c r="K375" s="196">
        <f t="shared" ref="K375:K377" si="108">IF(I375&gt;0,J375*100/I375,0)</f>
        <v>100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IFERROR(__xludf.DUMMYFUNCTION("IMPORTRANGE(""https://docs.google.com/spreadsheets/d/1IYY_tgx_IHuhSq3AJ5eI5OnqOPBNLWSHKh2a30DoXe8/edit?usp=sharing"",""ปัตตานี!I271"")"),20.0)</f>
        <v>20</v>
      </c>
      <c r="J376" s="223">
        <f>IFERROR(__xludf.DUMMYFUNCTION("IMPORTRANGE(""https://docs.google.com/spreadsheets/d/1IYY_tgx_IHuhSq3AJ5eI5OnqOPBNLWSHKh2a30DoXe8/edit?usp=sharing"",""ปัตตานี!J271"")"),20.0)</f>
        <v>20</v>
      </c>
      <c r="K376" s="196">
        <f t="shared" si="108"/>
        <v>100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IFERROR(__xludf.DUMMYFUNCTION("IMPORTRANGE(""https://docs.google.com/spreadsheets/d/1IYY_tgx_IHuhSq3AJ5eI5OnqOPBNLWSHKh2a30DoXe8/edit?usp=sharing"",""ปัตตานี!I272"")"),0.0)</f>
        <v>0</v>
      </c>
      <c r="J377" s="238">
        <f>IFERROR(__xludf.DUMMYFUNCTION("IMPORTRANGE(""https://docs.google.com/spreadsheets/d/1IYY_tgx_IHuhSq3AJ5eI5OnqOPBNLWSHKh2a30DoXe8/edit?usp=sharing"",""ปัตตานี!J272"")"),0.0)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IFERROR(__xludf.DUMMYFUNCTION("IMPORTRANGE(""https://docs.google.com/spreadsheets/d/1IYY_tgx_IHuhSq3AJ5eI5OnqOPBNLWSHKh2a30DoXe8/edit?usp=sharing"",""ปัตตานี!J273"")"),0.0)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IFERROR(__xludf.DUMMYFUNCTION("IMPORTRANGE(""https://docs.google.com/spreadsheets/d/1IYY_tgx_IHuhSq3AJ5eI5OnqOPBNLWSHKh2a30DoXe8/edit?usp=sharing"",""ปัตตานี!J274"")"),0.0)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IFERROR(__xludf.DUMMYFUNCTION("IMPORTRANGE(""https://docs.google.com/spreadsheets/d/1IYY_tgx_IHuhSq3AJ5eI5OnqOPBNLWSHKh2a30DoXe8/edit?usp=sharing"",""ปัตตานี!I275"")"),50.0)</f>
        <v>50</v>
      </c>
      <c r="J380" s="404">
        <f>IFERROR(__xludf.DUMMYFUNCTION("IMPORTRANGE(""https://docs.google.com/spreadsheets/d/1IYY_tgx_IHuhSq3AJ5eI5OnqOPBNLWSHKh2a30DoXe8/edit?usp=sharing"",""ปัตตานี!J275"")"),0.0)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IFERROR(__xludf.DUMMYFUNCTION("IMPORTRANGE(""https://docs.google.com/spreadsheets/d/1IYY_tgx_IHuhSq3AJ5eI5OnqOPBNLWSHKh2a30DoXe8/edit?usp=sharing"",""ปัตตานี!L275"")"),87710.0)</f>
        <v>87710</v>
      </c>
      <c r="M380" s="406"/>
      <c r="N380" s="406">
        <f>IFERROR(__xludf.DUMMYFUNCTION("IMPORTRANGE(""https://docs.google.com/spreadsheets/d/1IYY_tgx_IHuhSq3AJ5eI5OnqOPBNLWSHKh2a30DoXe8/edit?usp=sharing"",""ปัตตานี!M275"")"),26870.0)</f>
        <v>26870</v>
      </c>
      <c r="O380" s="406">
        <f>+IF(L380&gt;0,N380*100/L380,0)</f>
        <v>30.63504732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IFERROR(__xludf.DUMMYFUNCTION("IMPORTRANGE(""https://docs.google.com/spreadsheets/d/1IYY_tgx_IHuhSq3AJ5eI5OnqOPBNLWSHKh2a30DoXe8/edit?usp=sharing"",""ปัตตานี!I276"")"),5.0)</f>
        <v>5</v>
      </c>
      <c r="J381" s="404">
        <f>IFERROR(__xludf.DUMMYFUNCTION("IMPORTRANGE(""https://docs.google.com/spreadsheets/d/1IYY_tgx_IHuhSq3AJ5eI5OnqOPBNLWSHKh2a30DoXe8/edit?usp=sharing"",""ปัตตานี!J276"")"),5.0)</f>
        <v>5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IFERROR(__xludf.DUMMYFUNCTION("IMPORTRANGE(""https://docs.google.com/spreadsheets/d/1IYY_tgx_IHuhSq3AJ5eI5OnqOPBNLWSHKh2a30DoXe8/edit?usp=sharing"",""ปัตตานี!L277"")"),0.0)</f>
        <v>0</v>
      </c>
      <c r="M382" s="197"/>
      <c r="N382" s="197">
        <f>IFERROR(__xludf.DUMMYFUNCTION("IMPORTRANGE(""https://docs.google.com/spreadsheets/d/1IYY_tgx_IHuhSq3AJ5eI5OnqOPBNLWSHKh2a30DoXe8/edit?usp=sharing"",""ปัตตานี!M277"")"),0.0)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IFERROR(__xludf.DUMMYFUNCTION("IMPORTRANGE(""https://docs.google.com/spreadsheets/d/1IYY_tgx_IHuhSq3AJ5eI5OnqOPBNLWSHKh2a30DoXe8/edit?usp=sharing"",""ปัตตานี!L278"")"),87710.0)</f>
        <v>87710</v>
      </c>
      <c r="M383" s="198"/>
      <c r="N383" s="198">
        <f>IFERROR(__xludf.DUMMYFUNCTION("IMPORTRANGE(""https://docs.google.com/spreadsheets/d/1IYY_tgx_IHuhSq3AJ5eI5OnqOPBNLWSHKh2a30DoXe8/edit?usp=sharing"",""ปัตตานี!M278"")"),26870.0)</f>
        <v>26870</v>
      </c>
      <c r="O383" s="198">
        <f t="shared" si="110"/>
        <v>30.63504732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IFERROR(__xludf.DUMMYFUNCTION("IMPORTRANGE(""https://docs.google.com/spreadsheets/d/1IYY_tgx_IHuhSq3AJ5eI5OnqOPBNLWSHKh2a30DoXe8/edit?usp=sharing"",""ปัตตานี!L279"")"),0.0)</f>
        <v>0</v>
      </c>
      <c r="M384" s="203"/>
      <c r="N384" s="203">
        <f>IFERROR(__xludf.DUMMYFUNCTION("IMPORTRANGE(""https://docs.google.com/spreadsheets/d/1IYY_tgx_IHuhSq3AJ5eI5OnqOPBNLWSHKh2a30DoXe8/edit?usp=sharing"",""ปัตตานี!M279"")"),0.0)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IFERROR(__xludf.DUMMYFUNCTION("IMPORTRANGE(""https://docs.google.com/spreadsheets/d/1IYY_tgx_IHuhSq3AJ5eI5OnqOPBNLWSHKh2a30DoXe8/edit?usp=sharing"",""ปัตตานี!L280"")"),87710.0)</f>
        <v>87710</v>
      </c>
      <c r="M385" s="203"/>
      <c r="N385" s="200">
        <f>IFERROR(__xludf.DUMMYFUNCTION("IMPORTRANGE(""https://docs.google.com/spreadsheets/d/1IYY_tgx_IHuhSq3AJ5eI5OnqOPBNLWSHKh2a30DoXe8/edit?usp=sharing"",""ปัตตานี!M280"")"),26870.0)</f>
        <v>26870</v>
      </c>
      <c r="O385" s="203">
        <f t="shared" si="110"/>
        <v>30.63504732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IFERROR(__xludf.DUMMYFUNCTION("IMPORTRANGE(""https://docs.google.com/spreadsheets/d/1IYY_tgx_IHuhSq3AJ5eI5OnqOPBNLWSHKh2a30DoXe8/edit?usp=sharing"",""ปัตตานี!M281"")"),22040.0)</f>
        <v>22040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IFERROR(__xludf.DUMMYFUNCTION("IMPORTRANGE(""https://docs.google.com/spreadsheets/d/1IYY_tgx_IHuhSq3AJ5eI5OnqOPBNLWSHKh2a30DoXe8/edit?usp=sharing"",""ปัตตานี!M282"")"),0.0)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IFERROR(__xludf.DUMMYFUNCTION("IMPORTRANGE(""https://docs.google.com/spreadsheets/d/1IYY_tgx_IHuhSq3AJ5eI5OnqOPBNLWSHKh2a30DoXe8/edit?usp=sharing"",""ปัตตานี!M283"")"),0.0)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IFERROR(__xludf.DUMMYFUNCTION("IMPORTRANGE(""https://docs.google.com/spreadsheets/d/1IYY_tgx_IHuhSq3AJ5eI5OnqOPBNLWSHKh2a30DoXe8/edit?usp=sharing"",""ปัตตานี!M284"")"),4830.0)</f>
        <v>4830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IFERROR(__xludf.DUMMYFUNCTION("IMPORTRANGE(""https://docs.google.com/spreadsheets/d/1IYY_tgx_IHuhSq3AJ5eI5OnqOPBNLWSHKh2a30DoXe8/edit?usp=sharing"",""ปัตตานี!J286"")"),0.0)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IFERROR(__xludf.DUMMYFUNCTION("IMPORTRANGE(""https://docs.google.com/spreadsheets/d/1IYY_tgx_IHuhSq3AJ5eI5OnqOPBNLWSHKh2a30DoXe8/edit?usp=sharing"",""ปัตตานี!J287"")"),1.0)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IFERROR(__xludf.DUMMYFUNCTION("IMPORTRANGE(""https://docs.google.com/spreadsheets/d/1IYY_tgx_IHuhSq3AJ5eI5OnqOPBNLWSHKh2a30DoXe8/edit?usp=sharing"",""ปัตตานี!J288"")"),1.0)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IFERROR(__xludf.DUMMYFUNCTION("IMPORTRANGE(""https://docs.google.com/spreadsheets/d/1IYY_tgx_IHuhSq3AJ5eI5OnqOPBNLWSHKh2a30DoXe8/edit?usp=sharing"",""ปัตตานี!J289"")"),1.0)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IFERROR(__xludf.DUMMYFUNCTION("IMPORTRANGE(""https://docs.google.com/spreadsheets/d/1IYY_tgx_IHuhSq3AJ5eI5OnqOPBNLWSHKh2a30DoXe8/edit?usp=sharing"",""ปัตตานี!I291"")"),5.0)</f>
        <v>5</v>
      </c>
      <c r="J396" s="232">
        <f>IFERROR(__xludf.DUMMYFUNCTION("IMPORTRANGE(""https://docs.google.com/spreadsheets/d/1IYY_tgx_IHuhSq3AJ5eI5OnqOPBNLWSHKh2a30DoXe8/edit?usp=sharing"",""ปัตตานี!J291"")"),5.0)</f>
        <v>5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IFERROR(__xludf.DUMMYFUNCTION("IMPORTRANGE(""https://docs.google.com/spreadsheets/d/1IYY_tgx_IHuhSq3AJ5eI5OnqOPBNLWSHKh2a30DoXe8/edit?usp=sharing"",""ปัตตานี!I292"")"),50.0)</f>
        <v>50</v>
      </c>
      <c r="J397" s="232">
        <f>IFERROR(__xludf.DUMMYFUNCTION("IMPORTRANGE(""https://docs.google.com/spreadsheets/d/1IYY_tgx_IHuhSq3AJ5eI5OnqOPBNLWSHKh2a30DoXe8/edit?usp=sharing"",""ปัตตานี!J292"")"),0.0)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IFERROR(__xludf.DUMMYFUNCTION("IMPORTRANGE(""https://docs.google.com/spreadsheets/d/1IYY_tgx_IHuhSq3AJ5eI5OnqOPBNLWSHKh2a30DoXe8/edit?usp=sharing"",""ปัตตานี!I293"")"),5.0)</f>
        <v>5</v>
      </c>
      <c r="J398" s="232">
        <f>IFERROR(__xludf.DUMMYFUNCTION("IMPORTRANGE(""https://docs.google.com/spreadsheets/d/1IYY_tgx_IHuhSq3AJ5eI5OnqOPBNLWSHKh2a30DoXe8/edit?usp=sharing"",""ปัตตานี!J293"")"),0.0)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IFERROR(__xludf.DUMMYFUNCTION("IMPORTRANGE(""https://docs.google.com/spreadsheets/d/1IYY_tgx_IHuhSq3AJ5eI5OnqOPBNLWSHKh2a30DoXe8/edit?usp=sharing"",""ปัตตานี!J294"")"),0.0)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IFERROR(__xludf.DUMMYFUNCTION("IMPORTRANGE(""https://docs.google.com/spreadsheets/d/1IYY_tgx_IHuhSq3AJ5eI5OnqOPBNLWSHKh2a30DoXe8/edit?usp=sharing"",""ปัตตานี!J295"")"),0.0)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IFERROR(__xludf.DUMMYFUNCTION("IMPORTRANGE(""https://docs.google.com/spreadsheets/d/1IYY_tgx_IHuhSq3AJ5eI5OnqOPBNLWSHKh2a30DoXe8/edit?usp=sharing"",""ปัตตานี!I296"")"),105.0)</f>
        <v>105</v>
      </c>
      <c r="J401" s="404">
        <f>IFERROR(__xludf.DUMMYFUNCTION("IMPORTRANGE(""https://docs.google.com/spreadsheets/d/1IYY_tgx_IHuhSq3AJ5eI5OnqOPBNLWSHKh2a30DoXe8/edit?usp=sharing"",""ปัตตานี!J296"")"),105.0)</f>
        <v>105</v>
      </c>
      <c r="K401" s="405">
        <f t="shared" ref="K401:K402" si="112">IF(I401&gt;0,J401*100/I401,0)</f>
        <v>100</v>
      </c>
      <c r="L401" s="406">
        <f>IFERROR(__xludf.DUMMYFUNCTION("IMPORTRANGE(""https://docs.google.com/spreadsheets/d/1IYY_tgx_IHuhSq3AJ5eI5OnqOPBNLWSHKh2a30DoXe8/edit?usp=sharing"",""ปัตตานี!L296"")"),131710.0)</f>
        <v>131710</v>
      </c>
      <c r="M401" s="406"/>
      <c r="N401" s="406">
        <f>IFERROR(__xludf.DUMMYFUNCTION("IMPORTRANGE(""https://docs.google.com/spreadsheets/d/1IYY_tgx_IHuhSq3AJ5eI5OnqOPBNLWSHKh2a30DoXe8/edit?usp=sharing"",""ปัตตานี!M296"")"),101470.0)</f>
        <v>101470</v>
      </c>
      <c r="O401" s="406">
        <f>+IF(L401&gt;0,N401*100/L401,0)</f>
        <v>77.04046769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IFERROR(__xludf.DUMMYFUNCTION("IMPORTRANGE(""https://docs.google.com/spreadsheets/d/1IYY_tgx_IHuhSq3AJ5eI5OnqOPBNLWSHKh2a30DoXe8/edit?usp=sharing"",""ปัตตานี!I297"")"),35.0)</f>
        <v>35</v>
      </c>
      <c r="J402" s="404">
        <f>IFERROR(__xludf.DUMMYFUNCTION("IMPORTRANGE(""https://docs.google.com/spreadsheets/d/1IYY_tgx_IHuhSq3AJ5eI5OnqOPBNLWSHKh2a30DoXe8/edit?usp=sharing"",""ปัตตานี!J297"")"),35.0)</f>
        <v>35</v>
      </c>
      <c r="K402" s="405">
        <f t="shared" si="112"/>
        <v>100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IFERROR(__xludf.DUMMYFUNCTION("IMPORTRANGE(""https://docs.google.com/spreadsheets/d/1IYY_tgx_IHuhSq3AJ5eI5OnqOPBNLWSHKh2a30DoXe8/edit?usp=sharing"",""ปัตตานี!L298"")"),0.0)</f>
        <v>0</v>
      </c>
      <c r="M403" s="197"/>
      <c r="N403" s="203">
        <f>IFERROR(__xludf.DUMMYFUNCTION("IMPORTRANGE(""https://docs.google.com/spreadsheets/d/1IYY_tgx_IHuhSq3AJ5eI5OnqOPBNLWSHKh2a30DoXe8/edit?usp=sharing"",""ปัตตานี!M298"")"),0.0)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IFERROR(__xludf.DUMMYFUNCTION("IMPORTRANGE(""https://docs.google.com/spreadsheets/d/1IYY_tgx_IHuhSq3AJ5eI5OnqOPBNLWSHKh2a30DoXe8/edit?usp=sharing"",""ปัตตานี!L299"")"),131710.0)</f>
        <v>131710</v>
      </c>
      <c r="M404" s="198"/>
      <c r="N404" s="203">
        <f>IFERROR(__xludf.DUMMYFUNCTION("IMPORTRANGE(""https://docs.google.com/spreadsheets/d/1IYY_tgx_IHuhSq3AJ5eI5OnqOPBNLWSHKh2a30DoXe8/edit?usp=sharing"",""ปัตตานี!M299"")"),101470.0)</f>
        <v>101470</v>
      </c>
      <c r="O404" s="203">
        <f t="shared" si="113"/>
        <v>77.04046769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IFERROR(__xludf.DUMMYFUNCTION("IMPORTRANGE(""https://docs.google.com/spreadsheets/d/1IYY_tgx_IHuhSq3AJ5eI5OnqOPBNLWSHKh2a30DoXe8/edit?usp=sharing"",""ปัตตานี!L300"")"),0.0)</f>
        <v>0</v>
      </c>
      <c r="M405" s="203"/>
      <c r="N405" s="203">
        <f>IFERROR(__xludf.DUMMYFUNCTION("IMPORTRANGE(""https://docs.google.com/spreadsheets/d/1IYY_tgx_IHuhSq3AJ5eI5OnqOPBNLWSHKh2a30DoXe8/edit?usp=sharing"",""ปัตตานี!M300"")"),0.0)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IFERROR(__xludf.DUMMYFUNCTION("IMPORTRANGE(""https://docs.google.com/spreadsheets/d/1IYY_tgx_IHuhSq3AJ5eI5OnqOPBNLWSHKh2a30DoXe8/edit?usp=sharing"",""ปัตตานี!L301"")"),131710.0)</f>
        <v>131710</v>
      </c>
      <c r="M406" s="203"/>
      <c r="N406" s="203">
        <f>IFERROR(__xludf.DUMMYFUNCTION("IMPORTRANGE(""https://docs.google.com/spreadsheets/d/1IYY_tgx_IHuhSq3AJ5eI5OnqOPBNLWSHKh2a30DoXe8/edit?usp=sharing"",""ปัตตานี!M301"")"),101470.0)</f>
        <v>101470</v>
      </c>
      <c r="O406" s="203">
        <f t="shared" si="113"/>
        <v>77.04046769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IFERROR(__xludf.DUMMYFUNCTION("IMPORTRANGE(""https://docs.google.com/spreadsheets/d/1IYY_tgx_IHuhSq3AJ5eI5OnqOPBNLWSHKh2a30DoXe8/edit?usp=sharing"",""ปัตตานี!M302"")"),70450.0)</f>
        <v>70450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IFERROR(__xludf.DUMMYFUNCTION("IMPORTRANGE(""https://docs.google.com/spreadsheets/d/1IYY_tgx_IHuhSq3AJ5eI5OnqOPBNLWSHKh2a30DoXe8/edit?usp=sharing"",""ปัตตานี!M303"")"),10500.0)</f>
        <v>10500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IFERROR(__xludf.DUMMYFUNCTION("IMPORTRANGE(""https://docs.google.com/spreadsheets/d/1IYY_tgx_IHuhSq3AJ5eI5OnqOPBNLWSHKh2a30DoXe8/edit?usp=sharing"",""ปัตตานี!M304"")"),0.0)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IFERROR(__xludf.DUMMYFUNCTION("IMPORTRANGE(""https://docs.google.com/spreadsheets/d/1IYY_tgx_IHuhSq3AJ5eI5OnqOPBNLWSHKh2a30DoXe8/edit?usp=sharing"",""ปัตตานี!M305"")"),20520.0)</f>
        <v>20520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IFERROR(__xludf.DUMMYFUNCTION("IMPORTRANGE(""https://docs.google.com/spreadsheets/d/1IYY_tgx_IHuhSq3AJ5eI5OnqOPBNLWSHKh2a30DoXe8/edit?usp=sharing"",""ปัตตานี!J307"")"),0.0)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IFERROR(__xludf.DUMMYFUNCTION("IMPORTRANGE(""https://docs.google.com/spreadsheets/d/1IYY_tgx_IHuhSq3AJ5eI5OnqOPBNLWSHKh2a30DoXe8/edit?usp=sharing"",""ปัตตานี!J308"")"),1.0)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IFERROR(__xludf.DUMMYFUNCTION("IMPORTRANGE(""https://docs.google.com/spreadsheets/d/1IYY_tgx_IHuhSq3AJ5eI5OnqOPBNLWSHKh2a30DoXe8/edit?usp=sharing"",""ปัตตานี!J309"")"),1.0)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IFERROR(__xludf.DUMMYFUNCTION("IMPORTRANGE(""https://docs.google.com/spreadsheets/d/1IYY_tgx_IHuhSq3AJ5eI5OnqOPBNLWSHKh2a30DoXe8/edit?usp=sharing"",""ปัตตานี!J310"")"),1.0)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IFERROR(__xludf.DUMMYFUNCTION("IMPORTRANGE(""https://docs.google.com/spreadsheets/d/1IYY_tgx_IHuhSq3AJ5eI5OnqOPBNLWSHKh2a30DoXe8/edit?usp=sharing"",""ปัตตานี!I311"")"),35.0)</f>
        <v>35</v>
      </c>
      <c r="J416" s="235">
        <f>IFERROR(__xludf.DUMMYFUNCTION("IMPORTRANGE(""https://docs.google.com/spreadsheets/d/1IYY_tgx_IHuhSq3AJ5eI5OnqOPBNLWSHKh2a30DoXe8/edit?usp=sharing"",""ปัตตานี!J311"")"),35.0)</f>
        <v>35</v>
      </c>
      <c r="K416" s="236">
        <f t="shared" ref="K416:K432" si="114">IF(I416&gt;0,J416*100/I416,0)</f>
        <v>100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IFERROR(__xludf.DUMMYFUNCTION("IMPORTRANGE(""https://docs.google.com/spreadsheets/d/1IYY_tgx_IHuhSq3AJ5eI5OnqOPBNLWSHKh2a30DoXe8/edit?usp=sharing"",""ปัตตานี!I312"")"),10.0)</f>
        <v>10</v>
      </c>
      <c r="J417" s="425">
        <f>IFERROR(__xludf.DUMMYFUNCTION("IMPORTRANGE(""https://docs.google.com/spreadsheets/d/1IYY_tgx_IHuhSq3AJ5eI5OnqOPBNLWSHKh2a30DoXe8/edit?usp=sharing"",""ปัตตานี!J312"")"),10.0)</f>
        <v>10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IFERROR(__xludf.DUMMYFUNCTION("IMPORTRANGE(""https://docs.google.com/spreadsheets/d/1IYY_tgx_IHuhSq3AJ5eI5OnqOPBNLWSHKh2a30DoXe8/edit?usp=sharing"",""ปัตตานี!I313"")"),30.0)</f>
        <v>30</v>
      </c>
      <c r="J418" s="426">
        <f>IFERROR(__xludf.DUMMYFUNCTION("IMPORTRANGE(""https://docs.google.com/spreadsheets/d/1IYY_tgx_IHuhSq3AJ5eI5OnqOPBNLWSHKh2a30DoXe8/edit?usp=sharing"",""ปัตตานี!J313"")"),30.0)</f>
        <v>30</v>
      </c>
      <c r="K418" s="236">
        <f t="shared" si="114"/>
        <v>100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IFERROR(__xludf.DUMMYFUNCTION("IMPORTRANGE(""https://docs.google.com/spreadsheets/d/1IYY_tgx_IHuhSq3AJ5eI5OnqOPBNLWSHKh2a30DoXe8/edit?usp=sharing"",""ปัตตานี!I314"")"),10.0)</f>
        <v>10</v>
      </c>
      <c r="J419" s="427">
        <f>IFERROR(__xludf.DUMMYFUNCTION("IMPORTRANGE(""https://docs.google.com/spreadsheets/d/1IYY_tgx_IHuhSq3AJ5eI5OnqOPBNLWSHKh2a30DoXe8/edit?usp=sharing"",""ปัตตานี!J314"")"),10.0)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IFERROR(__xludf.DUMMYFUNCTION("IMPORTRANGE(""https://docs.google.com/spreadsheets/d/1IYY_tgx_IHuhSq3AJ5eI5OnqOPBNLWSHKh2a30DoXe8/edit?usp=sharing"",""ปัตตานี!I315"")"),10.0)</f>
        <v>10</v>
      </c>
      <c r="J420" s="427">
        <f>IFERROR(__xludf.DUMMYFUNCTION("IMPORTRANGE(""https://docs.google.com/spreadsheets/d/1IYY_tgx_IHuhSq3AJ5eI5OnqOPBNLWSHKh2a30DoXe8/edit?usp=sharing"",""ปัตตานี!J315"")"),10.0)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IFERROR(__xludf.DUMMYFUNCTION("IMPORTRANGE(""https://docs.google.com/spreadsheets/d/1IYY_tgx_IHuhSq3AJ5eI5OnqOPBNLWSHKh2a30DoXe8/edit?usp=sharing"",""ปัตตานี!I316"")"),15.0)</f>
        <v>15</v>
      </c>
      <c r="J421" s="425">
        <f>IFERROR(__xludf.DUMMYFUNCTION("IMPORTRANGE(""https://docs.google.com/spreadsheets/d/1IYY_tgx_IHuhSq3AJ5eI5OnqOPBNLWSHKh2a30DoXe8/edit?usp=sharing"",""ปัตตานี!J316"")"),15.0)</f>
        <v>15</v>
      </c>
      <c r="K421" s="236">
        <f t="shared" si="114"/>
        <v>100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IFERROR(__xludf.DUMMYFUNCTION("IMPORTRANGE(""https://docs.google.com/spreadsheets/d/1IYY_tgx_IHuhSq3AJ5eI5OnqOPBNLWSHKh2a30DoXe8/edit?usp=sharing"",""ปัตตานี!I317"")"),45.0)</f>
        <v>45</v>
      </c>
      <c r="J422" s="426">
        <f>IFERROR(__xludf.DUMMYFUNCTION("IMPORTRANGE(""https://docs.google.com/spreadsheets/d/1IYY_tgx_IHuhSq3AJ5eI5OnqOPBNLWSHKh2a30DoXe8/edit?usp=sharing"",""ปัตตานี!J317"")"),45.0)</f>
        <v>45</v>
      </c>
      <c r="K422" s="236">
        <f t="shared" si="114"/>
        <v>100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IFERROR(__xludf.DUMMYFUNCTION("IMPORTRANGE(""https://docs.google.com/spreadsheets/d/1IYY_tgx_IHuhSq3AJ5eI5OnqOPBNLWSHKh2a30DoXe8/edit?usp=sharing"",""ปัตตานี!I318"")"),15.0)</f>
        <v>15</v>
      </c>
      <c r="J423" s="427">
        <f>IFERROR(__xludf.DUMMYFUNCTION("IMPORTRANGE(""https://docs.google.com/spreadsheets/d/1IYY_tgx_IHuhSq3AJ5eI5OnqOPBNLWSHKh2a30DoXe8/edit?usp=sharing"",""ปัตตานี!J318"")"),15.0)</f>
        <v>15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IFERROR(__xludf.DUMMYFUNCTION("IMPORTRANGE(""https://docs.google.com/spreadsheets/d/1IYY_tgx_IHuhSq3AJ5eI5OnqOPBNLWSHKh2a30DoXe8/edit?usp=sharing"",""ปัตตานี!I319"")"),15.0)</f>
        <v>15</v>
      </c>
      <c r="J424" s="427">
        <f>IFERROR(__xludf.DUMMYFUNCTION("IMPORTRANGE(""https://docs.google.com/spreadsheets/d/1IYY_tgx_IHuhSq3AJ5eI5OnqOPBNLWSHKh2a30DoXe8/edit?usp=sharing"",""ปัตตานี!J319"")"),15.0)</f>
        <v>15</v>
      </c>
      <c r="K424" s="196">
        <f t="shared" si="114"/>
        <v>100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IFERROR(__xludf.DUMMYFUNCTION("IMPORTRANGE(""https://docs.google.com/spreadsheets/d/1IYY_tgx_IHuhSq3AJ5eI5OnqOPBNLWSHKh2a30DoXe8/edit?usp=sharing"",""ปัตตานี!I320"")"),15.0)</f>
        <v>15</v>
      </c>
      <c r="J425" s="427">
        <f>IFERROR(__xludf.DUMMYFUNCTION("IMPORTRANGE(""https://docs.google.com/spreadsheets/d/1IYY_tgx_IHuhSq3AJ5eI5OnqOPBNLWSHKh2a30DoXe8/edit?usp=sharing"",""ปัตตานี!J320"")"),15.0)</f>
        <v>15</v>
      </c>
      <c r="K425" s="196">
        <f t="shared" si="114"/>
        <v>100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IFERROR(__xludf.DUMMYFUNCTION("IMPORTRANGE(""https://docs.google.com/spreadsheets/d/1IYY_tgx_IHuhSq3AJ5eI5OnqOPBNLWSHKh2a30DoXe8/edit?usp=sharing"",""ปัตตานี!I321"")"),10.0)</f>
        <v>10</v>
      </c>
      <c r="J426" s="425">
        <f>IFERROR(__xludf.DUMMYFUNCTION("IMPORTRANGE(""https://docs.google.com/spreadsheets/d/1IYY_tgx_IHuhSq3AJ5eI5OnqOPBNLWSHKh2a30DoXe8/edit?usp=sharing"",""ปัตตานี!J321"")"),10.0)</f>
        <v>10</v>
      </c>
      <c r="K426" s="236">
        <f t="shared" si="114"/>
        <v>100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IFERROR(__xludf.DUMMYFUNCTION("IMPORTRANGE(""https://docs.google.com/spreadsheets/d/1IYY_tgx_IHuhSq3AJ5eI5OnqOPBNLWSHKh2a30DoXe8/edit?usp=sharing"",""ปัตตานี!I322"")"),30.0)</f>
        <v>30</v>
      </c>
      <c r="J427" s="426">
        <f>IFERROR(__xludf.DUMMYFUNCTION("IMPORTRANGE(""https://docs.google.com/spreadsheets/d/1IYY_tgx_IHuhSq3AJ5eI5OnqOPBNLWSHKh2a30DoXe8/edit?usp=sharing"",""ปัตตานี!J322"")"),30.0)</f>
        <v>30</v>
      </c>
      <c r="K427" s="236">
        <f t="shared" si="114"/>
        <v>100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IFERROR(__xludf.DUMMYFUNCTION("IMPORTRANGE(""https://docs.google.com/spreadsheets/d/1IYY_tgx_IHuhSq3AJ5eI5OnqOPBNLWSHKh2a30DoXe8/edit?usp=sharing"",""ปัตตานี!I323"")"),10.0)</f>
        <v>10</v>
      </c>
      <c r="J428" s="427">
        <f>IFERROR(__xludf.DUMMYFUNCTION("IMPORTRANGE(""https://docs.google.com/spreadsheets/d/1IYY_tgx_IHuhSq3AJ5eI5OnqOPBNLWSHKh2a30DoXe8/edit?usp=sharing"",""ปัตตานี!J323"")"),10.0)</f>
        <v>10</v>
      </c>
      <c r="K428" s="196">
        <f t="shared" si="114"/>
        <v>100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IFERROR(__xludf.DUMMYFUNCTION("IMPORTRANGE(""https://docs.google.com/spreadsheets/d/1IYY_tgx_IHuhSq3AJ5eI5OnqOPBNLWSHKh2a30DoXe8/edit?usp=sharing"",""ปัตตานี!I324"")"),10.0)</f>
        <v>10</v>
      </c>
      <c r="J429" s="427">
        <f>IFERROR(__xludf.DUMMYFUNCTION("IMPORTRANGE(""https://docs.google.com/spreadsheets/d/1IYY_tgx_IHuhSq3AJ5eI5OnqOPBNLWSHKh2a30DoXe8/edit?usp=sharing"",""ปัตตานี!J324"")"),10.0)</f>
        <v>10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IFERROR(__xludf.DUMMYFUNCTION("IMPORTRANGE(""https://docs.google.com/spreadsheets/d/1IYY_tgx_IHuhSq3AJ5eI5OnqOPBNLWSHKh2a30DoXe8/edit?usp=sharing"",""ปัตตานี!I325"")"),25.0)</f>
        <v>25</v>
      </c>
      <c r="J430" s="425">
        <f>IFERROR(__xludf.DUMMYFUNCTION("IMPORTRANGE(""https://docs.google.com/spreadsheets/d/1IYY_tgx_IHuhSq3AJ5eI5OnqOPBNLWSHKh2a30DoXe8/edit?usp=sharing"",""ปัตตานี!J325"")"),0.0)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IFERROR(__xludf.DUMMYFUNCTION("IMPORTRANGE(""https://docs.google.com/spreadsheets/d/1IYY_tgx_IHuhSq3AJ5eI5OnqOPBNLWSHKh2a30DoXe8/edit?usp=sharing"",""ปัตตานี!I326"")"),10.0)</f>
        <v>10</v>
      </c>
      <c r="J431" s="427">
        <f>IFERROR(__xludf.DUMMYFUNCTION("IMPORTRANGE(""https://docs.google.com/spreadsheets/d/1IYY_tgx_IHuhSq3AJ5eI5OnqOPBNLWSHKh2a30DoXe8/edit?usp=sharing"",""ปัตตานี!J326"")"),0.0)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IFERROR(__xludf.DUMMYFUNCTION("IMPORTRANGE(""https://docs.google.com/spreadsheets/d/1IYY_tgx_IHuhSq3AJ5eI5OnqOPBNLWSHKh2a30DoXe8/edit?usp=sharing"",""ปัตตานี!I327"")"),15.0)</f>
        <v>15</v>
      </c>
      <c r="J432" s="427">
        <f>IFERROR(__xludf.DUMMYFUNCTION("IMPORTRANGE(""https://docs.google.com/spreadsheets/d/1IYY_tgx_IHuhSq3AJ5eI5OnqOPBNLWSHKh2a30DoXe8/edit?usp=sharing"",""ปัตตานี!J327"")"),15.0)</f>
        <v>15</v>
      </c>
      <c r="K432" s="196">
        <f t="shared" si="114"/>
        <v>100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IFERROR(__xludf.DUMMYFUNCTION("IMPORTRANGE(""https://docs.google.com/spreadsheets/d/1IYY_tgx_IHuhSq3AJ5eI5OnqOPBNLWSHKh2a30DoXe8/edit?usp=sharing"",""ปัตตานี!J328"")"),0.0)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IFERROR(__xludf.DUMMYFUNCTION("IMPORTRANGE(""https://docs.google.com/spreadsheets/d/1IYY_tgx_IHuhSq3AJ5eI5OnqOPBNLWSHKh2a30DoXe8/edit?usp=sharing"",""ปัตตานี!J329"")"),0.0)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IFERROR(__xludf.DUMMYFUNCTION("IMPORTRANGE(""https://docs.google.com/spreadsheets/d/1IYY_tgx_IHuhSq3AJ5eI5OnqOPBNLWSHKh2a30DoXe8/edit?usp=sharing"",""ปัตตานี!I330"")"),10.0)</f>
        <v>10</v>
      </c>
      <c r="J435" s="443">
        <f>IFERROR(__xludf.DUMMYFUNCTION("IMPORTRANGE(""https://docs.google.com/spreadsheets/d/1IYY_tgx_IHuhSq3AJ5eI5OnqOPBNLWSHKh2a30DoXe8/edit?usp=sharing"",""ปัตตานี!J330"")"),10.0)</f>
        <v>10</v>
      </c>
      <c r="K435" s="444">
        <f>IF(I435&gt;0,J435*100/I435,0)</f>
        <v>100</v>
      </c>
      <c r="L435" s="445">
        <f>IFERROR(__xludf.DUMMYFUNCTION("IMPORTRANGE(""https://docs.google.com/spreadsheets/d/1IYY_tgx_IHuhSq3AJ5eI5OnqOPBNLWSHKh2a30DoXe8/edit?usp=sharing"",""ปัตตานี!L330"")"),71000.0)</f>
        <v>71000</v>
      </c>
      <c r="M435" s="445"/>
      <c r="N435" s="445">
        <f>IFERROR(__xludf.DUMMYFUNCTION("IMPORTRANGE(""https://docs.google.com/spreadsheets/d/1IYY_tgx_IHuhSq3AJ5eI5OnqOPBNLWSHKh2a30DoXe8/edit?usp=sharing"",""ปัตตานี!M330"")"),20200.0)</f>
        <v>20200</v>
      </c>
      <c r="O435" s="445">
        <f t="shared" ref="O435:O439" si="115">+IF(L435&gt;0,N435*100/L435,0)</f>
        <v>28.45070423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IFERROR(__xludf.DUMMYFUNCTION("IMPORTRANGE(""https://docs.google.com/spreadsheets/d/1IYY_tgx_IHuhSq3AJ5eI5OnqOPBNLWSHKh2a30DoXe8/edit?usp=sharing"",""ปัตตานี!L331"")"),0.0)</f>
        <v>0</v>
      </c>
      <c r="M436" s="197"/>
      <c r="N436" s="203">
        <f>IFERROR(__xludf.DUMMYFUNCTION("IMPORTRANGE(""https://docs.google.com/spreadsheets/d/1IYY_tgx_IHuhSq3AJ5eI5OnqOPBNLWSHKh2a30DoXe8/edit?usp=sharing"",""ปัตตานี!M331"")"),0.0)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IFERROR(__xludf.DUMMYFUNCTION("IMPORTRANGE(""https://docs.google.com/spreadsheets/d/1IYY_tgx_IHuhSq3AJ5eI5OnqOPBNLWSHKh2a30DoXe8/edit?usp=sharing"",""ปัตตานี!L332"")"),71000.0)</f>
        <v>71000</v>
      </c>
      <c r="M437" s="198"/>
      <c r="N437" s="203">
        <f>IFERROR(__xludf.DUMMYFUNCTION("IMPORTRANGE(""https://docs.google.com/spreadsheets/d/1IYY_tgx_IHuhSq3AJ5eI5OnqOPBNLWSHKh2a30DoXe8/edit?usp=sharing"",""ปัตตานี!M332"")"),20200.0)</f>
        <v>20200</v>
      </c>
      <c r="O437" s="203">
        <f t="shared" si="115"/>
        <v>28.45070423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IFERROR(__xludf.DUMMYFUNCTION("IMPORTRANGE(""https://docs.google.com/spreadsheets/d/1IYY_tgx_IHuhSq3AJ5eI5OnqOPBNLWSHKh2a30DoXe8/edit?usp=sharing"",""ปัตตานี!L333"")"),0.0)</f>
        <v>0</v>
      </c>
      <c r="M438" s="203"/>
      <c r="N438" s="203">
        <f>IFERROR(__xludf.DUMMYFUNCTION("IMPORTRANGE(""https://docs.google.com/spreadsheets/d/1IYY_tgx_IHuhSq3AJ5eI5OnqOPBNLWSHKh2a30DoXe8/edit?usp=sharing"",""ปัตตานี!M333"")"),0.0)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IFERROR(__xludf.DUMMYFUNCTION("IMPORTRANGE(""https://docs.google.com/spreadsheets/d/1IYY_tgx_IHuhSq3AJ5eI5OnqOPBNLWSHKh2a30DoXe8/edit?usp=sharing"",""ปัตตานี!L334"")"),71000.0)</f>
        <v>71000</v>
      </c>
      <c r="M439" s="203"/>
      <c r="N439" s="203">
        <f>IFERROR(__xludf.DUMMYFUNCTION("IMPORTRANGE(""https://docs.google.com/spreadsheets/d/1IYY_tgx_IHuhSq3AJ5eI5OnqOPBNLWSHKh2a30DoXe8/edit?usp=sharing"",""ปัตตานี!M334"")"),20200.0)</f>
        <v>20200</v>
      </c>
      <c r="O439" s="203">
        <f t="shared" si="115"/>
        <v>28.45070423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IFERROR(__xludf.DUMMYFUNCTION("IMPORTRANGE(""https://docs.google.com/spreadsheets/d/1IYY_tgx_IHuhSq3AJ5eI5OnqOPBNLWSHKh2a30DoXe8/edit?usp=sharing"",""ปัตตานี!M335"")"),20200.0)</f>
        <v>20200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IFERROR(__xludf.DUMMYFUNCTION("IMPORTRANGE(""https://docs.google.com/spreadsheets/d/1IYY_tgx_IHuhSq3AJ5eI5OnqOPBNLWSHKh2a30DoXe8/edit?usp=sharing"",""ปัตตานี!M336"")"),0.0)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IFERROR(__xludf.DUMMYFUNCTION("IMPORTRANGE(""https://docs.google.com/spreadsheets/d/1IYY_tgx_IHuhSq3AJ5eI5OnqOPBNLWSHKh2a30DoXe8/edit?usp=sharing"",""ปัตตานี!M337"")"),0.0)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IFERROR(__xludf.DUMMYFUNCTION("IMPORTRANGE(""https://docs.google.com/spreadsheets/d/1IYY_tgx_IHuhSq3AJ5eI5OnqOPBNLWSHKh2a30DoXe8/edit?usp=sharing"",""ปัตตานี!M338"")"),0.0)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IFERROR(__xludf.DUMMYFUNCTION("IMPORTRANGE(""https://docs.google.com/spreadsheets/d/1IYY_tgx_IHuhSq3AJ5eI5OnqOPBNLWSHKh2a30DoXe8/edit?usp=sharing"",""ปัตตานี!J340"")"),0.0)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IFERROR(__xludf.DUMMYFUNCTION("IMPORTRANGE(""https://docs.google.com/spreadsheets/d/1IYY_tgx_IHuhSq3AJ5eI5OnqOPBNLWSHKh2a30DoXe8/edit?usp=sharing"",""ปัตตานี!J341"")"),1.0)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IFERROR(__xludf.DUMMYFUNCTION("IMPORTRANGE(""https://docs.google.com/spreadsheets/d/1IYY_tgx_IHuhSq3AJ5eI5OnqOPBNLWSHKh2a30DoXe8/edit?usp=sharing"",""ปัตตานี!J342"")"),1.0)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IFERROR(__xludf.DUMMYFUNCTION("IMPORTRANGE(""https://docs.google.com/spreadsheets/d/1IYY_tgx_IHuhSq3AJ5eI5OnqOPBNLWSHKh2a30DoXe8/edit?usp=sharing"",""ปัตตานี!J343"")"),1.0)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IFERROR(__xludf.DUMMYFUNCTION("IMPORTRANGE(""https://docs.google.com/spreadsheets/d/1IYY_tgx_IHuhSq3AJ5eI5OnqOPBNLWSHKh2a30DoXe8/edit?usp=sharing"",""ปัตตานี!I344"")"),10.0)</f>
        <v>10</v>
      </c>
      <c r="J449" s="235">
        <f>IFERROR(__xludf.DUMMYFUNCTION("IMPORTRANGE(""https://docs.google.com/spreadsheets/d/1IYY_tgx_IHuhSq3AJ5eI5OnqOPBNLWSHKh2a30DoXe8/edit?usp=sharing"",""ปัตตานี!J344"")"),10.0)</f>
        <v>10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IFERROR(__xludf.DUMMYFUNCTION("IMPORTRANGE(""https://docs.google.com/spreadsheets/d/1IYY_tgx_IHuhSq3AJ5eI5OnqOPBNLWSHKh2a30DoXe8/edit?usp=sharing"",""ปัตตานี!I345"")"),10.0)</f>
        <v>10</v>
      </c>
      <c r="J450" s="223">
        <f>IFERROR(__xludf.DUMMYFUNCTION("IMPORTRANGE(""https://docs.google.com/spreadsheets/d/1IYY_tgx_IHuhSq3AJ5eI5OnqOPBNLWSHKh2a30DoXe8/edit?usp=sharing"",""ปัตตานี!J345"")"),10.0)</f>
        <v>10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IFERROR(__xludf.DUMMYFUNCTION("IMPORTRANGE(""https://docs.google.com/spreadsheets/d/1IYY_tgx_IHuhSq3AJ5eI5OnqOPBNLWSHKh2a30DoXe8/edit?usp=sharing"",""ปัตตานี!I346"")"),0.0)</f>
        <v>0</v>
      </c>
      <c r="J451" s="222">
        <f>IFERROR(__xludf.DUMMYFUNCTION("IMPORTRANGE(""https://docs.google.com/spreadsheets/d/1IYY_tgx_IHuhSq3AJ5eI5OnqOPBNLWSHKh2a30DoXe8/edit?usp=sharing"",""ปัตตานี!J346"")"),0.0)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IFERROR(__xludf.DUMMYFUNCTION("IMPORTRANGE(""https://docs.google.com/spreadsheets/d/1IYY_tgx_IHuhSq3AJ5eI5OnqOPBNLWSHKh2a30DoXe8/edit?usp=sharing"",""ปัตตานี!I347"")"),0.0)</f>
        <v>0</v>
      </c>
      <c r="J452" s="222">
        <f>IFERROR(__xludf.DUMMYFUNCTION("IMPORTRANGE(""https://docs.google.com/spreadsheets/d/1IYY_tgx_IHuhSq3AJ5eI5OnqOPBNLWSHKh2a30DoXe8/edit?usp=sharing"",""ปัตตานี!J347"")"),0.0)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IFERROR(__xludf.DUMMYFUNCTION("IMPORTRANGE(""https://docs.google.com/spreadsheets/d/1IYY_tgx_IHuhSq3AJ5eI5OnqOPBNLWSHKh2a30DoXe8/edit?usp=sharing"",""ปัตตานี!J348"")"),0.0)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IFERROR(__xludf.DUMMYFUNCTION("IMPORTRANGE(""https://docs.google.com/spreadsheets/d/1IYY_tgx_IHuhSq3AJ5eI5OnqOPBNLWSHKh2a30DoXe8/edit?usp=sharing"",""ปัตตานี!J349"")"),0.0)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IFERROR(__xludf.DUMMYFUNCTION("IMPORTRANGE(""https://docs.google.com/spreadsheets/d/1IYY_tgx_IHuhSq3AJ5eI5OnqOPBNLWSHKh2a30DoXe8/edit?usp=sharing"",""ปัตตานี!I350"")"),2183.0)</f>
        <v>2183</v>
      </c>
      <c r="J455" s="404">
        <f>IFERROR(__xludf.DUMMYFUNCTION("IMPORTRANGE(""https://docs.google.com/spreadsheets/d/1IYY_tgx_IHuhSq3AJ5eI5OnqOPBNLWSHKh2a30DoXe8/edit?usp=sharing"",""ปัตตานี!J350"")"),0.0)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IFERROR(__xludf.DUMMYFUNCTION("IMPORTRANGE(""https://docs.google.com/spreadsheets/d/1IYY_tgx_IHuhSq3AJ5eI5OnqOPBNLWSHKh2a30DoXe8/edit?usp=sharing"",""ปัตตานี!L350"")"),53226.0)</f>
        <v>53226</v>
      </c>
      <c r="M455" s="406"/>
      <c r="N455" s="406">
        <f>IFERROR(__xludf.DUMMYFUNCTION("IMPORTRANGE(""https://docs.google.com/spreadsheets/d/1IYY_tgx_IHuhSq3AJ5eI5OnqOPBNLWSHKh2a30DoXe8/edit?usp=sharing"",""ปัตตานี!M350"")"),0.0)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IFERROR(__xludf.DUMMYFUNCTION("IMPORTRANGE(""https://docs.google.com/spreadsheets/d/1IYY_tgx_IHuhSq3AJ5eI5OnqOPBNLWSHKh2a30DoXe8/edit?usp=sharing"",""ปัตตานี!L351"")"),0.0)</f>
        <v>0</v>
      </c>
      <c r="M456" s="197"/>
      <c r="N456" s="203">
        <f>IFERROR(__xludf.DUMMYFUNCTION("IMPORTRANGE(""https://docs.google.com/spreadsheets/d/1IYY_tgx_IHuhSq3AJ5eI5OnqOPBNLWSHKh2a30DoXe8/edit?usp=sharing"",""ปัตตานี!M351"")"),0.0)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IFERROR(__xludf.DUMMYFUNCTION("IMPORTRANGE(""https://docs.google.com/spreadsheets/d/1IYY_tgx_IHuhSq3AJ5eI5OnqOPBNLWSHKh2a30DoXe8/edit?usp=sharing"",""ปัตตานี!L352"")"),53226.0)</f>
        <v>53226</v>
      </c>
      <c r="M457" s="198"/>
      <c r="N457" s="203">
        <f>IFERROR(__xludf.DUMMYFUNCTION("IMPORTRANGE(""https://docs.google.com/spreadsheets/d/1IYY_tgx_IHuhSq3AJ5eI5OnqOPBNLWSHKh2a30DoXe8/edit?usp=sharing"",""ปัตตานี!M352"")"),0.0)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IFERROR(__xludf.DUMMYFUNCTION("IMPORTRANGE(""https://docs.google.com/spreadsheets/d/1IYY_tgx_IHuhSq3AJ5eI5OnqOPBNLWSHKh2a30DoXe8/edit?usp=sharing"",""ปัตตานี!L353"")"),0.0)</f>
        <v>0</v>
      </c>
      <c r="M458" s="203"/>
      <c r="N458" s="203">
        <f>IFERROR(__xludf.DUMMYFUNCTION("IMPORTRANGE(""https://docs.google.com/spreadsheets/d/1IYY_tgx_IHuhSq3AJ5eI5OnqOPBNLWSHKh2a30DoXe8/edit?usp=sharing"",""ปัตตานี!M353"")"),0.0)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IFERROR(__xludf.DUMMYFUNCTION("IMPORTRANGE(""https://docs.google.com/spreadsheets/d/1IYY_tgx_IHuhSq3AJ5eI5OnqOPBNLWSHKh2a30DoXe8/edit?usp=sharing"",""ปัตตานี!L354"")"),53226.0)</f>
        <v>53226</v>
      </c>
      <c r="M459" s="203"/>
      <c r="N459" s="203">
        <f>IFERROR(__xludf.DUMMYFUNCTION("IMPORTRANGE(""https://docs.google.com/spreadsheets/d/1IYY_tgx_IHuhSq3AJ5eI5OnqOPBNLWSHKh2a30DoXe8/edit?usp=sharing"",""ปัตตานี!M354"")"),0.0)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IFERROR(__xludf.DUMMYFUNCTION("IMPORTRANGE(""https://docs.google.com/spreadsheets/d/1IYY_tgx_IHuhSq3AJ5eI5OnqOPBNLWSHKh2a30DoXe8/edit?usp=sharing"",""ปัตตานี!M355"")"),0.0)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IFERROR(__xludf.DUMMYFUNCTION("IMPORTRANGE(""https://docs.google.com/spreadsheets/d/1IYY_tgx_IHuhSq3AJ5eI5OnqOPBNLWSHKh2a30DoXe8/edit?usp=sharing"",""ปัตตานี!M356"")"),0.0)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IFERROR(__xludf.DUMMYFUNCTION("IMPORTRANGE(""https://docs.google.com/spreadsheets/d/1IYY_tgx_IHuhSq3AJ5eI5OnqOPBNLWSHKh2a30DoXe8/edit?usp=sharing"",""ปัตตานี!M357"")"),0.0)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IFERROR(__xludf.DUMMYFUNCTION("IMPORTRANGE(""https://docs.google.com/spreadsheets/d/1IYY_tgx_IHuhSq3AJ5eI5OnqOPBNLWSHKh2a30DoXe8/edit?usp=sharing"",""ปัตตานี!M358"")"),0.0)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IFERROR(__xludf.DUMMYFUNCTION("IMPORTRANGE(""https://docs.google.com/spreadsheets/d/1IYY_tgx_IHuhSq3AJ5eI5OnqOPBNLWSHKh2a30DoXe8/edit?usp=sharing"",""ปัตตานี!I359"")"),2183.0)</f>
        <v>2183</v>
      </c>
      <c r="J464" s="301">
        <f>IFERROR(__xludf.DUMMYFUNCTION("IMPORTRANGE(""https://docs.google.com/spreadsheets/d/1IYY_tgx_IHuhSq3AJ5eI5OnqOPBNLWSHKh2a30DoXe8/edit?usp=sharing"",""ปัตตานี!J359"")"),0.0)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IFERROR(__xludf.DUMMYFUNCTION("IMPORTRANGE(""https://docs.google.com/spreadsheets/d/1IYY_tgx_IHuhSq3AJ5eI5OnqOPBNLWSHKh2a30DoXe8/edit?usp=sharing"",""ปัตตานี!I360"")"),2183.0)</f>
        <v>2183</v>
      </c>
      <c r="J465" s="453">
        <f>IFERROR(__xludf.DUMMYFUNCTION("IMPORTRANGE(""https://docs.google.com/spreadsheets/d/1IYY_tgx_IHuhSq3AJ5eI5OnqOPBNLWSHKh2a30DoXe8/edit?usp=sharing"",""ปัตตานี!J360"")"),0.0)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IFERROR(__xludf.DUMMYFUNCTION("IMPORTRANGE(""https://docs.google.com/spreadsheets/d/1IYY_tgx_IHuhSq3AJ5eI5OnqOPBNLWSHKh2a30DoXe8/edit?usp=sharing"",""ปัตตานี!I361"")"),396.0)</f>
        <v>396</v>
      </c>
      <c r="J466" s="453">
        <f>IFERROR(__xludf.DUMMYFUNCTION("IMPORTRANGE(""https://docs.google.com/spreadsheets/d/1IYY_tgx_IHuhSq3AJ5eI5OnqOPBNLWSHKh2a30DoXe8/edit?usp=sharing"",""ปัตตานี!J361"")"),0.0)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IFERROR(__xludf.DUMMYFUNCTION("IMPORTRANGE(""https://docs.google.com/spreadsheets/d/1IYY_tgx_IHuhSq3AJ5eI5OnqOPBNLWSHKh2a30DoXe8/edit?usp=sharing"",""ปัตตานี!I362"")"),0.0)</f>
        <v>0</v>
      </c>
      <c r="J467" s="223">
        <f>IFERROR(__xludf.DUMMYFUNCTION("IMPORTRANGE(""https://docs.google.com/spreadsheets/d/1IYY_tgx_IHuhSq3AJ5eI5OnqOPBNLWSHKh2a30DoXe8/edit?usp=sharing"",""ปัตตานี!J362"")"),0.0)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IFERROR(__xludf.DUMMYFUNCTION("IMPORTRANGE(""https://docs.google.com/spreadsheets/d/1IYY_tgx_IHuhSq3AJ5eI5OnqOPBNLWSHKh2a30DoXe8/edit?usp=sharing"",""ปัตตานี!I363"")"),0.0)</f>
        <v>0</v>
      </c>
      <c r="J468" s="223">
        <f>IFERROR(__xludf.DUMMYFUNCTION("IMPORTRANGE(""https://docs.google.com/spreadsheets/d/1IYY_tgx_IHuhSq3AJ5eI5OnqOPBNLWSHKh2a30DoXe8/edit?usp=sharing"",""ปัตตานี!J363"")"),0.0)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IFERROR(__xludf.DUMMYFUNCTION("IMPORTRANGE(""https://docs.google.com/spreadsheets/d/1IYY_tgx_IHuhSq3AJ5eI5OnqOPBNLWSHKh2a30DoXe8/edit?usp=sharing"",""ปัตตานี!I364"")"),0.0)</f>
        <v>0</v>
      </c>
      <c r="J469" s="223">
        <f>IFERROR(__xludf.DUMMYFUNCTION("IMPORTRANGE(""https://docs.google.com/spreadsheets/d/1IYY_tgx_IHuhSq3AJ5eI5OnqOPBNLWSHKh2a30DoXe8/edit?usp=sharing"",""ปัตตานี!J364"")"),0.0)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IFERROR(__xludf.DUMMYFUNCTION("IMPORTRANGE(""https://docs.google.com/spreadsheets/d/1IYY_tgx_IHuhSq3AJ5eI5OnqOPBNLWSHKh2a30DoXe8/edit?usp=sharing"",""ปัตตานี!I365"")"),0.0)</f>
        <v>0</v>
      </c>
      <c r="J470" s="223">
        <f>IFERROR(__xludf.DUMMYFUNCTION("IMPORTRANGE(""https://docs.google.com/spreadsheets/d/1IYY_tgx_IHuhSq3AJ5eI5OnqOPBNLWSHKh2a30DoXe8/edit?usp=sharing"",""ปัตตานี!J365"")"),0.0)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IFERROR(__xludf.DUMMYFUNCTION("IMPORTRANGE(""https://docs.google.com/spreadsheets/d/1IYY_tgx_IHuhSq3AJ5eI5OnqOPBNLWSHKh2a30DoXe8/edit?usp=sharing"",""ปัตตานี!I366"")"),0.0)</f>
        <v>0</v>
      </c>
      <c r="J471" s="223">
        <f>IFERROR(__xludf.DUMMYFUNCTION("IMPORTRANGE(""https://docs.google.com/spreadsheets/d/1IYY_tgx_IHuhSq3AJ5eI5OnqOPBNLWSHKh2a30DoXe8/edit?usp=sharing"",""ปัตตานี!J366"")"),0.0)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IFERROR(__xludf.DUMMYFUNCTION("IMPORTRANGE(""https://docs.google.com/spreadsheets/d/1IYY_tgx_IHuhSq3AJ5eI5OnqOPBNLWSHKh2a30DoXe8/edit?usp=sharing"",""ปัตตานี!I367"")"),0.0)</f>
        <v>0</v>
      </c>
      <c r="J472" s="223">
        <f>IFERROR(__xludf.DUMMYFUNCTION("IMPORTRANGE(""https://docs.google.com/spreadsheets/d/1IYY_tgx_IHuhSq3AJ5eI5OnqOPBNLWSHKh2a30DoXe8/edit?usp=sharing"",""ปัตตานี!J367"")"),0.0)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IFERROR(__xludf.DUMMYFUNCTION("IMPORTRANGE(""https://docs.google.com/spreadsheets/d/1IYY_tgx_IHuhSq3AJ5eI5OnqOPBNLWSHKh2a30DoXe8/edit?usp=sharing"",""ปัตตานี!I368"")"),2183.0)</f>
        <v>2183</v>
      </c>
      <c r="J473" s="453">
        <f>IFERROR(__xludf.DUMMYFUNCTION("IMPORTRANGE(""https://docs.google.com/spreadsheets/d/1IYY_tgx_IHuhSq3AJ5eI5OnqOPBNLWSHKh2a30DoXe8/edit?usp=sharing"",""ปัตตานี!J368"")"),0.0)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IFERROR(__xludf.DUMMYFUNCTION("IMPORTRANGE(""https://docs.google.com/spreadsheets/d/1IYY_tgx_IHuhSq3AJ5eI5OnqOPBNLWSHKh2a30DoXe8/edit?usp=sharing"",""ปัตตานี!I369"")"),396.0)</f>
        <v>396</v>
      </c>
      <c r="J474" s="453">
        <f>IFERROR(__xludf.DUMMYFUNCTION("IMPORTRANGE(""https://docs.google.com/spreadsheets/d/1IYY_tgx_IHuhSq3AJ5eI5OnqOPBNLWSHKh2a30DoXe8/edit?usp=sharing"",""ปัตตานี!J369"")"),0.0)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IFERROR(__xludf.DUMMYFUNCTION("IMPORTRANGE(""https://docs.google.com/spreadsheets/d/1IYY_tgx_IHuhSq3AJ5eI5OnqOPBNLWSHKh2a30DoXe8/edit?usp=sharing"",""ปัตตานี!I370"")"),0.0)</f>
        <v>0</v>
      </c>
      <c r="J475" s="223">
        <f>IFERROR(__xludf.DUMMYFUNCTION("IMPORTRANGE(""https://docs.google.com/spreadsheets/d/1IYY_tgx_IHuhSq3AJ5eI5OnqOPBNLWSHKh2a30DoXe8/edit?usp=sharing"",""ปัตตานี!J370"")"),0.0)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IFERROR(__xludf.DUMMYFUNCTION("IMPORTRANGE(""https://docs.google.com/spreadsheets/d/1IYY_tgx_IHuhSq3AJ5eI5OnqOPBNLWSHKh2a30DoXe8/edit?usp=sharing"",""ปัตตานี!I371"")"),0.0)</f>
        <v>0</v>
      </c>
      <c r="J476" s="223">
        <f>IFERROR(__xludf.DUMMYFUNCTION("IMPORTRANGE(""https://docs.google.com/spreadsheets/d/1IYY_tgx_IHuhSq3AJ5eI5OnqOPBNLWSHKh2a30DoXe8/edit?usp=sharing"",""ปัตตานี!J371"")"),0.0)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IFERROR(__xludf.DUMMYFUNCTION("IMPORTRANGE(""https://docs.google.com/spreadsheets/d/1IYY_tgx_IHuhSq3AJ5eI5OnqOPBNLWSHKh2a30DoXe8/edit?usp=sharing"",""ปัตตานี!I372"")"),0.0)</f>
        <v>0</v>
      </c>
      <c r="J477" s="223">
        <f>IFERROR(__xludf.DUMMYFUNCTION("IMPORTRANGE(""https://docs.google.com/spreadsheets/d/1IYY_tgx_IHuhSq3AJ5eI5OnqOPBNLWSHKh2a30DoXe8/edit?usp=sharing"",""ปัตตานี!J372"")"),0.0)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IFERROR(__xludf.DUMMYFUNCTION("IMPORTRANGE(""https://docs.google.com/spreadsheets/d/1IYY_tgx_IHuhSq3AJ5eI5OnqOPBNLWSHKh2a30DoXe8/edit?usp=sharing"",""ปัตตานี!I373"")"),0.0)</f>
        <v>0</v>
      </c>
      <c r="J478" s="223">
        <f>IFERROR(__xludf.DUMMYFUNCTION("IMPORTRANGE(""https://docs.google.com/spreadsheets/d/1IYY_tgx_IHuhSq3AJ5eI5OnqOPBNLWSHKh2a30DoXe8/edit?usp=sharing"",""ปัตตานี!J373"")"),0.0)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IFERROR(__xludf.DUMMYFUNCTION("IMPORTRANGE(""https://docs.google.com/spreadsheets/d/1IYY_tgx_IHuhSq3AJ5eI5OnqOPBNLWSHKh2a30DoXe8/edit?usp=sharing"",""ปัตตานี!I374"")"),0.0)</f>
        <v>0</v>
      </c>
      <c r="J479" s="223">
        <f>IFERROR(__xludf.DUMMYFUNCTION("IMPORTRANGE(""https://docs.google.com/spreadsheets/d/1IYY_tgx_IHuhSq3AJ5eI5OnqOPBNLWSHKh2a30DoXe8/edit?usp=sharing"",""ปัตตานี!J374"")"),0.0)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IFERROR(__xludf.DUMMYFUNCTION("IMPORTRANGE(""https://docs.google.com/spreadsheets/d/1IYY_tgx_IHuhSq3AJ5eI5OnqOPBNLWSHKh2a30DoXe8/edit?usp=sharing"",""ปัตตานี!I375"")"),0.0)</f>
        <v>0</v>
      </c>
      <c r="J480" s="223">
        <f>IFERROR(__xludf.DUMMYFUNCTION("IMPORTRANGE(""https://docs.google.com/spreadsheets/d/1IYY_tgx_IHuhSq3AJ5eI5OnqOPBNLWSHKh2a30DoXe8/edit?usp=sharing"",""ปัตตานี!J375"")"),0.0)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IFERROR(__xludf.DUMMYFUNCTION("IMPORTRANGE(""https://docs.google.com/spreadsheets/d/1IYY_tgx_IHuhSq3AJ5eI5OnqOPBNLWSHKh2a30DoXe8/edit?usp=sharing"",""ปัตตานี!I376"")"),2183.0)</f>
        <v>2183</v>
      </c>
      <c r="J481" s="453">
        <f>IFERROR(__xludf.DUMMYFUNCTION("IMPORTRANGE(""https://docs.google.com/spreadsheets/d/1IYY_tgx_IHuhSq3AJ5eI5OnqOPBNLWSHKh2a30DoXe8/edit?usp=sharing"",""ปัตตานี!J376"")"),0.0)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IFERROR(__xludf.DUMMYFUNCTION("IMPORTRANGE(""https://docs.google.com/spreadsheets/d/1IYY_tgx_IHuhSq3AJ5eI5OnqOPBNLWSHKh2a30DoXe8/edit?usp=sharing"",""ปัตตานี!I377"")"),396.0)</f>
        <v>396</v>
      </c>
      <c r="J482" s="453">
        <f>IFERROR(__xludf.DUMMYFUNCTION("IMPORTRANGE(""https://docs.google.com/spreadsheets/d/1IYY_tgx_IHuhSq3AJ5eI5OnqOPBNLWSHKh2a30DoXe8/edit?usp=sharing"",""ปัตตานี!J377"")"),0.0)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IFERROR(__xludf.DUMMYFUNCTION("IMPORTRANGE(""https://docs.google.com/spreadsheets/d/1IYY_tgx_IHuhSq3AJ5eI5OnqOPBNLWSHKh2a30DoXe8/edit?usp=sharing"",""ปัตตานี!I378"")"),0.0)</f>
        <v>0</v>
      </c>
      <c r="J483" s="223">
        <f>IFERROR(__xludf.DUMMYFUNCTION("IMPORTRANGE(""https://docs.google.com/spreadsheets/d/1IYY_tgx_IHuhSq3AJ5eI5OnqOPBNLWSHKh2a30DoXe8/edit?usp=sharing"",""ปัตตานี!J378"")"),0.0)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IFERROR(__xludf.DUMMYFUNCTION("IMPORTRANGE(""https://docs.google.com/spreadsheets/d/1IYY_tgx_IHuhSq3AJ5eI5OnqOPBNLWSHKh2a30DoXe8/edit?usp=sharing"",""ปัตตานี!I379"")"),0.0)</f>
        <v>0</v>
      </c>
      <c r="J484" s="223">
        <f>IFERROR(__xludf.DUMMYFUNCTION("IMPORTRANGE(""https://docs.google.com/spreadsheets/d/1IYY_tgx_IHuhSq3AJ5eI5OnqOPBNLWSHKh2a30DoXe8/edit?usp=sharing"",""ปัตตานี!J379"")"),0.0)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IFERROR(__xludf.DUMMYFUNCTION("IMPORTRANGE(""https://docs.google.com/spreadsheets/d/1IYY_tgx_IHuhSq3AJ5eI5OnqOPBNLWSHKh2a30DoXe8/edit?usp=sharing"",""ปัตตานี!I380"")"),0.0)</f>
        <v>0</v>
      </c>
      <c r="J485" s="223">
        <f>IFERROR(__xludf.DUMMYFUNCTION("IMPORTRANGE(""https://docs.google.com/spreadsheets/d/1IYY_tgx_IHuhSq3AJ5eI5OnqOPBNLWSHKh2a30DoXe8/edit?usp=sharing"",""ปัตตานี!J380"")"),0.0)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IFERROR(__xludf.DUMMYFUNCTION("IMPORTRANGE(""https://docs.google.com/spreadsheets/d/1IYY_tgx_IHuhSq3AJ5eI5OnqOPBNLWSHKh2a30DoXe8/edit?usp=sharing"",""ปัตตานี!I381"")"),0.0)</f>
        <v>0</v>
      </c>
      <c r="J486" s="223">
        <f>IFERROR(__xludf.DUMMYFUNCTION("IMPORTRANGE(""https://docs.google.com/spreadsheets/d/1IYY_tgx_IHuhSq3AJ5eI5OnqOPBNLWSHKh2a30DoXe8/edit?usp=sharing"",""ปัตตานี!J381"")"),0.0)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IFERROR(__xludf.DUMMYFUNCTION("IMPORTRANGE(""https://docs.google.com/spreadsheets/d/1IYY_tgx_IHuhSq3AJ5eI5OnqOPBNLWSHKh2a30DoXe8/edit?usp=sharing"",""ปัตตานี!I382"")"),0.0)</f>
        <v>0</v>
      </c>
      <c r="J487" s="453">
        <f>IFERROR(__xludf.DUMMYFUNCTION("IMPORTRANGE(""https://docs.google.com/spreadsheets/d/1IYY_tgx_IHuhSq3AJ5eI5OnqOPBNLWSHKh2a30DoXe8/edit?usp=sharing"",""ปัตตานี!J382"")"),0.0)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IFERROR(__xludf.DUMMYFUNCTION("IMPORTRANGE(""https://docs.google.com/spreadsheets/d/1IYY_tgx_IHuhSq3AJ5eI5OnqOPBNLWSHKh2a30DoXe8/edit?usp=sharing"",""ปัตตานี!I383"")"),0.0)</f>
        <v>0</v>
      </c>
      <c r="J488" s="453">
        <f>IFERROR(__xludf.DUMMYFUNCTION("IMPORTRANGE(""https://docs.google.com/spreadsheets/d/1IYY_tgx_IHuhSq3AJ5eI5OnqOPBNLWSHKh2a30DoXe8/edit?usp=sharing"",""ปัตตานี!J383"")"),0.0)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IFERROR(__xludf.DUMMYFUNCTION("IMPORTRANGE(""https://docs.google.com/spreadsheets/d/1IYY_tgx_IHuhSq3AJ5eI5OnqOPBNLWSHKh2a30DoXe8/edit?usp=sharing"",""ปัตตานี!I384"")"),0.0)</f>
        <v>0</v>
      </c>
      <c r="J489" s="223">
        <f>IFERROR(__xludf.DUMMYFUNCTION("IMPORTRANGE(""https://docs.google.com/spreadsheets/d/1IYY_tgx_IHuhSq3AJ5eI5OnqOPBNLWSHKh2a30DoXe8/edit?usp=sharing"",""ปัตตานี!J384"")"),0.0)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IFERROR(__xludf.DUMMYFUNCTION("IMPORTRANGE(""https://docs.google.com/spreadsheets/d/1IYY_tgx_IHuhSq3AJ5eI5OnqOPBNLWSHKh2a30DoXe8/edit?usp=sharing"",""ปัตตานี!I385"")"),0.0)</f>
        <v>0</v>
      </c>
      <c r="J490" s="223">
        <f>IFERROR(__xludf.DUMMYFUNCTION("IMPORTRANGE(""https://docs.google.com/spreadsheets/d/1IYY_tgx_IHuhSq3AJ5eI5OnqOPBNLWSHKh2a30DoXe8/edit?usp=sharing"",""ปัตตานี!J385"")"),0.0)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IFERROR(__xludf.DUMMYFUNCTION("IMPORTRANGE(""https://docs.google.com/spreadsheets/d/1IYY_tgx_IHuhSq3AJ5eI5OnqOPBNLWSHKh2a30DoXe8/edit?usp=sharing"",""ปัตตานี!I386"")"),0.0)</f>
        <v>0</v>
      </c>
      <c r="J491" s="223">
        <f>IFERROR(__xludf.DUMMYFUNCTION("IMPORTRANGE(""https://docs.google.com/spreadsheets/d/1IYY_tgx_IHuhSq3AJ5eI5OnqOPBNLWSHKh2a30DoXe8/edit?usp=sharing"",""ปัตตานี!J386"")"),0.0)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IFERROR(__xludf.DUMMYFUNCTION("IMPORTRANGE(""https://docs.google.com/spreadsheets/d/1IYY_tgx_IHuhSq3AJ5eI5OnqOPBNLWSHKh2a30DoXe8/edit?usp=sharing"",""ปัตตานี!I387"")"),0.0)</f>
        <v>0</v>
      </c>
      <c r="J492" s="223">
        <f>IFERROR(__xludf.DUMMYFUNCTION("IMPORTRANGE(""https://docs.google.com/spreadsheets/d/1IYY_tgx_IHuhSq3AJ5eI5OnqOPBNLWSHKh2a30DoXe8/edit?usp=sharing"",""ปัตตานี!J387"")"),0.0)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IFERROR(__xludf.DUMMYFUNCTION("IMPORTRANGE(""https://docs.google.com/spreadsheets/d/1IYY_tgx_IHuhSq3AJ5eI5OnqOPBNLWSHKh2a30DoXe8/edit?usp=sharing"",""ปัตตานี!I388"")"),0.0)</f>
        <v>0</v>
      </c>
      <c r="J493" s="223">
        <f>IFERROR(__xludf.DUMMYFUNCTION("IMPORTRANGE(""https://docs.google.com/spreadsheets/d/1IYY_tgx_IHuhSq3AJ5eI5OnqOPBNLWSHKh2a30DoXe8/edit?usp=sharing"",""ปัตตานี!J388"")"),0.0)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IFERROR(__xludf.DUMMYFUNCTION("IMPORTRANGE(""https://docs.google.com/spreadsheets/d/1IYY_tgx_IHuhSq3AJ5eI5OnqOPBNLWSHKh2a30DoXe8/edit?usp=sharing"",""ปัตตานี!I389"")"),0.0)</f>
        <v>0</v>
      </c>
      <c r="J494" s="469">
        <f>IFERROR(__xludf.DUMMYFUNCTION("IMPORTRANGE(""https://docs.google.com/spreadsheets/d/1IYY_tgx_IHuhSq3AJ5eI5OnqOPBNLWSHKh2a30DoXe8/edit?usp=sharing"",""ปัตตานี!J389"")"),0.0)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IFERROR(__xludf.DUMMYFUNCTION("IMPORTRANGE(""https://docs.google.com/spreadsheets/d/1IYY_tgx_IHuhSq3AJ5eI5OnqOPBNLWSHKh2a30DoXe8/edit?usp=sharing"",""ปัตตานี!I390"")"),0.0)</f>
        <v>0</v>
      </c>
      <c r="J495" s="469">
        <f>IFERROR(__xludf.DUMMYFUNCTION("IMPORTRANGE(""https://docs.google.com/spreadsheets/d/1IYY_tgx_IHuhSq3AJ5eI5OnqOPBNLWSHKh2a30DoXe8/edit?usp=sharing"",""ปัตตานี!J390"")"),0.0)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IFERROR(__xludf.DUMMYFUNCTION("IMPORTRANGE(""https://docs.google.com/spreadsheets/d/1IYY_tgx_IHuhSq3AJ5eI5OnqOPBNLWSHKh2a30DoXe8/edit?usp=sharing"",""ปัตตานี!I391"")"),0.0)</f>
        <v>0</v>
      </c>
      <c r="J496" s="469">
        <f>IFERROR(__xludf.DUMMYFUNCTION("IMPORTRANGE(""https://docs.google.com/spreadsheets/d/1IYY_tgx_IHuhSq3AJ5eI5OnqOPBNLWSHKh2a30DoXe8/edit?usp=sharing"",""ปัตตานี!J391"")"),0.0)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IFERROR(__xludf.DUMMYFUNCTION("IMPORTRANGE(""https://docs.google.com/spreadsheets/d/1IYY_tgx_IHuhSq3AJ5eI5OnqOPBNLWSHKh2a30DoXe8/edit?usp=sharing"",""ปัตตานี!I392"")"),0.0)</f>
        <v>0</v>
      </c>
      <c r="J497" s="476">
        <f>IFERROR(__xludf.DUMMYFUNCTION("IMPORTRANGE(""https://docs.google.com/spreadsheets/d/1IYY_tgx_IHuhSq3AJ5eI5OnqOPBNLWSHKh2a30DoXe8/edit?usp=sharing"",""ปัตตานี!J392"")"),0.0)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IFERROR(__xludf.DUMMYFUNCTION("IMPORTRANGE(""https://docs.google.com/spreadsheets/d/1IYY_tgx_IHuhSq3AJ5eI5OnqOPBNLWSHKh2a30DoXe8/edit?usp=sharing"",""ปัตตานี!I393"")"),0.0)</f>
        <v>0</v>
      </c>
      <c r="J498" s="453">
        <f>IFERROR(__xludf.DUMMYFUNCTION("IMPORTRANGE(""https://docs.google.com/spreadsheets/d/1IYY_tgx_IHuhSq3AJ5eI5OnqOPBNLWSHKh2a30DoXe8/edit?usp=sharing"",""ปัตตานี!J393"")"),0.0)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IFERROR(__xludf.DUMMYFUNCTION("IMPORTRANGE(""https://docs.google.com/spreadsheets/d/1IYY_tgx_IHuhSq3AJ5eI5OnqOPBNLWSHKh2a30DoXe8/edit?usp=sharing"",""ปัตตานี!I394"")"),0.0)</f>
        <v>0</v>
      </c>
      <c r="J499" s="453">
        <f>IFERROR(__xludf.DUMMYFUNCTION("IMPORTRANGE(""https://docs.google.com/spreadsheets/d/1IYY_tgx_IHuhSq3AJ5eI5OnqOPBNLWSHKh2a30DoXe8/edit?usp=sharing"",""ปัตตานี!J394"")"),0.0)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IFERROR(__xludf.DUMMYFUNCTION("IMPORTRANGE(""https://docs.google.com/spreadsheets/d/1IYY_tgx_IHuhSq3AJ5eI5OnqOPBNLWSHKh2a30DoXe8/edit?usp=sharing"",""ปัตตานี!I395"")"),0.0)</f>
        <v>0</v>
      </c>
      <c r="J500" s="195">
        <f>IFERROR(__xludf.DUMMYFUNCTION("IMPORTRANGE(""https://docs.google.com/spreadsheets/d/1IYY_tgx_IHuhSq3AJ5eI5OnqOPBNLWSHKh2a30DoXe8/edit?usp=sharing"",""ปัตตานี!J395"")"),0.0)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IFERROR(__xludf.DUMMYFUNCTION("IMPORTRANGE(""https://docs.google.com/spreadsheets/d/1IYY_tgx_IHuhSq3AJ5eI5OnqOPBNLWSHKh2a30DoXe8/edit?usp=sharing"",""ปัตตานี!I396"")"),0.0)</f>
        <v>0</v>
      </c>
      <c r="J501" s="195">
        <f>IFERROR(__xludf.DUMMYFUNCTION("IMPORTRANGE(""https://docs.google.com/spreadsheets/d/1IYY_tgx_IHuhSq3AJ5eI5OnqOPBNLWSHKh2a30DoXe8/edit?usp=sharing"",""ปัตตานี!J396"")"),0.0)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IFERROR(__xludf.DUMMYFUNCTION("IMPORTRANGE(""https://docs.google.com/spreadsheets/d/1IYY_tgx_IHuhSq3AJ5eI5OnqOPBNLWSHKh2a30DoXe8/edit?usp=sharing"",""ปัตตานี!I397"")"),0.0)</f>
        <v>0</v>
      </c>
      <c r="J502" s="223">
        <f>IFERROR(__xludf.DUMMYFUNCTION("IMPORTRANGE(""https://docs.google.com/spreadsheets/d/1IYY_tgx_IHuhSq3AJ5eI5OnqOPBNLWSHKh2a30DoXe8/edit?usp=sharing"",""ปัตตานี!J397"")"),0.0)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IFERROR(__xludf.DUMMYFUNCTION("IMPORTRANGE(""https://docs.google.com/spreadsheets/d/1IYY_tgx_IHuhSq3AJ5eI5OnqOPBNLWSHKh2a30DoXe8/edit?usp=sharing"",""ปัตตานี!I398"")"),0.0)</f>
        <v>0</v>
      </c>
      <c r="J503" s="232">
        <f>IFERROR(__xludf.DUMMYFUNCTION("IMPORTRANGE(""https://docs.google.com/spreadsheets/d/1IYY_tgx_IHuhSq3AJ5eI5OnqOPBNLWSHKh2a30DoXe8/edit?usp=sharing"",""ปัตตานี!J398"")"),0.0)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IFERROR(__xludf.DUMMYFUNCTION("IMPORTRANGE(""https://docs.google.com/spreadsheets/d/1IYY_tgx_IHuhSq3AJ5eI5OnqOPBNLWSHKh2a30DoXe8/edit?usp=sharing"",""ปัตตานี!I399"")"),0.0)</f>
        <v>0</v>
      </c>
      <c r="J504" s="223">
        <f>IFERROR(__xludf.DUMMYFUNCTION("IMPORTRANGE(""https://docs.google.com/spreadsheets/d/1IYY_tgx_IHuhSq3AJ5eI5OnqOPBNLWSHKh2a30DoXe8/edit?usp=sharing"",""ปัตตานี!J399"")"),0.0)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IFERROR(__xludf.DUMMYFUNCTION("IMPORTRANGE(""https://docs.google.com/spreadsheets/d/1IYY_tgx_IHuhSq3AJ5eI5OnqOPBNLWSHKh2a30DoXe8/edit?usp=sharing"",""ปัตตานี!I400"")"),0.0)</f>
        <v>0</v>
      </c>
      <c r="J505" s="232">
        <f>IFERROR(__xludf.DUMMYFUNCTION("IMPORTRANGE(""https://docs.google.com/spreadsheets/d/1IYY_tgx_IHuhSq3AJ5eI5OnqOPBNLWSHKh2a30DoXe8/edit?usp=sharing"",""ปัตตานี!J400"")"),0.0)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IFERROR(__xludf.DUMMYFUNCTION("IMPORTRANGE(""https://docs.google.com/spreadsheets/d/1IYY_tgx_IHuhSq3AJ5eI5OnqOPBNLWSHKh2a30DoXe8/edit?usp=sharing"",""ปัตตานี!I401"")"),0.0)</f>
        <v>0</v>
      </c>
      <c r="J506" s="223">
        <f>IFERROR(__xludf.DUMMYFUNCTION("IMPORTRANGE(""https://docs.google.com/spreadsheets/d/1IYY_tgx_IHuhSq3AJ5eI5OnqOPBNLWSHKh2a30DoXe8/edit?usp=sharing"",""ปัตตานี!J401"")"),0.0)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IFERROR(__xludf.DUMMYFUNCTION("IMPORTRANGE(""https://docs.google.com/spreadsheets/d/1IYY_tgx_IHuhSq3AJ5eI5OnqOPBNLWSHKh2a30DoXe8/edit?usp=sharing"",""ปัตตานี!I402"")"),0.0)</f>
        <v>0</v>
      </c>
      <c r="J507" s="232">
        <f>IFERROR(__xludf.DUMMYFUNCTION("IMPORTRANGE(""https://docs.google.com/spreadsheets/d/1IYY_tgx_IHuhSq3AJ5eI5OnqOPBNLWSHKh2a30DoXe8/edit?usp=sharing"",""ปัตตานี!J402"")"),0.0)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IFERROR(__xludf.DUMMYFUNCTION("IMPORTRANGE(""https://docs.google.com/spreadsheets/d/1IYY_tgx_IHuhSq3AJ5eI5OnqOPBNLWSHKh2a30DoXe8/edit?usp=sharing"",""ปัตตานี!I403"")"),0.0)</f>
        <v>0</v>
      </c>
      <c r="J508" s="195">
        <f>IFERROR(__xludf.DUMMYFUNCTION("IMPORTRANGE(""https://docs.google.com/spreadsheets/d/1IYY_tgx_IHuhSq3AJ5eI5OnqOPBNLWSHKh2a30DoXe8/edit?usp=sharing"",""ปัตตานี!J403"")"),0.0)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IFERROR(__xludf.DUMMYFUNCTION("IMPORTRANGE(""https://docs.google.com/spreadsheets/d/1IYY_tgx_IHuhSq3AJ5eI5OnqOPBNLWSHKh2a30DoXe8/edit?usp=sharing"",""ปัตตานี!I404"")"),0.0)</f>
        <v>0</v>
      </c>
      <c r="J509" s="195">
        <f>IFERROR(__xludf.DUMMYFUNCTION("IMPORTRANGE(""https://docs.google.com/spreadsheets/d/1IYY_tgx_IHuhSq3AJ5eI5OnqOPBNLWSHKh2a30DoXe8/edit?usp=sharing"",""ปัตตานี!J404"")"),0.0)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IFERROR(__xludf.DUMMYFUNCTION("IMPORTRANGE(""https://docs.google.com/spreadsheets/d/1IYY_tgx_IHuhSq3AJ5eI5OnqOPBNLWSHKh2a30DoXe8/edit?usp=sharing"",""ปัตตานี!I405"")"),0.0)</f>
        <v>0</v>
      </c>
      <c r="J510" s="232">
        <f>IFERROR(__xludf.DUMMYFUNCTION("IMPORTRANGE(""https://docs.google.com/spreadsheets/d/1IYY_tgx_IHuhSq3AJ5eI5OnqOPBNLWSHKh2a30DoXe8/edit?usp=sharing"",""ปัตตานี!J405"")"),0.0)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IFERROR(__xludf.DUMMYFUNCTION("IMPORTRANGE(""https://docs.google.com/spreadsheets/d/1IYY_tgx_IHuhSq3AJ5eI5OnqOPBNLWSHKh2a30DoXe8/edit?usp=sharing"",""ปัตตานี!I406"")"),0.0)</f>
        <v>0</v>
      </c>
      <c r="J511" s="232">
        <f>IFERROR(__xludf.DUMMYFUNCTION("IMPORTRANGE(""https://docs.google.com/spreadsheets/d/1IYY_tgx_IHuhSq3AJ5eI5OnqOPBNLWSHKh2a30DoXe8/edit?usp=sharing"",""ปัตตานี!J406"")"),0.0)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IFERROR(__xludf.DUMMYFUNCTION("IMPORTRANGE(""https://docs.google.com/spreadsheets/d/1IYY_tgx_IHuhSq3AJ5eI5OnqOPBNLWSHKh2a30DoXe8/edit?usp=sharing"",""ปัตตานี!I407"")"),0.0)</f>
        <v>0</v>
      </c>
      <c r="J512" s="232">
        <f>IFERROR(__xludf.DUMMYFUNCTION("IMPORTRANGE(""https://docs.google.com/spreadsheets/d/1IYY_tgx_IHuhSq3AJ5eI5OnqOPBNLWSHKh2a30DoXe8/edit?usp=sharing"",""ปัตตานี!J407"")"),0.0)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IFERROR(__xludf.DUMMYFUNCTION("IMPORTRANGE(""https://docs.google.com/spreadsheets/d/1IYY_tgx_IHuhSq3AJ5eI5OnqOPBNLWSHKh2a30DoXe8/edit?usp=sharing"",""ปัตตานี!I408"")"),0.0)</f>
        <v>0</v>
      </c>
      <c r="J513" s="232">
        <f>IFERROR(__xludf.DUMMYFUNCTION("IMPORTRANGE(""https://docs.google.com/spreadsheets/d/1IYY_tgx_IHuhSq3AJ5eI5OnqOPBNLWSHKh2a30DoXe8/edit?usp=sharing"",""ปัตตานี!J408"")"),0.0)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IFERROR(__xludf.DUMMYFUNCTION("IMPORTRANGE(""https://docs.google.com/spreadsheets/d/1IYY_tgx_IHuhSq3AJ5eI5OnqOPBNLWSHKh2a30DoXe8/edit?usp=sharing"",""ปัตตานี!I409"")"),0.0)</f>
        <v>0</v>
      </c>
      <c r="J514" s="232">
        <f>IFERROR(__xludf.DUMMYFUNCTION("IMPORTRANGE(""https://docs.google.com/spreadsheets/d/1IYY_tgx_IHuhSq3AJ5eI5OnqOPBNLWSHKh2a30DoXe8/edit?usp=sharing"",""ปัตตานี!J409"")"),0.0)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IFERROR(__xludf.DUMMYFUNCTION("IMPORTRANGE(""https://docs.google.com/spreadsheets/d/1IYY_tgx_IHuhSq3AJ5eI5OnqOPBNLWSHKh2a30DoXe8/edit?usp=sharing"",""ปัตตานี!I410"")"),0.0)</f>
        <v>0</v>
      </c>
      <c r="J515" s="232">
        <f>IFERROR(__xludf.DUMMYFUNCTION("IMPORTRANGE(""https://docs.google.com/spreadsheets/d/1IYY_tgx_IHuhSq3AJ5eI5OnqOPBNLWSHKh2a30DoXe8/edit?usp=sharing"",""ปัตตานี!J410"")"),0.0)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IFERROR(__xludf.DUMMYFUNCTION("IMPORTRANGE(""https://docs.google.com/spreadsheets/d/1IYY_tgx_IHuhSq3AJ5eI5OnqOPBNLWSHKh2a30DoXe8/edit?usp=sharing"",""ปัตตานี!I411"")"),0.0)</f>
        <v>0</v>
      </c>
      <c r="J516" s="301">
        <f>IFERROR(__xludf.DUMMYFUNCTION("IMPORTRANGE(""https://docs.google.com/spreadsheets/d/1IYY_tgx_IHuhSq3AJ5eI5OnqOPBNLWSHKh2a30DoXe8/edit?usp=sharing"",""ปัตตานี!J411"")"),0.0)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IFERROR(__xludf.DUMMYFUNCTION("IMPORTRANGE(""https://docs.google.com/spreadsheets/d/1IYY_tgx_IHuhSq3AJ5eI5OnqOPBNLWSHKh2a30DoXe8/edit?usp=sharing"",""ปัตตานี!I412"")"),0.0)</f>
        <v>0</v>
      </c>
      <c r="J517" s="317">
        <f>IFERROR(__xludf.DUMMYFUNCTION("IMPORTRANGE(""https://docs.google.com/spreadsheets/d/1IYY_tgx_IHuhSq3AJ5eI5OnqOPBNLWSHKh2a30DoXe8/edit?usp=sharing"",""ปัตตานี!J412"")"),0.0)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IFERROR(__xludf.DUMMYFUNCTION("IMPORTRANGE(""https://docs.google.com/spreadsheets/d/1IYY_tgx_IHuhSq3AJ5eI5OnqOPBNLWSHKh2a30DoXe8/edit?usp=sharing"",""ปัตตานี!I413"")"),0.0)</f>
        <v>0</v>
      </c>
      <c r="J518" s="317">
        <f>IFERROR(__xludf.DUMMYFUNCTION("IMPORTRANGE(""https://docs.google.com/spreadsheets/d/1IYY_tgx_IHuhSq3AJ5eI5OnqOPBNLWSHKh2a30DoXe8/edit?usp=sharing"",""ปัตตานี!J413"")"),0.0)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IFERROR(__xludf.DUMMYFUNCTION("IMPORTRANGE(""https://docs.google.com/spreadsheets/d/1IYY_tgx_IHuhSq3AJ5eI5OnqOPBNLWSHKh2a30DoXe8/edit?usp=sharing"",""ปัตตานี!I414"")"),0.0)</f>
        <v>0</v>
      </c>
      <c r="J519" s="222">
        <f>IFERROR(__xludf.DUMMYFUNCTION("IMPORTRANGE(""https://docs.google.com/spreadsheets/d/1IYY_tgx_IHuhSq3AJ5eI5OnqOPBNLWSHKh2a30DoXe8/edit?usp=sharing"",""ปัตตานี!J414"")"),0.0)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IFERROR(__xludf.DUMMYFUNCTION("IMPORTRANGE(""https://docs.google.com/spreadsheets/d/1IYY_tgx_IHuhSq3AJ5eI5OnqOPBNLWSHKh2a30DoXe8/edit?usp=sharing"",""ปัตตานี!I415"")"),0.0)</f>
        <v>0</v>
      </c>
      <c r="J520" s="222">
        <f>IFERROR(__xludf.DUMMYFUNCTION("IMPORTRANGE(""https://docs.google.com/spreadsheets/d/1IYY_tgx_IHuhSq3AJ5eI5OnqOPBNLWSHKh2a30DoXe8/edit?usp=sharing"",""ปัตตานี!J415"")"),0.0)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IFERROR(__xludf.DUMMYFUNCTION("IMPORTRANGE(""https://docs.google.com/spreadsheets/d/1IYY_tgx_IHuhSq3AJ5eI5OnqOPBNLWSHKh2a30DoXe8/edit?usp=sharing"",""ปัตตานี!I416"")"),0.0)</f>
        <v>0</v>
      </c>
      <c r="J521" s="222">
        <f>IFERROR(__xludf.DUMMYFUNCTION("IMPORTRANGE(""https://docs.google.com/spreadsheets/d/1IYY_tgx_IHuhSq3AJ5eI5OnqOPBNLWSHKh2a30DoXe8/edit?usp=sharing"",""ปัตตานี!J416"")"),0.0)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IFERROR(__xludf.DUMMYFUNCTION("IMPORTRANGE(""https://docs.google.com/spreadsheets/d/1IYY_tgx_IHuhSq3AJ5eI5OnqOPBNLWSHKh2a30DoXe8/edit?usp=sharing"",""ปัตตานี!I417"")"),0.0)</f>
        <v>0</v>
      </c>
      <c r="J522" s="222">
        <f>IFERROR(__xludf.DUMMYFUNCTION("IMPORTRANGE(""https://docs.google.com/spreadsheets/d/1IYY_tgx_IHuhSq3AJ5eI5OnqOPBNLWSHKh2a30DoXe8/edit?usp=sharing"",""ปัตตานี!J417"")"),0.0)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IFERROR(__xludf.DUMMYFUNCTION("IMPORTRANGE(""https://docs.google.com/spreadsheets/d/1IYY_tgx_IHuhSq3AJ5eI5OnqOPBNLWSHKh2a30DoXe8/edit?usp=sharing"",""ปัตตานี!I418"")"),0.0)</f>
        <v>0</v>
      </c>
      <c r="J523" s="222">
        <f>IFERROR(__xludf.DUMMYFUNCTION("IMPORTRANGE(""https://docs.google.com/spreadsheets/d/1IYY_tgx_IHuhSq3AJ5eI5OnqOPBNLWSHKh2a30DoXe8/edit?usp=sharing"",""ปัตตานี!J418"")"),0.0)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IFERROR(__xludf.DUMMYFUNCTION("IMPORTRANGE(""https://docs.google.com/spreadsheets/d/1IYY_tgx_IHuhSq3AJ5eI5OnqOPBNLWSHKh2a30DoXe8/edit?usp=sharing"",""ปัตตานี!I419"")"),0.0)</f>
        <v>0</v>
      </c>
      <c r="J524" s="222">
        <f>IFERROR(__xludf.DUMMYFUNCTION("IMPORTRANGE(""https://docs.google.com/spreadsheets/d/1IYY_tgx_IHuhSq3AJ5eI5OnqOPBNLWSHKh2a30DoXe8/edit?usp=sharing"",""ปัตตานี!J419"")"),0.0)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IFERROR(__xludf.DUMMYFUNCTION("IMPORTRANGE(""https://docs.google.com/spreadsheets/d/1IYY_tgx_IHuhSq3AJ5eI5OnqOPBNLWSHKh2a30DoXe8/edit?usp=sharing"",""ปัตตานี!I420"")"),0.0)</f>
        <v>0</v>
      </c>
      <c r="J525" s="317">
        <f>IFERROR(__xludf.DUMMYFUNCTION("IMPORTRANGE(""https://docs.google.com/spreadsheets/d/1IYY_tgx_IHuhSq3AJ5eI5OnqOPBNLWSHKh2a30DoXe8/edit?usp=sharing"",""ปัตตานี!J420"")"),0.0)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IFERROR(__xludf.DUMMYFUNCTION("IMPORTRANGE(""https://docs.google.com/spreadsheets/d/1IYY_tgx_IHuhSq3AJ5eI5OnqOPBNLWSHKh2a30DoXe8/edit?usp=sharing"",""ปัตตานี!I421"")"),0.0)</f>
        <v>0</v>
      </c>
      <c r="J526" s="317">
        <f>IFERROR(__xludf.DUMMYFUNCTION("IMPORTRANGE(""https://docs.google.com/spreadsheets/d/1IYY_tgx_IHuhSq3AJ5eI5OnqOPBNLWSHKh2a30DoXe8/edit?usp=sharing"",""ปัตตานี!J421"")"),0.0)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IFERROR(__xludf.DUMMYFUNCTION("IMPORTRANGE(""https://docs.google.com/spreadsheets/d/1IYY_tgx_IHuhSq3AJ5eI5OnqOPBNLWSHKh2a30DoXe8/edit?usp=sharing"",""ปัตตานี!I422"")"),0.0)</f>
        <v>0</v>
      </c>
      <c r="J527" s="232">
        <f>IFERROR(__xludf.DUMMYFUNCTION("IMPORTRANGE(""https://docs.google.com/spreadsheets/d/1IYY_tgx_IHuhSq3AJ5eI5OnqOPBNLWSHKh2a30DoXe8/edit?usp=sharing"",""ปัตตานี!J422"")"),0.0)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IFERROR(__xludf.DUMMYFUNCTION("IMPORTRANGE(""https://docs.google.com/spreadsheets/d/1IYY_tgx_IHuhSq3AJ5eI5OnqOPBNLWSHKh2a30DoXe8/edit?usp=sharing"",""ปัตตานี!I423"")"),0.0)</f>
        <v>0</v>
      </c>
      <c r="J528" s="232">
        <f>IFERROR(__xludf.DUMMYFUNCTION("IMPORTRANGE(""https://docs.google.com/spreadsheets/d/1IYY_tgx_IHuhSq3AJ5eI5OnqOPBNLWSHKh2a30DoXe8/edit?usp=sharing"",""ปัตตานี!J423"")"),0.0)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IFERROR(__xludf.DUMMYFUNCTION("IMPORTRANGE(""https://docs.google.com/spreadsheets/d/1IYY_tgx_IHuhSq3AJ5eI5OnqOPBNLWSHKh2a30DoXe8/edit?usp=sharing"",""ปัตตานี!I424"")"),0.0)</f>
        <v>0</v>
      </c>
      <c r="J529" s="232">
        <f>IFERROR(__xludf.DUMMYFUNCTION("IMPORTRANGE(""https://docs.google.com/spreadsheets/d/1IYY_tgx_IHuhSq3AJ5eI5OnqOPBNLWSHKh2a30DoXe8/edit?usp=sharing"",""ปัตตานี!J424"")"),0.0)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IFERROR(__xludf.DUMMYFUNCTION("IMPORTRANGE(""https://docs.google.com/spreadsheets/d/1IYY_tgx_IHuhSq3AJ5eI5OnqOPBNLWSHKh2a30DoXe8/edit?usp=sharing"",""ปัตตานี!I425"")"),0.0)</f>
        <v>0</v>
      </c>
      <c r="J530" s="232">
        <f>IFERROR(__xludf.DUMMYFUNCTION("IMPORTRANGE(""https://docs.google.com/spreadsheets/d/1IYY_tgx_IHuhSq3AJ5eI5OnqOPBNLWSHKh2a30DoXe8/edit?usp=sharing"",""ปัตตานี!J425"")"),0.0)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IFERROR(__xludf.DUMMYFUNCTION("IMPORTRANGE(""https://docs.google.com/spreadsheets/d/1IYY_tgx_IHuhSq3AJ5eI5OnqOPBNLWSHKh2a30DoXe8/edit?usp=sharing"",""ปัตตานี!I426"")"),0.0)</f>
        <v>0</v>
      </c>
      <c r="J531" s="232">
        <f>IFERROR(__xludf.DUMMYFUNCTION("IMPORTRANGE(""https://docs.google.com/spreadsheets/d/1IYY_tgx_IHuhSq3AJ5eI5OnqOPBNLWSHKh2a30DoXe8/edit?usp=sharing"",""ปัตตานี!J426"")"),0.0)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IFERROR(__xludf.DUMMYFUNCTION("IMPORTRANGE(""https://docs.google.com/spreadsheets/d/1IYY_tgx_IHuhSq3AJ5eI5OnqOPBNLWSHKh2a30DoXe8/edit?usp=sharing"",""ปัตตานี!I427"")"),0.0)</f>
        <v>0</v>
      </c>
      <c r="J532" s="499">
        <f>IFERROR(__xludf.DUMMYFUNCTION("IMPORTRANGE(""https://docs.google.com/spreadsheets/d/1IYY_tgx_IHuhSq3AJ5eI5OnqOPBNLWSHKh2a30DoXe8/edit?usp=sharing"",""ปัตตานี!J427"")"),0.0)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IFERROR(__xludf.DUMMYFUNCTION("IMPORTRANGE(""https://docs.google.com/spreadsheets/d/1IYY_tgx_IHuhSq3AJ5eI5OnqOPBNLWSHKh2a30DoXe8/edit?usp=sharing"",""ปัตตานี!I428"")"),20.0)</f>
        <v>20</v>
      </c>
      <c r="J533" s="443">
        <f>IFERROR(__xludf.DUMMYFUNCTION("IMPORTRANGE(""https://docs.google.com/spreadsheets/d/1IYY_tgx_IHuhSq3AJ5eI5OnqOPBNLWSHKh2a30DoXe8/edit?usp=sharing"",""ปัตตานี!J428"")"),0.0)</f>
        <v>0</v>
      </c>
      <c r="K533" s="444">
        <f>IF(I533&gt;0,J533*100/I533,0)</f>
        <v>0</v>
      </c>
      <c r="L533" s="445">
        <f>IFERROR(__xludf.DUMMYFUNCTION("IMPORTRANGE(""https://docs.google.com/spreadsheets/d/1IYY_tgx_IHuhSq3AJ5eI5OnqOPBNLWSHKh2a30DoXe8/edit?usp=sharing"",""ปัตตานี!L428"")"),32640.0)</f>
        <v>32640</v>
      </c>
      <c r="M533" s="445"/>
      <c r="N533" s="445">
        <f>IFERROR(__xludf.DUMMYFUNCTION("IMPORTRANGE(""https://docs.google.com/spreadsheets/d/1IYY_tgx_IHuhSq3AJ5eI5OnqOPBNLWSHKh2a30DoXe8/edit?usp=sharing"",""ปัตตานี!M428"")"),26889.2)</f>
        <v>26889.2</v>
      </c>
      <c r="O533" s="445">
        <f t="shared" ref="O533:O537" si="119">+IF(L533&gt;0,N533*100/L533,0)</f>
        <v>82.38112745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IFERROR(__xludf.DUMMYFUNCTION("IMPORTRANGE(""https://docs.google.com/spreadsheets/d/1IYY_tgx_IHuhSq3AJ5eI5OnqOPBNLWSHKh2a30DoXe8/edit?usp=sharing"",""ปัตตานี!L429"")"),0.0)</f>
        <v>0</v>
      </c>
      <c r="M534" s="197"/>
      <c r="N534" s="203">
        <f>IFERROR(__xludf.DUMMYFUNCTION("IMPORTRANGE(""https://docs.google.com/spreadsheets/d/1IYY_tgx_IHuhSq3AJ5eI5OnqOPBNLWSHKh2a30DoXe8/edit?usp=sharing"",""ปัตตานี!M429"")"),0.0)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IFERROR(__xludf.DUMMYFUNCTION("IMPORTRANGE(""https://docs.google.com/spreadsheets/d/1IYY_tgx_IHuhSq3AJ5eI5OnqOPBNLWSHKh2a30DoXe8/edit?usp=sharing"",""ปัตตานี!L430"")"),32640.0)</f>
        <v>32640</v>
      </c>
      <c r="M535" s="198"/>
      <c r="N535" s="203">
        <f>IFERROR(__xludf.DUMMYFUNCTION("IMPORTRANGE(""https://docs.google.com/spreadsheets/d/1IYY_tgx_IHuhSq3AJ5eI5OnqOPBNLWSHKh2a30DoXe8/edit?usp=sharing"",""ปัตตานี!M430"")"),26889.2)</f>
        <v>26889.2</v>
      </c>
      <c r="O535" s="203">
        <f t="shared" si="119"/>
        <v>82.38112745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IFERROR(__xludf.DUMMYFUNCTION("IMPORTRANGE(""https://docs.google.com/spreadsheets/d/1IYY_tgx_IHuhSq3AJ5eI5OnqOPBNLWSHKh2a30DoXe8/edit?usp=sharing"",""ปัตตานี!L431"")"),0.0)</f>
        <v>0</v>
      </c>
      <c r="M536" s="203"/>
      <c r="N536" s="203">
        <f>IFERROR(__xludf.DUMMYFUNCTION("IMPORTRANGE(""https://docs.google.com/spreadsheets/d/1IYY_tgx_IHuhSq3AJ5eI5OnqOPBNLWSHKh2a30DoXe8/edit?usp=sharing"",""ปัตตานี!M431"")"),0.0)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IFERROR(__xludf.DUMMYFUNCTION("IMPORTRANGE(""https://docs.google.com/spreadsheets/d/1IYY_tgx_IHuhSq3AJ5eI5OnqOPBNLWSHKh2a30DoXe8/edit?usp=sharing"",""ปัตตานี!L432"")"),32640.0)</f>
        <v>32640</v>
      </c>
      <c r="M537" s="203"/>
      <c r="N537" s="203">
        <f>IFERROR(__xludf.DUMMYFUNCTION("IMPORTRANGE(""https://docs.google.com/spreadsheets/d/1IYY_tgx_IHuhSq3AJ5eI5OnqOPBNLWSHKh2a30DoXe8/edit?usp=sharing"",""ปัตตานี!M432"")"),26889.2)</f>
        <v>26889.2</v>
      </c>
      <c r="O537" s="203">
        <f t="shared" si="119"/>
        <v>82.38112745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IFERROR(__xludf.DUMMYFUNCTION("IMPORTRANGE(""https://docs.google.com/spreadsheets/d/1IYY_tgx_IHuhSq3AJ5eI5OnqOPBNLWSHKh2a30DoXe8/edit?usp=sharing"",""ปัตตานี!M433"")"),17040.0)</f>
        <v>17040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IFERROR(__xludf.DUMMYFUNCTION("IMPORTRANGE(""https://docs.google.com/spreadsheets/d/1IYY_tgx_IHuhSq3AJ5eI5OnqOPBNLWSHKh2a30DoXe8/edit?usp=sharing"",""ปัตตานี!M434"")"),0.0)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IFERROR(__xludf.DUMMYFUNCTION("IMPORTRANGE(""https://docs.google.com/spreadsheets/d/1IYY_tgx_IHuhSq3AJ5eI5OnqOPBNLWSHKh2a30DoXe8/edit?usp=sharing"",""ปัตตานี!M435"")"),0.0)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IFERROR(__xludf.DUMMYFUNCTION("IMPORTRANGE(""https://docs.google.com/spreadsheets/d/1IYY_tgx_IHuhSq3AJ5eI5OnqOPBNLWSHKh2a30DoXe8/edit?usp=sharing"",""ปัตตานี!M436"")"),9849.2)</f>
        <v>9849.2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IFERROR(__xludf.DUMMYFUNCTION("IMPORTRANGE(""https://docs.google.com/spreadsheets/d/1IYY_tgx_IHuhSq3AJ5eI5OnqOPBNLWSHKh2a30DoXe8/edit?usp=sharing"",""ปัตตานี!J438"")"),0.0)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IFERROR(__xludf.DUMMYFUNCTION("IMPORTRANGE(""https://docs.google.com/spreadsheets/d/1IYY_tgx_IHuhSq3AJ5eI5OnqOPBNLWSHKh2a30DoXe8/edit?usp=sharing"",""ปัตตานี!J439"")"),1.0)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IFERROR(__xludf.DUMMYFUNCTION("IMPORTRANGE(""https://docs.google.com/spreadsheets/d/1IYY_tgx_IHuhSq3AJ5eI5OnqOPBNLWSHKh2a30DoXe8/edit?usp=sharing"",""ปัตตานี!J440"")"),1.0)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IFERROR(__xludf.DUMMYFUNCTION("IMPORTRANGE(""https://docs.google.com/spreadsheets/d/1IYY_tgx_IHuhSq3AJ5eI5OnqOPBNLWSHKh2a30DoXe8/edit?usp=sharing"",""ปัตตานี!J441"")"),0.0)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IFERROR(__xludf.DUMMYFUNCTION("IMPORTRANGE(""https://docs.google.com/spreadsheets/d/1IYY_tgx_IHuhSq3AJ5eI5OnqOPBNLWSHKh2a30DoXe8/edit?usp=sharing"",""ปัตตานี!I442"")"),20.0)</f>
        <v>20</v>
      </c>
      <c r="J547" s="223">
        <f>IFERROR(__xludf.DUMMYFUNCTION("IMPORTRANGE(""https://docs.google.com/spreadsheets/d/1IYY_tgx_IHuhSq3AJ5eI5OnqOPBNLWSHKh2a30DoXe8/edit?usp=sharing"",""ปัตตานี!J442"")"),0.0)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IFERROR(__xludf.DUMMYFUNCTION("IMPORTRANGE(""https://docs.google.com/spreadsheets/d/1IYY_tgx_IHuhSq3AJ5eI5OnqOPBNLWSHKh2a30DoXe8/edit?usp=sharing"",""ปัตตานี!J166"")"),0.0)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IFERROR(__xludf.DUMMYFUNCTION("IMPORTRANGE(""https://docs.google.com/spreadsheets/d/1IYY_tgx_IHuhSq3AJ5eI5OnqOPBNLWSHKh2a30DoXe8/edit?usp=sharing"",""ปัตตานี!J444"")"),0.0)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IFERROR(__xludf.DUMMYFUNCTION("IMPORTRANGE(""https://docs.google.com/spreadsheets/d/1IYY_tgx_IHuhSq3AJ5eI5OnqOPBNLWSHKh2a30DoXe8/edit?usp=sharing"",""ปัตตานี!J445"")"),0.0)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IFERROR(__xludf.DUMMYFUNCTION("IMPORTRANGE(""https://docs.google.com/spreadsheets/d/1IYY_tgx_IHuhSq3AJ5eI5OnqOPBNLWSHKh2a30DoXe8/edit?usp=sharing"",""ปัตตานี!I446"")"),0.0)</f>
        <v>0</v>
      </c>
      <c r="J551" s="443">
        <f>IFERROR(__xludf.DUMMYFUNCTION("IMPORTRANGE(""https://docs.google.com/spreadsheets/d/1IYY_tgx_IHuhSq3AJ5eI5OnqOPBNLWSHKh2a30DoXe8/edit?usp=sharing"",""ปัตตานี!J446"")"),0.0)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IFERROR(__xludf.DUMMYFUNCTION("IMPORTRANGE(""https://docs.google.com/spreadsheets/d/1IYY_tgx_IHuhSq3AJ5eI5OnqOPBNLWSHKh2a30DoXe8/edit?usp=sharing"",""ปัตตานี!L446"")"),0.0)</f>
        <v>0</v>
      </c>
      <c r="M551" s="445"/>
      <c r="N551" s="445">
        <f>IFERROR(__xludf.DUMMYFUNCTION("IMPORTRANGE(""https://docs.google.com/spreadsheets/d/1IYY_tgx_IHuhSq3AJ5eI5OnqOPBNLWSHKh2a30DoXe8/edit?usp=sharing"",""ปัตตานี!M446"")"),0.0)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IFERROR(__xludf.DUMMYFUNCTION("IMPORTRANGE(""https://docs.google.com/spreadsheets/d/1IYY_tgx_IHuhSq3AJ5eI5OnqOPBNLWSHKh2a30DoXe8/edit?usp=sharing"",""ปัตตานี!L447"")"),0.0)</f>
        <v>0</v>
      </c>
      <c r="M552" s="197"/>
      <c r="N552" s="203">
        <f>IFERROR(__xludf.DUMMYFUNCTION("IMPORTRANGE(""https://docs.google.com/spreadsheets/d/1IYY_tgx_IHuhSq3AJ5eI5OnqOPBNLWSHKh2a30DoXe8/edit?usp=sharing"",""ปัตตานี!M447"")"),0.0)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IFERROR(__xludf.DUMMYFUNCTION("IMPORTRANGE(""https://docs.google.com/spreadsheets/d/1IYY_tgx_IHuhSq3AJ5eI5OnqOPBNLWSHKh2a30DoXe8/edit?usp=sharing"",""ปัตตานี!L448"")"),0.0)</f>
        <v>0</v>
      </c>
      <c r="M553" s="198"/>
      <c r="N553" s="203">
        <f>IFERROR(__xludf.DUMMYFUNCTION("IMPORTRANGE(""https://docs.google.com/spreadsheets/d/1IYY_tgx_IHuhSq3AJ5eI5OnqOPBNLWSHKh2a30DoXe8/edit?usp=sharing"",""ปัตตานี!M448"")"),0.0)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IFERROR(__xludf.DUMMYFUNCTION("IMPORTRANGE(""https://docs.google.com/spreadsheets/d/1IYY_tgx_IHuhSq3AJ5eI5OnqOPBNLWSHKh2a30DoXe8/edit?usp=sharing"",""ปัตตานี!L449"")"),0.0)</f>
        <v>0</v>
      </c>
      <c r="M554" s="203"/>
      <c r="N554" s="203">
        <f>IFERROR(__xludf.DUMMYFUNCTION("IMPORTRANGE(""https://docs.google.com/spreadsheets/d/1IYY_tgx_IHuhSq3AJ5eI5OnqOPBNLWSHKh2a30DoXe8/edit?usp=sharing"",""ปัตตานี!M449"")"),0.0)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IFERROR(__xludf.DUMMYFUNCTION("IMPORTRANGE(""https://docs.google.com/spreadsheets/d/1IYY_tgx_IHuhSq3AJ5eI5OnqOPBNLWSHKh2a30DoXe8/edit?usp=sharing"",""ปัตตานี!L450"")"),0.0)</f>
        <v>0</v>
      </c>
      <c r="M555" s="203"/>
      <c r="N555" s="203">
        <f>IFERROR(__xludf.DUMMYFUNCTION("IMPORTRANGE(""https://docs.google.com/spreadsheets/d/1IYY_tgx_IHuhSq3AJ5eI5OnqOPBNLWSHKh2a30DoXe8/edit?usp=sharing"",""ปัตตานี!M450"")"),0.0)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IFERROR(__xludf.DUMMYFUNCTION("IMPORTRANGE(""https://docs.google.com/spreadsheets/d/1IYY_tgx_IHuhSq3AJ5eI5OnqOPBNLWSHKh2a30DoXe8/edit?usp=sharing"",""ปัตตานี!M451"")"),0.0)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IFERROR(__xludf.DUMMYFUNCTION("IMPORTRANGE(""https://docs.google.com/spreadsheets/d/1IYY_tgx_IHuhSq3AJ5eI5OnqOPBNLWSHKh2a30DoXe8/edit?usp=sharing"",""ปัตตานี!M452"")"),0.0)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IFERROR(__xludf.DUMMYFUNCTION("IMPORTRANGE(""https://docs.google.com/spreadsheets/d/1IYY_tgx_IHuhSq3AJ5eI5OnqOPBNLWSHKh2a30DoXe8/edit?usp=sharing"",""ปัตตานี!M453"")"),0.0)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IFERROR(__xludf.DUMMYFUNCTION("IMPORTRANGE(""https://docs.google.com/spreadsheets/d/1IYY_tgx_IHuhSq3AJ5eI5OnqOPBNLWSHKh2a30DoXe8/edit?usp=sharing"",""ปัตตานี!M454"")"),0.0)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IFERROR(__xludf.DUMMYFUNCTION("IMPORTRANGE(""https://docs.google.com/spreadsheets/d/1IYY_tgx_IHuhSq3AJ5eI5OnqOPBNLWSHKh2a30DoXe8/edit?usp=sharing"",""ปัตตานี!I455"")"),0.0)</f>
        <v>0</v>
      </c>
      <c r="J560" s="195">
        <f>IFERROR(__xludf.DUMMYFUNCTION("IMPORTRANGE(""https://docs.google.com/spreadsheets/d/1IYY_tgx_IHuhSq3AJ5eI5OnqOPBNLWSHKh2a30DoXe8/edit?usp=sharing"",""ปัตตานี!J455"")"),0.0)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IFERROR(__xludf.DUMMYFUNCTION("IMPORTRANGE(""https://docs.google.com/spreadsheets/d/1IYY_tgx_IHuhSq3AJ5eI5OnqOPBNLWSHKh2a30DoXe8/edit?usp=sharing"",""ปัตตานี!I456"")"),0.0)</f>
        <v>0</v>
      </c>
      <c r="J561" s="238">
        <f>IFERROR(__xludf.DUMMYFUNCTION("IMPORTRANGE(""https://docs.google.com/spreadsheets/d/1IYY_tgx_IHuhSq3AJ5eI5OnqOPBNLWSHKh2a30DoXe8/edit?usp=sharing"",""ปัตตานี!J456"")"),0.0)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IFERROR(__xludf.DUMMYFUNCTION("IMPORTRANGE(""https://docs.google.com/spreadsheets/d/1IYY_tgx_IHuhSq3AJ5eI5OnqOPBNLWSHKh2a30DoXe8/edit?usp=sharing"",""ปัตตานี!I457"")"),"")</f>
        <v/>
      </c>
      <c r="J562" s="238" t="str">
        <f>IFERROR(__xludf.DUMMYFUNCTION("IMPORTRANGE(""https://docs.google.com/spreadsheets/d/1IYY_tgx_IHuhSq3AJ5eI5OnqOPBNLWSHKh2a30DoXe8/edit?usp=sharing"",""ปัตตานี!J457"")"),"")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IFERROR(__xludf.DUMMYFUNCTION("IMPORTRANGE(""https://docs.google.com/spreadsheets/d/1IYY_tgx_IHuhSq3AJ5eI5OnqOPBNLWSHKh2a30DoXe8/edit?usp=sharing"",""ปัตตานี!I458"")"),"")</f>
        <v/>
      </c>
      <c r="J563" s="222" t="str">
        <f>IFERROR(__xludf.DUMMYFUNCTION("IMPORTRANGE(""https://docs.google.com/spreadsheets/d/1IYY_tgx_IHuhSq3AJ5eI5OnqOPBNLWSHKh2a30DoXe8/edit?usp=sharing"",""ปัตตานี!J458"")"),"")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IFERROR(__xludf.DUMMYFUNCTION("IMPORTRANGE(""https://docs.google.com/spreadsheets/d/1IYY_tgx_IHuhSq3AJ5eI5OnqOPBNLWSHKh2a30DoXe8/edit?usp=sharing"",""ปัตตานี!I459"")"),200.0)</f>
        <v>200</v>
      </c>
      <c r="J564" s="404">
        <f>IFERROR(__xludf.DUMMYFUNCTION("IMPORTRANGE(""https://docs.google.com/spreadsheets/d/1IYY_tgx_IHuhSq3AJ5eI5OnqOPBNLWSHKh2a30DoXe8/edit?usp=sharing"",""ปัตตานี!J459"")"),200.0)</f>
        <v>200</v>
      </c>
      <c r="K564" s="405">
        <f t="shared" si="122"/>
        <v>100</v>
      </c>
      <c r="L564" s="406">
        <f>IFERROR(__xludf.DUMMYFUNCTION("IMPORTRANGE(""https://docs.google.com/spreadsheets/d/1IYY_tgx_IHuhSq3AJ5eI5OnqOPBNLWSHKh2a30DoXe8/edit?usp=sharing"",""ปัตตานี!L459"")"),119520.0)</f>
        <v>119520</v>
      </c>
      <c r="M564" s="406"/>
      <c r="N564" s="406">
        <f>IFERROR(__xludf.DUMMYFUNCTION("IMPORTRANGE(""https://docs.google.com/spreadsheets/d/1IYY_tgx_IHuhSq3AJ5eI5OnqOPBNLWSHKh2a30DoXe8/edit?usp=sharing"",""ปัตตานี!M459"")"),1800.0)</f>
        <v>1800</v>
      </c>
      <c r="O564" s="406">
        <f t="shared" ref="O564:O568" si="123">+IF(L564&gt;0,N564*100/L564,0)</f>
        <v>1.506024096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IFERROR(__xludf.DUMMYFUNCTION("IMPORTRANGE(""https://docs.google.com/spreadsheets/d/1IYY_tgx_IHuhSq3AJ5eI5OnqOPBNLWSHKh2a30DoXe8/edit?usp=sharing"",""ปัตตานี!L460"")"),0.0)</f>
        <v>0</v>
      </c>
      <c r="M565" s="197"/>
      <c r="N565" s="203">
        <f>IFERROR(__xludf.DUMMYFUNCTION("IMPORTRANGE(""https://docs.google.com/spreadsheets/d/1IYY_tgx_IHuhSq3AJ5eI5OnqOPBNLWSHKh2a30DoXe8/edit?usp=sharing"",""ปัตตานี!M460"")"),0.0)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IFERROR(__xludf.DUMMYFUNCTION("IMPORTRANGE(""https://docs.google.com/spreadsheets/d/1IYY_tgx_IHuhSq3AJ5eI5OnqOPBNLWSHKh2a30DoXe8/edit?usp=sharing"",""ปัตตานี!L461"")"),119520.0)</f>
        <v>119520</v>
      </c>
      <c r="M566" s="198"/>
      <c r="N566" s="203">
        <f>IFERROR(__xludf.DUMMYFUNCTION("IMPORTRANGE(""https://docs.google.com/spreadsheets/d/1IYY_tgx_IHuhSq3AJ5eI5OnqOPBNLWSHKh2a30DoXe8/edit?usp=sharing"",""ปัตตานี!M461"")"),1800.0)</f>
        <v>1800</v>
      </c>
      <c r="O566" s="203">
        <f t="shared" si="123"/>
        <v>1.506024096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IFERROR(__xludf.DUMMYFUNCTION("IMPORTRANGE(""https://docs.google.com/spreadsheets/d/1IYY_tgx_IHuhSq3AJ5eI5OnqOPBNLWSHKh2a30DoXe8/edit?usp=sharing"",""ปัตตานี!L462"")"),0.0)</f>
        <v>0</v>
      </c>
      <c r="M567" s="203"/>
      <c r="N567" s="203">
        <f>IFERROR(__xludf.DUMMYFUNCTION("IMPORTRANGE(""https://docs.google.com/spreadsheets/d/1IYY_tgx_IHuhSq3AJ5eI5OnqOPBNLWSHKh2a30DoXe8/edit?usp=sharing"",""ปัตตานี!M462"")"),0.0)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IFERROR(__xludf.DUMMYFUNCTION("IMPORTRANGE(""https://docs.google.com/spreadsheets/d/1IYY_tgx_IHuhSq3AJ5eI5OnqOPBNLWSHKh2a30DoXe8/edit?usp=sharing"",""ปัตตานี!L463"")"),119520.0)</f>
        <v>119520</v>
      </c>
      <c r="M568" s="203"/>
      <c r="N568" s="203">
        <f>IFERROR(__xludf.DUMMYFUNCTION("IMPORTRANGE(""https://docs.google.com/spreadsheets/d/1IYY_tgx_IHuhSq3AJ5eI5OnqOPBNLWSHKh2a30DoXe8/edit?usp=sharing"",""ปัตตานี!M463"")"),1800.0)</f>
        <v>1800</v>
      </c>
      <c r="O568" s="203">
        <f t="shared" si="123"/>
        <v>1.506024096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IFERROR(__xludf.DUMMYFUNCTION("IMPORTRANGE(""https://docs.google.com/spreadsheets/d/1IYY_tgx_IHuhSq3AJ5eI5OnqOPBNLWSHKh2a30DoXe8/edit?usp=sharing"",""ปัตตานี!M464"")"),0.0)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IFERROR(__xludf.DUMMYFUNCTION("IMPORTRANGE(""https://docs.google.com/spreadsheets/d/1IYY_tgx_IHuhSq3AJ5eI5OnqOPBNLWSHKh2a30DoXe8/edit?usp=sharing"",""ปัตตานี!M465"")"),0.0)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IFERROR(__xludf.DUMMYFUNCTION("IMPORTRANGE(""https://docs.google.com/spreadsheets/d/1IYY_tgx_IHuhSq3AJ5eI5OnqOPBNLWSHKh2a30DoXe8/edit?usp=sharing"",""ปัตตานี!M466"")"),0.0)</f>
        <v>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IFERROR(__xludf.DUMMYFUNCTION("IMPORTRANGE(""https://docs.google.com/spreadsheets/d/1IYY_tgx_IHuhSq3AJ5eI5OnqOPBNLWSHKh2a30DoXe8/edit?usp=sharing"",""ปัตตานี!M467"")"),1800.0)</f>
        <v>1800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IFERROR(__xludf.DUMMYFUNCTION("IMPORTRANGE(""https://docs.google.com/spreadsheets/d/1IYY_tgx_IHuhSq3AJ5eI5OnqOPBNLWSHKh2a30DoXe8/edit?usp=sharing"",""ปัตตานี!I468"")"),200.0)</f>
        <v>200</v>
      </c>
      <c r="J573" s="453">
        <f>IFERROR(__xludf.DUMMYFUNCTION("IMPORTRANGE(""https://docs.google.com/spreadsheets/d/1IYY_tgx_IHuhSq3AJ5eI5OnqOPBNLWSHKh2a30DoXe8/edit?usp=sharing"",""ปัตตานี!J468"")"),200.0)</f>
        <v>200</v>
      </c>
      <c r="K573" s="236">
        <f>IF(I573&gt;0,J573*100/I573,0)</f>
        <v>100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IFERROR(__xludf.DUMMYFUNCTION("IMPORTRANGE(""https://docs.google.com/spreadsheets/d/1IYY_tgx_IHuhSq3AJ5eI5OnqOPBNLWSHKh2a30DoXe8/edit?usp=sharing"",""ปัตตานี!I470"")"),0.0)</f>
        <v>0</v>
      </c>
      <c r="J575" s="232">
        <f>IFERROR(__xludf.DUMMYFUNCTION("IMPORTRANGE(""https://docs.google.com/spreadsheets/d/1IYY_tgx_IHuhSq3AJ5eI5OnqOPBNLWSHKh2a30DoXe8/edit?usp=sharing"",""ปัตตานี!J470"")"),11.0)</f>
        <v>11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IFERROR(__xludf.DUMMYFUNCTION("IMPORTRANGE(""https://docs.google.com/spreadsheets/d/1IYY_tgx_IHuhSq3AJ5eI5OnqOPBNLWSHKh2a30DoXe8/edit?usp=sharing"",""ปัตตานี!I471"")"),0.0)</f>
        <v>0</v>
      </c>
      <c r="J576" s="232">
        <f>IFERROR(__xludf.DUMMYFUNCTION("IMPORTRANGE(""https://docs.google.com/spreadsheets/d/1IYY_tgx_IHuhSq3AJ5eI5OnqOPBNLWSHKh2a30DoXe8/edit?usp=sharing"",""ปัตตานี!J471"")"),180.0)</f>
        <v>180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IFERROR(__xludf.DUMMYFUNCTION("IMPORTRANGE(""https://docs.google.com/spreadsheets/d/1IYY_tgx_IHuhSq3AJ5eI5OnqOPBNLWSHKh2a30DoXe8/edit?usp=sharing"",""ปัตตานี!I472"")"),0.0)</f>
        <v>0</v>
      </c>
      <c r="J577" s="223">
        <f>IFERROR(__xludf.DUMMYFUNCTION("IMPORTRANGE(""https://docs.google.com/spreadsheets/d/1IYY_tgx_IHuhSq3AJ5eI5OnqOPBNLWSHKh2a30DoXe8/edit?usp=sharing"",""ปัตตานี!J472"")"),20.0)</f>
        <v>20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IFERROR(__xludf.DUMMYFUNCTION("IMPORTRANGE(""https://docs.google.com/spreadsheets/d/1IYY_tgx_IHuhSq3AJ5eI5OnqOPBNLWSHKh2a30DoXe8/edit?usp=sharing"",""ปัตตานี!I473"")"),0.0)</f>
        <v>0</v>
      </c>
      <c r="J578" s="232">
        <f>IFERROR(__xludf.DUMMYFUNCTION("IMPORTRANGE(""https://docs.google.com/spreadsheets/d/1IYY_tgx_IHuhSq3AJ5eI5OnqOPBNLWSHKh2a30DoXe8/edit?usp=sharing"",""ปัตตานี!J473"")"),0.0)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IFERROR(__xludf.DUMMYFUNCTION("IMPORTRANGE(""https://docs.google.com/spreadsheets/d/1IYY_tgx_IHuhSq3AJ5eI5OnqOPBNLWSHKh2a30DoXe8/edit?usp=sharing"",""ปัตตานี!I474"")"),0.0)</f>
        <v>0</v>
      </c>
      <c r="J579" s="232">
        <f>IFERROR(__xludf.DUMMYFUNCTION("IMPORTRANGE(""https://docs.google.com/spreadsheets/d/1IYY_tgx_IHuhSq3AJ5eI5OnqOPBNLWSHKh2a30DoXe8/edit?usp=sharing"",""ปัตตานี!J474"")"),0.0)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IFERROR(__xludf.DUMMYFUNCTION("IMPORTRANGE(""https://docs.google.com/spreadsheets/d/1IYY_tgx_IHuhSq3AJ5eI5OnqOPBNLWSHKh2a30DoXe8/edit?usp=sharing"",""ปัตตานี!I475"")"),0.0)</f>
        <v>0</v>
      </c>
      <c r="J580" s="404">
        <f>IFERROR(__xludf.DUMMYFUNCTION("IMPORTRANGE(""https://docs.google.com/spreadsheets/d/1IYY_tgx_IHuhSq3AJ5eI5OnqOPBNLWSHKh2a30DoXe8/edit?usp=sharing"",""ปัตตานี!J475"")"),0.0)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IFERROR(__xludf.DUMMYFUNCTION("IMPORTRANGE(""https://docs.google.com/spreadsheets/d/1IYY_tgx_IHuhSq3AJ5eI5OnqOPBNLWSHKh2a30DoXe8/edit?usp=sharing"",""ปัตตานี!L475"")"),0.0)</f>
        <v>0</v>
      </c>
      <c r="M580" s="406"/>
      <c r="N580" s="406">
        <f>IFERROR(__xludf.DUMMYFUNCTION("IMPORTRANGE(""https://docs.google.com/spreadsheets/d/1IYY_tgx_IHuhSq3AJ5eI5OnqOPBNLWSHKh2a30DoXe8/edit?usp=sharing"",""ปัตตานี!M475"")"),0.0)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IFERROR(__xludf.DUMMYFUNCTION("IMPORTRANGE(""https://docs.google.com/spreadsheets/d/1IYY_tgx_IHuhSq3AJ5eI5OnqOPBNLWSHKh2a30DoXe8/edit?usp=sharing"",""ปัตตานี!L476"")"),0.0)</f>
        <v>0</v>
      </c>
      <c r="M581" s="197"/>
      <c r="N581" s="203">
        <f>IFERROR(__xludf.DUMMYFUNCTION("IMPORTRANGE(""https://docs.google.com/spreadsheets/d/1IYY_tgx_IHuhSq3AJ5eI5OnqOPBNLWSHKh2a30DoXe8/edit?usp=sharing"",""ปัตตานี!M476"")"),0.0)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IFERROR(__xludf.DUMMYFUNCTION("IMPORTRANGE(""https://docs.google.com/spreadsheets/d/1IYY_tgx_IHuhSq3AJ5eI5OnqOPBNLWSHKh2a30DoXe8/edit?usp=sharing"",""ปัตตานี!L477"")"),0.0)</f>
        <v>0</v>
      </c>
      <c r="M582" s="198"/>
      <c r="N582" s="203">
        <f>IFERROR(__xludf.DUMMYFUNCTION("IMPORTRANGE(""https://docs.google.com/spreadsheets/d/1IYY_tgx_IHuhSq3AJ5eI5OnqOPBNLWSHKh2a30DoXe8/edit?usp=sharing"",""ปัตตานี!M477"")"),0.0)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IFERROR(__xludf.DUMMYFUNCTION("IMPORTRANGE(""https://docs.google.com/spreadsheets/d/1IYY_tgx_IHuhSq3AJ5eI5OnqOPBNLWSHKh2a30DoXe8/edit?usp=sharing"",""ปัตตานี!L478"")"),0.0)</f>
        <v>0</v>
      </c>
      <c r="M583" s="203"/>
      <c r="N583" s="203">
        <f>IFERROR(__xludf.DUMMYFUNCTION("IMPORTRANGE(""https://docs.google.com/spreadsheets/d/1IYY_tgx_IHuhSq3AJ5eI5OnqOPBNLWSHKh2a30DoXe8/edit?usp=sharing"",""ปัตตานี!M478"")"),0.0)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IFERROR(__xludf.DUMMYFUNCTION("IMPORTRANGE(""https://docs.google.com/spreadsheets/d/1IYY_tgx_IHuhSq3AJ5eI5OnqOPBNLWSHKh2a30DoXe8/edit?usp=sharing"",""ปัตตานี!L479"")"),0.0)</f>
        <v>0</v>
      </c>
      <c r="M584" s="203"/>
      <c r="N584" s="203">
        <f>IFERROR(__xludf.DUMMYFUNCTION("IMPORTRANGE(""https://docs.google.com/spreadsheets/d/1IYY_tgx_IHuhSq3AJ5eI5OnqOPBNLWSHKh2a30DoXe8/edit?usp=sharing"",""ปัตตานี!M479"")"),0.0)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IFERROR(__xludf.DUMMYFUNCTION("IMPORTRANGE(""https://docs.google.com/spreadsheets/d/1IYY_tgx_IHuhSq3AJ5eI5OnqOPBNLWSHKh2a30DoXe8/edit?usp=sharing"",""ปัตตานี!M480"")"),0.0)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IFERROR(__xludf.DUMMYFUNCTION("IMPORTRANGE(""https://docs.google.com/spreadsheets/d/1IYY_tgx_IHuhSq3AJ5eI5OnqOPBNLWSHKh2a30DoXe8/edit?usp=sharing"",""ปัตตานี!M481"")"),0.0)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IFERROR(__xludf.DUMMYFUNCTION("IMPORTRANGE(""https://docs.google.com/spreadsheets/d/1IYY_tgx_IHuhSq3AJ5eI5OnqOPBNLWSHKh2a30DoXe8/edit?usp=sharing"",""ปัตตานี!M482"")"),0.0)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IFERROR(__xludf.DUMMYFUNCTION("IMPORTRANGE(""https://docs.google.com/spreadsheets/d/1IYY_tgx_IHuhSq3AJ5eI5OnqOPBNLWSHKh2a30DoXe8/edit?usp=sharing"",""ปัตตานี!M483"")"),0.0)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IFERROR(__xludf.DUMMYFUNCTION("IMPORTRANGE(""https://docs.google.com/spreadsheets/d/1IYY_tgx_IHuhSq3AJ5eI5OnqOPBNLWSHKh2a30DoXe8/edit?usp=sharing"",""ปัตตานี!I484"")"),0.0)</f>
        <v>0</v>
      </c>
      <c r="J589" s="222">
        <f>IFERROR(__xludf.DUMMYFUNCTION("IMPORTRANGE(""https://docs.google.com/spreadsheets/d/1IYY_tgx_IHuhSq3AJ5eI5OnqOPBNLWSHKh2a30DoXe8/edit?usp=sharing"",""ปัตตานี!J484"")"),0.0)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IFERROR(__xludf.DUMMYFUNCTION("IMPORTRANGE(""https://docs.google.com/spreadsheets/d/1IYY_tgx_IHuhSq3AJ5eI5OnqOPBNLWSHKh2a30DoXe8/edit?usp=sharing"",""ปัตตานี!I485"")"),0.0)</f>
        <v>0</v>
      </c>
      <c r="J590" s="222">
        <f>IFERROR(__xludf.DUMMYFUNCTION("IMPORTRANGE(""https://docs.google.com/spreadsheets/d/1IYY_tgx_IHuhSq3AJ5eI5OnqOPBNLWSHKh2a30DoXe8/edit?usp=sharing"",""ปัตตานี!J485"")"),0.0)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IFERROR(__xludf.DUMMYFUNCTION("IMPORTRANGE(""https://docs.google.com/spreadsheets/d/1IYY_tgx_IHuhSq3AJ5eI5OnqOPBNLWSHKh2a30DoXe8/edit?usp=sharing"",""ปัตตานี!I486"")"),0.0)</f>
        <v>0</v>
      </c>
      <c r="J591" s="222">
        <f>IFERROR(__xludf.DUMMYFUNCTION("IMPORTRANGE(""https://docs.google.com/spreadsheets/d/1IYY_tgx_IHuhSq3AJ5eI5OnqOPBNLWSHKh2a30DoXe8/edit?usp=sharing"",""ปัตตานี!J486"")"),0.0)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IFERROR(__xludf.DUMMYFUNCTION("IMPORTRANGE(""https://docs.google.com/spreadsheets/d/1IYY_tgx_IHuhSq3AJ5eI5OnqOPBNLWSHKh2a30DoXe8/edit?usp=sharing"",""ปัตตานี!I487"")"),0.0)</f>
        <v>0</v>
      </c>
      <c r="J592" s="222">
        <f>IFERROR(__xludf.DUMMYFUNCTION("IMPORTRANGE(""https://docs.google.com/spreadsheets/d/1IYY_tgx_IHuhSq3AJ5eI5OnqOPBNLWSHKh2a30DoXe8/edit?usp=sharing"",""ปัตตานี!J487"")"),0.0)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IFERROR(__xludf.DUMMYFUNCTION("IMPORTRANGE(""https://docs.google.com/spreadsheets/d/1IYY_tgx_IHuhSq3AJ5eI5OnqOPBNLWSHKh2a30DoXe8/edit?usp=sharing"",""ปัตตานี!I488"")"),0.0)</f>
        <v>0</v>
      </c>
      <c r="J593" s="222">
        <f>IFERROR(__xludf.DUMMYFUNCTION("IMPORTRANGE(""https://docs.google.com/spreadsheets/d/1IYY_tgx_IHuhSq3AJ5eI5OnqOPBNLWSHKh2a30DoXe8/edit?usp=sharing"",""ปัตตานี!J488"")"),0.0)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IFERROR(__xludf.DUMMYFUNCTION("IMPORTRANGE(""https://docs.google.com/spreadsheets/d/1IYY_tgx_IHuhSq3AJ5eI5OnqOPBNLWSHKh2a30DoXe8/edit?usp=sharing"",""ปัตตานี!I489"")"),0.0)</f>
        <v>0</v>
      </c>
      <c r="J594" s="222">
        <f>IFERROR(__xludf.DUMMYFUNCTION("IMPORTRANGE(""https://docs.google.com/spreadsheets/d/1IYY_tgx_IHuhSq3AJ5eI5OnqOPBNLWSHKh2a30DoXe8/edit?usp=sharing"",""ปัตตานี!J489"")"),0.0)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IFERROR(__xludf.DUMMYFUNCTION("IMPORTRANGE(""https://docs.google.com/spreadsheets/d/1IYY_tgx_IHuhSq3AJ5eI5OnqOPBNLWSHKh2a30DoXe8/edit?usp=sharing"",""ปัตตานี!I490"")"),0.0)</f>
        <v>0</v>
      </c>
      <c r="J595" s="222">
        <f>IFERROR(__xludf.DUMMYFUNCTION("IMPORTRANGE(""https://docs.google.com/spreadsheets/d/1IYY_tgx_IHuhSq3AJ5eI5OnqOPBNLWSHKh2a30DoXe8/edit?usp=sharing"",""ปัตตานี!J490"")"),0.0)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IFERROR(__xludf.DUMMYFUNCTION("IMPORTRANGE(""https://docs.google.com/spreadsheets/d/1IYY_tgx_IHuhSq3AJ5eI5OnqOPBNLWSHKh2a30DoXe8/edit?usp=sharing"",""ปัตตานี!I491"")"),0.0)</f>
        <v>0</v>
      </c>
      <c r="J596" s="275">
        <f>IFERROR(__xludf.DUMMYFUNCTION("IMPORTRANGE(""https://docs.google.com/spreadsheets/d/1IYY_tgx_IHuhSq3AJ5eI5OnqOPBNLWSHKh2a30DoXe8/edit?usp=sharing"",""ปัตตานี!J491"")"),0.0)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IFERROR(__xludf.DUMMYFUNCTION("IMPORTRANGE(""https://docs.google.com/spreadsheets/d/1IYY_tgx_IHuhSq3AJ5eI5OnqOPBNLWSHKh2a30DoXe8/edit?usp=sharing"",""ปัตตานี!I492"")"),100.0)</f>
        <v>100</v>
      </c>
      <c r="J597" s="520">
        <f>IFERROR(__xludf.DUMMYFUNCTION("IMPORTRANGE(""https://docs.google.com/spreadsheets/d/1IYY_tgx_IHuhSq3AJ5eI5OnqOPBNLWSHKh2a30DoXe8/edit?usp=sharing"",""ปัตตานี!J492"")"),0.0)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IFERROR(__xludf.DUMMYFUNCTION("IMPORTRANGE(""https://docs.google.com/spreadsheets/d/1IYY_tgx_IHuhSq3AJ5eI5OnqOPBNLWSHKh2a30DoXe8/edit?usp=sharing"",""ปัตตานี!L492"")"),7300.0)</f>
        <v>7300</v>
      </c>
      <c r="M597" s="445"/>
      <c r="N597" s="445">
        <f>IFERROR(__xludf.DUMMYFUNCTION("IMPORTRANGE(""https://docs.google.com/spreadsheets/d/1IYY_tgx_IHuhSq3AJ5eI5OnqOPBNLWSHKh2a30DoXe8/edit?usp=sharing"",""ปัตตานี!M492"")"),0.0)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IFERROR(__xludf.DUMMYFUNCTION("IMPORTRANGE(""https://docs.google.com/spreadsheets/d/1IYY_tgx_IHuhSq3AJ5eI5OnqOPBNLWSHKh2a30DoXe8/edit?usp=sharing"",""ปัตตานี!L493"")"),0.0)</f>
        <v>0</v>
      </c>
      <c r="M598" s="197"/>
      <c r="N598" s="203">
        <f>IFERROR(__xludf.DUMMYFUNCTION("IMPORTRANGE(""https://docs.google.com/spreadsheets/d/1IYY_tgx_IHuhSq3AJ5eI5OnqOPBNLWSHKh2a30DoXe8/edit?usp=sharing"",""ปัตตานี!M493"")"),0.0)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IFERROR(__xludf.DUMMYFUNCTION("IMPORTRANGE(""https://docs.google.com/spreadsheets/d/1IYY_tgx_IHuhSq3AJ5eI5OnqOPBNLWSHKh2a30DoXe8/edit?usp=sharing"",""ปัตตานี!L494"")"),7300.0)</f>
        <v>7300</v>
      </c>
      <c r="M599" s="198"/>
      <c r="N599" s="203">
        <f>IFERROR(__xludf.DUMMYFUNCTION("IMPORTRANGE(""https://docs.google.com/spreadsheets/d/1IYY_tgx_IHuhSq3AJ5eI5OnqOPBNLWSHKh2a30DoXe8/edit?usp=sharing"",""ปัตตานี!M494"")"),0.0)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IFERROR(__xludf.DUMMYFUNCTION("IMPORTRANGE(""https://docs.google.com/spreadsheets/d/1IYY_tgx_IHuhSq3AJ5eI5OnqOPBNLWSHKh2a30DoXe8/edit?usp=sharing"",""ปัตตานี!L495"")"),0.0)</f>
        <v>0</v>
      </c>
      <c r="M600" s="203"/>
      <c r="N600" s="203">
        <f>IFERROR(__xludf.DUMMYFUNCTION("IMPORTRANGE(""https://docs.google.com/spreadsheets/d/1IYY_tgx_IHuhSq3AJ5eI5OnqOPBNLWSHKh2a30DoXe8/edit?usp=sharing"",""ปัตตานี!M495"")"),0.0)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IFERROR(__xludf.DUMMYFUNCTION("IMPORTRANGE(""https://docs.google.com/spreadsheets/d/1IYY_tgx_IHuhSq3AJ5eI5OnqOPBNLWSHKh2a30DoXe8/edit?usp=sharing"",""ปัตตานี!L496"")"),7300.0)</f>
        <v>7300</v>
      </c>
      <c r="M601" s="203"/>
      <c r="N601" s="203">
        <f>IFERROR(__xludf.DUMMYFUNCTION("IMPORTRANGE(""https://docs.google.com/spreadsheets/d/1IYY_tgx_IHuhSq3AJ5eI5OnqOPBNLWSHKh2a30DoXe8/edit?usp=sharing"",""ปัตตานี!M496"")"),0.0)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IFERROR(__xludf.DUMMYFUNCTION("IMPORTRANGE(""https://docs.google.com/spreadsheets/d/1IYY_tgx_IHuhSq3AJ5eI5OnqOPBNLWSHKh2a30DoXe8/edit?usp=sharing"",""ปัตตานี!M497"")"),0.0)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IFERROR(__xludf.DUMMYFUNCTION("IMPORTRANGE(""https://docs.google.com/spreadsheets/d/1IYY_tgx_IHuhSq3AJ5eI5OnqOPBNLWSHKh2a30DoXe8/edit?usp=sharing"",""ปัตตานี!M498"")"),0.0)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IFERROR(__xludf.DUMMYFUNCTION("IMPORTRANGE(""https://docs.google.com/spreadsheets/d/1IYY_tgx_IHuhSq3AJ5eI5OnqOPBNLWSHKh2a30DoXe8/edit?usp=sharing"",""ปัตตานี!M499"")"),0.0)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IFERROR(__xludf.DUMMYFUNCTION("IMPORTRANGE(""https://docs.google.com/spreadsheets/d/1IYY_tgx_IHuhSq3AJ5eI5OnqOPBNLWSHKh2a30DoXe8/edit?usp=sharing"",""ปัตตานี!M500"")"),0.0)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IFERROR(__xludf.DUMMYFUNCTION("IMPORTRANGE(""https://docs.google.com/spreadsheets/d/1IYY_tgx_IHuhSq3AJ5eI5OnqOPBNLWSHKh2a30DoXe8/edit?usp=sharing"",""ปัตตานี!J502"")"),0.0)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IFERROR(__xludf.DUMMYFUNCTION("IMPORTRANGE(""https://docs.google.com/spreadsheets/d/1IYY_tgx_IHuhSq3AJ5eI5OnqOPBNLWSHKh2a30DoXe8/edit?usp=sharing"",""ปัตตานี!J503"")"),1.0)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IFERROR(__xludf.DUMMYFUNCTION("IMPORTRANGE(""https://docs.google.com/spreadsheets/d/1IYY_tgx_IHuhSq3AJ5eI5OnqOPBNLWSHKh2a30DoXe8/edit?usp=sharing"",""ปัตตานี!J166"")"),0.0)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IFERROR(__xludf.DUMMYFUNCTION("IMPORTRANGE(""https://docs.google.com/spreadsheets/d/1IYY_tgx_IHuhSq3AJ5eI5OnqOPBNLWSHKh2a30DoXe8/edit?usp=sharing"",""ปัตตานี!J166"")"),0.0)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IFERROR(__xludf.DUMMYFUNCTION("IMPORTRANGE(""https://docs.google.com/spreadsheets/d/1IYY_tgx_IHuhSq3AJ5eI5OnqOPBNLWSHKh2a30DoXe8/edit?usp=sharing"",""ปัตตานี!I506"")"),100.0)</f>
        <v>100</v>
      </c>
      <c r="J611" s="195">
        <f>IFERROR(__xludf.DUMMYFUNCTION("IMPORTRANGE(""https://docs.google.com/spreadsheets/d/1IYY_tgx_IHuhSq3AJ5eI5OnqOPBNLWSHKh2a30DoXe8/edit?usp=sharing"",""ปัตตานี!J506"")"),0.0)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IFERROR(__xludf.DUMMYFUNCTION("IMPORTRANGE(""https://docs.google.com/spreadsheets/d/1IYY_tgx_IHuhSq3AJ5eI5OnqOPBNLWSHKh2a30DoXe8/edit?usp=sharing"",""ปัตตานี!I507"")"),0.0)</f>
        <v>0</v>
      </c>
      <c r="J612" s="232">
        <f>IFERROR(__xludf.DUMMYFUNCTION("IMPORTRANGE(""https://docs.google.com/spreadsheets/d/1IYY_tgx_IHuhSq3AJ5eI5OnqOPBNLWSHKh2a30DoXe8/edit?usp=sharing"",""ปัตตานี!J507"")"),0.0)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IFERROR(__xludf.DUMMYFUNCTION("IMPORTRANGE(""https://docs.google.com/spreadsheets/d/1IYY_tgx_IHuhSq3AJ5eI5OnqOPBNLWSHKh2a30DoXe8/edit?usp=sharing"",""ปัตตานี!I508"")"),0.0)</f>
        <v>0</v>
      </c>
      <c r="J613" s="232">
        <f>IFERROR(__xludf.DUMMYFUNCTION("IMPORTRANGE(""https://docs.google.com/spreadsheets/d/1IYY_tgx_IHuhSq3AJ5eI5OnqOPBNLWSHKh2a30DoXe8/edit?usp=sharing"",""ปัตตานี!J508"")"),0.0)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IFERROR(__xludf.DUMMYFUNCTION("IMPORTRANGE(""https://docs.google.com/spreadsheets/d/1IYY_tgx_IHuhSq3AJ5eI5OnqOPBNLWSHKh2a30DoXe8/edit?usp=sharing"",""ปัตตานี!I509"")"),0.0)</f>
        <v>0</v>
      </c>
      <c r="J614" s="232">
        <f>IFERROR(__xludf.DUMMYFUNCTION("IMPORTRANGE(""https://docs.google.com/spreadsheets/d/1IYY_tgx_IHuhSq3AJ5eI5OnqOPBNLWSHKh2a30DoXe8/edit?usp=sharing"",""ปัตตานี!J509"")"),0.0)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IFERROR(__xludf.DUMMYFUNCTION("IMPORTRANGE(""https://docs.google.com/spreadsheets/d/1IYY_tgx_IHuhSq3AJ5eI5OnqOPBNLWSHKh2a30DoXe8/edit?usp=sharing"",""ปัตตานี!I510"")"),0.0)</f>
        <v>0</v>
      </c>
      <c r="J615" s="232">
        <f>IFERROR(__xludf.DUMMYFUNCTION("IMPORTRANGE(""https://docs.google.com/spreadsheets/d/1IYY_tgx_IHuhSq3AJ5eI5OnqOPBNLWSHKh2a30DoXe8/edit?usp=sharing"",""ปัตตานี!J510"")"),0.0)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IFERROR(__xludf.DUMMYFUNCTION("IMPORTRANGE(""https://docs.google.com/spreadsheets/d/1IYY_tgx_IHuhSq3AJ5eI5OnqOPBNLWSHKh2a30DoXe8/edit?usp=sharing"",""ปัตตานี!I511"")"),0.0)</f>
        <v>0</v>
      </c>
      <c r="J616" s="232">
        <f>IFERROR(__xludf.DUMMYFUNCTION("IMPORTRANGE(""https://docs.google.com/spreadsheets/d/1IYY_tgx_IHuhSq3AJ5eI5OnqOPBNLWSHKh2a30DoXe8/edit?usp=sharing"",""ปัตตานี!J511"")"),0.0)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IFERROR(__xludf.DUMMYFUNCTION("IMPORTRANGE(""https://docs.google.com/spreadsheets/d/1IYY_tgx_IHuhSq3AJ5eI5OnqOPBNLWSHKh2a30DoXe8/edit?usp=sharing"",""ปัตตานี!I512"")"),0.0)</f>
        <v>0</v>
      </c>
      <c r="J617" s="222">
        <f>IFERROR(__xludf.DUMMYFUNCTION("IMPORTRANGE(""https://docs.google.com/spreadsheets/d/1IYY_tgx_IHuhSq3AJ5eI5OnqOPBNLWSHKh2a30DoXe8/edit?usp=sharing"",""ปัตตานี!J512"")"),0.0)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IFERROR(__xludf.DUMMYFUNCTION("IMPORTRANGE(""https://docs.google.com/spreadsheets/d/1IYY_tgx_IHuhSq3AJ5eI5OnqOPBNLWSHKh2a30DoXe8/edit?usp=sharing"",""ปัตตานี!I513"")"),0.0)</f>
        <v>0</v>
      </c>
      <c r="J618" s="223">
        <f>IFERROR(__xludf.DUMMYFUNCTION("IMPORTRANGE(""https://docs.google.com/spreadsheets/d/1IYY_tgx_IHuhSq3AJ5eI5OnqOPBNLWSHKh2a30DoXe8/edit?usp=sharing"",""ปัตตานี!J513"")"),0.0)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IFERROR(__xludf.DUMMYFUNCTION("IMPORTRANGE(""https://docs.google.com/spreadsheets/d/1IYY_tgx_IHuhSq3AJ5eI5OnqOPBNLWSHKh2a30DoXe8/edit?usp=sharing"",""ปัตตานี!I514"")"),0.0)</f>
        <v>0</v>
      </c>
      <c r="J619" s="223">
        <f>IFERROR(__xludf.DUMMYFUNCTION("IMPORTRANGE(""https://docs.google.com/spreadsheets/d/1IYY_tgx_IHuhSq3AJ5eI5OnqOPBNLWSHKh2a30DoXe8/edit?usp=sharing"",""ปัตตานี!J514"")"),0.0)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IFERROR(__xludf.DUMMYFUNCTION("IMPORTRANGE(""https://docs.google.com/spreadsheets/d/1IYY_tgx_IHuhSq3AJ5eI5OnqOPBNLWSHKh2a30DoXe8/edit?usp=sharing"",""ปัตตานี!I515"")"),0.0)</f>
        <v>0</v>
      </c>
      <c r="J620" s="237">
        <f>IFERROR(__xludf.DUMMYFUNCTION("IMPORTRANGE(""https://docs.google.com/spreadsheets/d/1IYY_tgx_IHuhSq3AJ5eI5OnqOPBNLWSHKh2a30DoXe8/edit?usp=sharing"",""ปัตตานี!J515"")"),0.0)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IFERROR(__xludf.DUMMYFUNCTION("IMPORTRANGE(""https://docs.google.com/spreadsheets/d/1IYY_tgx_IHuhSq3AJ5eI5OnqOPBNLWSHKh2a30DoXe8/edit?usp=sharing"",""ปัตตานี!I516"")"),0.0)</f>
        <v>0</v>
      </c>
      <c r="J621" s="237">
        <f>IFERROR(__xludf.DUMMYFUNCTION("IMPORTRANGE(""https://docs.google.com/spreadsheets/d/1IYY_tgx_IHuhSq3AJ5eI5OnqOPBNLWSHKh2a30DoXe8/edit?usp=sharing"",""ปัตตานี!J516"")"),0.0)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IFERROR(__xludf.DUMMYFUNCTION("IMPORTRANGE(""https://docs.google.com/spreadsheets/d/1IYY_tgx_IHuhSq3AJ5eI5OnqOPBNLWSHKh2a30DoXe8/edit?usp=sharing"",""ปัตตานี!I517"")"),0.0)</f>
        <v>0</v>
      </c>
      <c r="J622" s="223">
        <f>IFERROR(__xludf.DUMMYFUNCTION("IMPORTRANGE(""https://docs.google.com/spreadsheets/d/1IYY_tgx_IHuhSq3AJ5eI5OnqOPBNLWSHKh2a30DoXe8/edit?usp=sharing"",""ปัตตานี!J517"")"),0.0)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IFERROR(__xludf.DUMMYFUNCTION("IMPORTRANGE(""https://docs.google.com/spreadsheets/d/1IYY_tgx_IHuhSq3AJ5eI5OnqOPBNLWSHKh2a30DoXe8/edit?usp=sharing"",""ปัตตานี!I518"")"),0.0)</f>
        <v>0</v>
      </c>
      <c r="J623" s="223">
        <f>IFERROR(__xludf.DUMMYFUNCTION("IMPORTRANGE(""https://docs.google.com/spreadsheets/d/1IYY_tgx_IHuhSq3AJ5eI5OnqOPBNLWSHKh2a30DoXe8/edit?usp=sharing"",""ปัตตานี!J518"")"),0.0)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IFERROR(__xludf.DUMMYFUNCTION("IMPORTRANGE(""https://docs.google.com/spreadsheets/d/1IYY_tgx_IHuhSq3AJ5eI5OnqOPBNLWSHKh2a30DoXe8/edit?usp=sharing"",""ปัตตานี!I519"")"),0.0)</f>
        <v>0</v>
      </c>
      <c r="J624" s="222">
        <f>IFERROR(__xludf.DUMMYFUNCTION("IMPORTRANGE(""https://docs.google.com/spreadsheets/d/1IYY_tgx_IHuhSq3AJ5eI5OnqOPBNLWSHKh2a30DoXe8/edit?usp=sharing"",""ปัตตานี!J519"")"),0.0)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IFERROR(__xludf.DUMMYFUNCTION("IMPORTRANGE(""https://docs.google.com/spreadsheets/d/1IYY_tgx_IHuhSq3AJ5eI5OnqOPBNLWSHKh2a30DoXe8/edit?usp=sharing"",""ปัตตานี!I520"")"),0.0)</f>
        <v>0</v>
      </c>
      <c r="J625" s="223">
        <f>IFERROR(__xludf.DUMMYFUNCTION("IMPORTRANGE(""https://docs.google.com/spreadsheets/d/1IYY_tgx_IHuhSq3AJ5eI5OnqOPBNLWSHKh2a30DoXe8/edit?usp=sharing"",""ปัตตานี!J520"")"),0.0)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IFERROR(__xludf.DUMMYFUNCTION("IMPORTRANGE(""https://docs.google.com/spreadsheets/d/1IYY_tgx_IHuhSq3AJ5eI5OnqOPBNLWSHKh2a30DoXe8/edit?usp=sharing"",""ปัตตานี!I521"")"),0.0)</f>
        <v>0</v>
      </c>
      <c r="J626" s="223">
        <f>IFERROR(__xludf.DUMMYFUNCTION("IMPORTRANGE(""https://docs.google.com/spreadsheets/d/1IYY_tgx_IHuhSq3AJ5eI5OnqOPBNLWSHKh2a30DoXe8/edit?usp=sharing"",""ปัตตานี!J521"")"),0.0)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IFERROR(__xludf.DUMMYFUNCTION("IMPORTRANGE(""https://docs.google.com/spreadsheets/d/1IYY_tgx_IHuhSq3AJ5eI5OnqOPBNLWSHKh2a30DoXe8/edit?usp=sharing"",""ปัตตานี!I523"")"),239401.33)</f>
        <v>239401.33</v>
      </c>
      <c r="J628" s="374">
        <f>IFERROR(__xludf.DUMMYFUNCTION("IMPORTRANGE(""https://docs.google.com/spreadsheets/d/1IYY_tgx_IHuhSq3AJ5eI5OnqOPBNLWSHKh2a30DoXe8/edit?usp=sharing"",""ปัตตานี!J523"")"),0.0)</f>
        <v>0</v>
      </c>
      <c r="K628" s="375">
        <f t="shared" ref="K628:K635" si="130">IF(I628&gt;0,J628*100/I628,0)</f>
        <v>0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IFERROR(__xludf.DUMMYFUNCTION("IMPORTRANGE(""https://docs.google.com/spreadsheets/d/1IYY_tgx_IHuhSq3AJ5eI5OnqOPBNLWSHKh2a30DoXe8/edit?usp=sharing"",""ปัตตานี!I524"")"),20.0)</f>
        <v>20</v>
      </c>
      <c r="J629" s="374">
        <f>IFERROR(__xludf.DUMMYFUNCTION("IMPORTRANGE(""https://docs.google.com/spreadsheets/d/1IYY_tgx_IHuhSq3AJ5eI5OnqOPBNLWSHKh2a30DoXe8/edit?usp=sharing"",""ปัตตานี!J524"")"),0.0)</f>
        <v>0</v>
      </c>
      <c r="K629" s="375">
        <f t="shared" si="130"/>
        <v>0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IFERROR(__xludf.DUMMYFUNCTION("IMPORTRANGE(""https://docs.google.com/spreadsheets/d/1IYY_tgx_IHuhSq3AJ5eI5OnqOPBNLWSHKh2a30DoXe8/edit?usp=sharing"",""ปัตตานี!I525"")"),2242432.42)</f>
        <v>2242432.42</v>
      </c>
      <c r="J630" s="374">
        <f>IFERROR(__xludf.DUMMYFUNCTION("IMPORTRANGE(""https://docs.google.com/spreadsheets/d/1IYY_tgx_IHuhSq3AJ5eI5OnqOPBNLWSHKh2a30DoXe8/edit?usp=sharing"",""ปัตตานี!J525"")"),75400.89)</f>
        <v>75400.89</v>
      </c>
      <c r="K630" s="375">
        <f t="shared" si="130"/>
        <v>3.36245986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IFERROR(__xludf.DUMMYFUNCTION("IMPORTRANGE(""https://docs.google.com/spreadsheets/d/1IYY_tgx_IHuhSq3AJ5eI5OnqOPBNLWSHKh2a30DoXe8/edit?usp=sharing"",""ปัตตานี!I526"")"),149.0)</f>
        <v>149</v>
      </c>
      <c r="J631" s="374">
        <f>IFERROR(__xludf.DUMMYFUNCTION("IMPORTRANGE(""https://docs.google.com/spreadsheets/d/1IYY_tgx_IHuhSq3AJ5eI5OnqOPBNLWSHKh2a30DoXe8/edit?usp=sharing"",""ปัตตานี!J526"")"),79.0)</f>
        <v>79</v>
      </c>
      <c r="K631" s="375">
        <f t="shared" si="130"/>
        <v>53.02013423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IFERROR(__xludf.DUMMYFUNCTION("IMPORTRANGE(""https://docs.google.com/spreadsheets/d/1IYY_tgx_IHuhSq3AJ5eI5OnqOPBNLWSHKh2a30DoXe8/edit?usp=sharing"",""ปัตตานี!I527"")"),45520.74)</f>
        <v>45520.74</v>
      </c>
      <c r="J632" s="374">
        <f>IFERROR(__xludf.DUMMYFUNCTION("IMPORTRANGE(""https://docs.google.com/spreadsheets/d/1IYY_tgx_IHuhSq3AJ5eI5OnqOPBNLWSHKh2a30DoXe8/edit?usp=sharing"",""ปัตตานี!J527"")"),9320.01)</f>
        <v>9320.01</v>
      </c>
      <c r="K632" s="375">
        <f t="shared" si="130"/>
        <v>20.47420582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IFERROR(__xludf.DUMMYFUNCTION("IMPORTRANGE(""https://docs.google.com/spreadsheets/d/1IYY_tgx_IHuhSq3AJ5eI5OnqOPBNLWSHKh2a30DoXe8/edit?usp=sharing"",""ปัตตานี!I528"")"),86.0)</f>
        <v>86</v>
      </c>
      <c r="J633" s="374">
        <f>IFERROR(__xludf.DUMMYFUNCTION("IMPORTRANGE(""https://docs.google.com/spreadsheets/d/1IYY_tgx_IHuhSq3AJ5eI5OnqOPBNLWSHKh2a30DoXe8/edit?usp=sharing"",""ปัตตานี!J528"")"),25.0)</f>
        <v>25</v>
      </c>
      <c r="K633" s="375">
        <f t="shared" si="130"/>
        <v>29.06976744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IFERROR(__xludf.DUMMYFUNCTION("IMPORTRANGE(""https://docs.google.com/spreadsheets/d/1IYY_tgx_IHuhSq3AJ5eI5OnqOPBNLWSHKh2a30DoXe8/edit?usp=sharing"",""ปัตตานี!I529"")"),144000.0)</f>
        <v>144000</v>
      </c>
      <c r="J634" s="374">
        <f>IFERROR(__xludf.DUMMYFUNCTION("IMPORTRANGE(""https://docs.google.com/spreadsheets/d/1IYY_tgx_IHuhSq3AJ5eI5OnqOPBNLWSHKh2a30DoXe8/edit?usp=sharing"",""ปัตตานี!J529"")"),0.0)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IFERROR(__xludf.DUMMYFUNCTION("IMPORTRANGE(""https://docs.google.com/spreadsheets/d/1IYY_tgx_IHuhSq3AJ5eI5OnqOPBNLWSHKh2a30DoXe8/edit?usp=sharing"",""ปัตตานี!I530"")"),4.0)</f>
        <v>4</v>
      </c>
      <c r="J635" s="544">
        <f>IFERROR(__xludf.DUMMYFUNCTION("IMPORTRANGE(""https://docs.google.com/spreadsheets/d/1IYY_tgx_IHuhSq3AJ5eI5OnqOPBNLWSHKh2a30DoXe8/edit?usp=sharing"",""ปัตตานี!J530"")"),0.0)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252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3443897</v>
      </c>
      <c r="M8" s="41">
        <f t="shared" si="1"/>
        <v>1189775</v>
      </c>
      <c r="N8" s="41">
        <f t="shared" si="1"/>
        <v>928616</v>
      </c>
      <c r="O8" s="40">
        <f t="shared" ref="O8:O16" si="3">IF(L8&gt;0,N8*100/L8,0)</f>
        <v>26.96410491</v>
      </c>
      <c r="P8" s="40">
        <f t="shared" ref="P8:P16" si="4">IF(M8&gt;0,N8*100/M8,0)</f>
        <v>78.04971528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3443897</v>
      </c>
      <c r="M10" s="48">
        <f t="shared" si="5"/>
        <v>1189775</v>
      </c>
      <c r="N10" s="48">
        <f t="shared" si="5"/>
        <v>928616</v>
      </c>
      <c r="O10" s="47">
        <f t="shared" si="3"/>
        <v>26.96410491</v>
      </c>
      <c r="P10" s="47">
        <f t="shared" si="4"/>
        <v>78.04971528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3269697</v>
      </c>
      <c r="M12" s="58">
        <f t="shared" si="7"/>
        <v>1189775</v>
      </c>
      <c r="N12" s="58">
        <f t="shared" si="7"/>
        <v>754416</v>
      </c>
      <c r="O12" s="58">
        <f t="shared" si="3"/>
        <v>23.07296364</v>
      </c>
      <c r="P12" s="58">
        <f t="shared" si="4"/>
        <v>63.40829148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1741200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1528497</v>
      </c>
      <c r="M14" s="58">
        <f t="shared" si="9"/>
        <v>0</v>
      </c>
      <c r="N14" s="58">
        <f t="shared" si="9"/>
        <v>104840</v>
      </c>
      <c r="O14" s="61">
        <f t="shared" si="3"/>
        <v>6.859025566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174200</v>
      </c>
      <c r="M16" s="58">
        <f t="shared" si="11"/>
        <v>0</v>
      </c>
      <c r="N16" s="58">
        <f t="shared" si="11"/>
        <v>174200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2380125</v>
      </c>
      <c r="M18" s="41">
        <f t="shared" si="12"/>
        <v>1189775</v>
      </c>
      <c r="N18" s="41">
        <f t="shared" si="12"/>
        <v>823776</v>
      </c>
      <c r="O18" s="40">
        <f t="shared" ref="O18:O20" si="14">IF(L18&gt;0,N18*100/L18,0)</f>
        <v>34.61061919</v>
      </c>
      <c r="P18" s="40">
        <f t="shared" ref="P18:P26" si="15">IF(M18&gt;0,N18*100/M18,0)</f>
        <v>69.23796516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2380125</v>
      </c>
      <c r="M20" s="48">
        <f t="shared" si="16"/>
        <v>1189775</v>
      </c>
      <c r="N20" s="48">
        <f t="shared" si="16"/>
        <v>823776</v>
      </c>
      <c r="O20" s="47">
        <f t="shared" si="14"/>
        <v>34.61061919</v>
      </c>
      <c r="P20" s="47">
        <f t="shared" si="15"/>
        <v>69.23796516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2205925</v>
      </c>
      <c r="M22" s="62">
        <f t="shared" si="18"/>
        <v>1189775</v>
      </c>
      <c r="N22" s="61">
        <f t="shared" si="18"/>
        <v>649576</v>
      </c>
      <c r="O22" s="61">
        <f t="shared" si="19"/>
        <v>29.44687603</v>
      </c>
      <c r="P22" s="61">
        <f t="shared" si="15"/>
        <v>54.59654136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1741200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464725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174200</v>
      </c>
      <c r="M26" s="70">
        <f t="shared" si="23"/>
        <v>0</v>
      </c>
      <c r="N26" s="70">
        <f t="shared" si="23"/>
        <v>174200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1063772</v>
      </c>
      <c r="M28" s="41">
        <f t="shared" si="24"/>
        <v>0</v>
      </c>
      <c r="N28" s="41">
        <f t="shared" si="24"/>
        <v>104840</v>
      </c>
      <c r="O28" s="40">
        <f t="shared" ref="O28:O30" si="26">IF(L28&gt;0,N28*100/L28,0)</f>
        <v>9.855495351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1063772</v>
      </c>
      <c r="M30" s="48">
        <f t="shared" si="28"/>
        <v>0</v>
      </c>
      <c r="N30" s="48">
        <f t="shared" si="28"/>
        <v>104840</v>
      </c>
      <c r="O30" s="47">
        <f t="shared" si="26"/>
        <v>9.855495351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1063772</v>
      </c>
      <c r="M32" s="61">
        <f t="shared" si="30"/>
        <v>0</v>
      </c>
      <c r="N32" s="61">
        <f t="shared" si="30"/>
        <v>104840</v>
      </c>
      <c r="O32" s="61">
        <f t="shared" si="31"/>
        <v>9.855495351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1063772</v>
      </c>
      <c r="M34" s="61">
        <f t="shared" si="33"/>
        <v>0</v>
      </c>
      <c r="N34" s="61">
        <f t="shared" si="33"/>
        <v>104840</v>
      </c>
      <c r="O34" s="61">
        <f t="shared" si="31"/>
        <v>9.855495351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2380125</v>
      </c>
      <c r="M37" s="75">
        <f t="shared" si="34"/>
        <v>1189775</v>
      </c>
      <c r="N37" s="75">
        <f t="shared" si="34"/>
        <v>823776</v>
      </c>
      <c r="O37" s="76">
        <f t="shared" si="31"/>
        <v>34.61061919</v>
      </c>
      <c r="P37" s="76">
        <f t="shared" si="27"/>
        <v>69.23796516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915600</v>
      </c>
      <c r="M41" s="102">
        <f t="shared" si="35"/>
        <v>460800</v>
      </c>
      <c r="N41" s="102">
        <f t="shared" si="35"/>
        <v>392746</v>
      </c>
      <c r="O41" s="101">
        <f t="shared" ref="O41:O43" si="37">IF(L41&gt;0,N41*100/L41,0)</f>
        <v>42.89493228</v>
      </c>
      <c r="P41" s="101">
        <f t="shared" ref="P41:P43" si="38">IF(M41&gt;0,N41*100/M41,0)</f>
        <v>85.23133681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915600</v>
      </c>
      <c r="M43" s="102">
        <f t="shared" si="39"/>
        <v>460800</v>
      </c>
      <c r="N43" s="102">
        <f t="shared" si="39"/>
        <v>392746</v>
      </c>
      <c r="O43" s="101">
        <f t="shared" si="37"/>
        <v>42.89493228</v>
      </c>
      <c r="P43" s="101">
        <f t="shared" si="38"/>
        <v>85.23133681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915600</v>
      </c>
      <c r="M45" s="115">
        <f>IFERROR(__xludf.DUMMYFUNCTION("IMPORTRANGE(""https://docs.google.com/spreadsheets/d/1Yj_ptqi66GCucihVvJfMjLAmec39IyEx_6qawtMGysU/edit?usp=sharing"",""สบก!Q87"")"),460800.0)</f>
        <v>460800</v>
      </c>
      <c r="N45" s="115">
        <f>IFERROR(__xludf.DUMMYFUNCTION("IMPORTRANGE(""https://docs.google.com/spreadsheets/d/1Yj_ptqi66GCucihVvJfMjLAmec39IyEx_6qawtMGysU/edit?usp=sharing"",""สบก!R87"")"),392746.0)</f>
        <v>392746</v>
      </c>
      <c r="O45" s="116">
        <f>IF(L45&gt;0,N45*100/L45,0)</f>
        <v>42.89493228</v>
      </c>
      <c r="P45" s="116">
        <f>IF(M45&gt;0,N45*100/M45,0)</f>
        <v>85.23133681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IFERROR(__xludf.DUMMYFUNCTION("IMPORTRANGE(""https://docs.google.com/spreadsheets/d/1Yj_ptqi66GCucihVvJfMjLAmec39IyEx_6qawtMGysU/edit?usp=sharing"",""สบก!M87"")"),915600.0)</f>
        <v>915600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IFERROR(__xludf.DUMMYFUNCTION("IMPORTRANGE(""https://docs.google.com/spreadsheets/d/1Yj_ptqi66GCucihVvJfMjLAmec39IyEx_6qawtMGysU/edit?usp=sharing"",""สบก!N87"")"),0.0)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IFERROR(__xludf.DUMMYFUNCTION("IMPORTRANGE(""https://docs.google.com/spreadsheets/d/1Yj_ptqi66GCucihVvJfMjLAmec39IyEx_6qawtMGysU/edit?usp=sharing"",""สบก!O87"")"),0.0)</f>
        <v>0</v>
      </c>
      <c r="M49" s="125"/>
      <c r="N49" s="115">
        <f>IFERROR(__xludf.DUMMYFUNCTION("IMPORTRANGE(""https://docs.google.com/spreadsheets/d/1Yj_ptqi66GCucihVvJfMjLAmec39IyEx_6qawtMGysU/edit?usp=sharing"",""สบก!S87"")"),0.0)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201600</v>
      </c>
      <c r="M53" s="151">
        <f t="shared" si="40"/>
        <v>113940</v>
      </c>
      <c r="N53" s="151">
        <f t="shared" si="40"/>
        <v>67941</v>
      </c>
      <c r="O53" s="150">
        <f t="shared" ref="O53:O55" si="42">IF(L53&gt;0,N53*100/L53,0)</f>
        <v>33.70089286</v>
      </c>
      <c r="P53" s="150">
        <f t="shared" ref="P53:P55" si="43">IF(M53&gt;0,N53*100/M53,0)</f>
        <v>59.62875197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201600</v>
      </c>
      <c r="M55" s="151">
        <f t="shared" si="44"/>
        <v>113940</v>
      </c>
      <c r="N55" s="151">
        <f t="shared" si="44"/>
        <v>67941</v>
      </c>
      <c r="O55" s="150">
        <f t="shared" si="42"/>
        <v>33.70089286</v>
      </c>
      <c r="P55" s="150">
        <f t="shared" si="43"/>
        <v>59.62875197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201600</v>
      </c>
      <c r="M57" s="115">
        <f>IFERROR(__xludf.DUMMYFUNCTION("IMPORTRANGE(""https://docs.google.com/spreadsheets/d/1Yj_ptqi66GCucihVvJfMjLAmec39IyEx_6qawtMGysU/edit?usp=sharing"",""สบก!Z87"")"),113940.0)</f>
        <v>113940</v>
      </c>
      <c r="N57" s="115">
        <f>IFERROR(__xludf.DUMMYFUNCTION("IMPORTRANGE(""https://docs.google.com/spreadsheets/d/1Yj_ptqi66GCucihVvJfMjLAmec39IyEx_6qawtMGysU/edit?usp=sharing"",""สบก!AA87"")"),67941.0)</f>
        <v>67941</v>
      </c>
      <c r="O57" s="116">
        <f>IF(L57&gt;0,N57*100/L57,0)</f>
        <v>33.70089286</v>
      </c>
      <c r="P57" s="116">
        <f>IF(M57&gt;0,N57*100/M57,0)</f>
        <v>59.62875197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IFERROR(__xludf.DUMMYFUNCTION("IMPORTRANGE(""https://docs.google.com/spreadsheets/d/1Yj_ptqi66GCucihVvJfMjLAmec39IyEx_6qawtMGysU/edit?usp=sharing"",""สบก!V87"")"),201600.0)</f>
        <v>201600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IFERROR(__xludf.DUMMYFUNCTION("IMPORTRANGE(""https://docs.google.com/spreadsheets/d/1Yj_ptqi66GCucihVvJfMjLAmec39IyEx_6qawtMGysU/edit?usp=sharing"",""สบก!W87"")"),0.0)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IFERROR(__xludf.DUMMYFUNCTION("IMPORTRANGE(""https://docs.google.com/spreadsheets/d/1Yj_ptqi66GCucihVvJfMjLAmec39IyEx_6qawtMGysU/edit?usp=sharing"",""สบก!X87"")"),0.0)</f>
        <v>0</v>
      </c>
      <c r="M61" s="125"/>
      <c r="N61" s="115">
        <f>IFERROR(__xludf.DUMMYFUNCTION("IMPORTRANGE(""https://docs.google.com/spreadsheets/d/1Yj_ptqi66GCucihVvJfMjLAmec39IyEx_6qawtMGysU/edit?usp=sharing"",""สบก!AB87"")"),0.0)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IFERROR(__xludf.DUMMYFUNCTION("IMPORTRANGE(""https://docs.google.com/spreadsheets/d/1IYY_tgx_IHuhSq3AJ5eI5OnqOPBNLWSHKh2a30DoXe8/edit?usp=sharing"",""พังงา!I9"")"),0.0)</f>
        <v>0</v>
      </c>
      <c r="J64" s="172">
        <f>IFERROR(__xludf.DUMMYFUNCTION("IMPORTRANGE(""https://docs.google.com/spreadsheets/d/1IYY_tgx_IHuhSq3AJ5eI5OnqOPBNLWSHKh2a30DoXe8/edit?usp=sharing"",""พังงา!J9"")"),0.0)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IFERROR(__xludf.DUMMYFUNCTION("IMPORTRANGE(""https://docs.google.com/spreadsheets/d/1IYY_tgx_IHuhSq3AJ5eI5OnqOPBNLWSHKh2a30DoXe8/edit?usp=sharing"",""พังงา!I10"")"),0.0)</f>
        <v>0</v>
      </c>
      <c r="J65" s="172">
        <f>IFERROR(__xludf.DUMMYFUNCTION("IMPORTRANGE(""https://docs.google.com/spreadsheets/d/1IYY_tgx_IHuhSq3AJ5eI5OnqOPBNLWSHKh2a30DoXe8/edit?usp=sharing"",""พังงา!J10"")"),0.0)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IFERROR(__xludf.DUMMYFUNCTION("IMPORTRANGE(""https://docs.google.com/spreadsheets/d/1Yj_ptqi66GCucihVvJfMjLAmec39IyEx_6qawtMGysU/edit?usp=sharing"",""สบก!AI87"")"),0.0)</f>
        <v>0</v>
      </c>
      <c r="N70" s="202">
        <f>IFERROR(__xludf.DUMMYFUNCTION("IMPORTRANGE(""https://docs.google.com/spreadsheets/d/1Yj_ptqi66GCucihVvJfMjLAmec39IyEx_6qawtMGysU/edit?usp=sharing"",""สบก!AJ87"")"),0.0)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IFERROR(__xludf.DUMMYFUNCTION("IMPORTRANGE(""https://docs.google.com/spreadsheets/d/1Yj_ptqi66GCucihVvJfMjLAmec39IyEx_6qawtMGysU/edit?usp=sharing"",""สบก!AE87"")"),0.0)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IFERROR(__xludf.DUMMYFUNCTION("IMPORTRANGE(""https://docs.google.com/spreadsheets/d/1Yj_ptqi66GCucihVvJfMjLAmec39IyEx_6qawtMGysU/edit?usp=sharing"",""สบก!AF87"")"),0.0)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IFERROR(__xludf.DUMMYFUNCTION("IMPORTRANGE(""https://docs.google.com/spreadsheets/d/1Yj_ptqi66GCucihVvJfMjLAmec39IyEx_6qawtMGysU/edit?usp=sharing"",""สบก!AG87"")"),0.0)</f>
        <v>0</v>
      </c>
      <c r="M74" s="125"/>
      <c r="N74" s="115">
        <f>IFERROR(__xludf.DUMMYFUNCTION("IMPORTRANGE(""https://docs.google.com/spreadsheets/d/1Yj_ptqi66GCucihVvJfMjLAmec39IyEx_6qawtMGysU/edit?usp=sharing"",""สบก!AK87"")"),0.0)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IFERROR(__xludf.DUMMYFUNCTION("IMPORTRANGE(""https://docs.google.com/spreadsheets/d/1IYY_tgx_IHuhSq3AJ5eI5OnqOPBNLWSHKh2a30DoXe8/edit?usp=sharing"",""พังงา!J16"")"),0.0)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IFERROR(__xludf.DUMMYFUNCTION("IMPORTRANGE(""https://docs.google.com/spreadsheets/d/1IYY_tgx_IHuhSq3AJ5eI5OnqOPBNLWSHKh2a30DoXe8/edit?usp=sharing"",""พังงา!J17"")"),0.0)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IFERROR(__xludf.DUMMYFUNCTION("IMPORTRANGE(""https://docs.google.com/spreadsheets/d/1IYY_tgx_IHuhSq3AJ5eI5OnqOPBNLWSHKh2a30DoXe8/edit?usp=sharing"",""พังงา!J18"")"),0.0)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IFERROR(__xludf.DUMMYFUNCTION("IMPORTRANGE(""https://docs.google.com/spreadsheets/d/1IYY_tgx_IHuhSq3AJ5eI5OnqOPBNLWSHKh2a30DoXe8/edit?usp=sharing"",""พังงา!J19"")"),0.0)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IFERROR(__xludf.DUMMYFUNCTION("IMPORTRANGE(""https://docs.google.com/spreadsheets/d/1IYY_tgx_IHuhSq3AJ5eI5OnqOPBNLWSHKh2a30DoXe8/edit?usp=sharing"",""พังงา!I20"")"),0.0)</f>
        <v>0</v>
      </c>
      <c r="J80" s="235">
        <f>IFERROR(__xludf.DUMMYFUNCTION("IMPORTRANGE(""https://docs.google.com/spreadsheets/d/1IYY_tgx_IHuhSq3AJ5eI5OnqOPBNLWSHKh2a30DoXe8/edit?usp=sharing"",""พังงา!J20"")"),0.0)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IFERROR(__xludf.DUMMYFUNCTION("IMPORTRANGE(""https://docs.google.com/spreadsheets/d/1IYY_tgx_IHuhSq3AJ5eI5OnqOPBNLWSHKh2a30DoXe8/edit?usp=sharing"",""พังงา!I21"")"),0.0)</f>
        <v>0</v>
      </c>
      <c r="J81" s="235">
        <f>IFERROR(__xludf.DUMMYFUNCTION("IMPORTRANGE(""https://docs.google.com/spreadsheets/d/1IYY_tgx_IHuhSq3AJ5eI5OnqOPBNLWSHKh2a30DoXe8/edit?usp=sharing"",""พังงา!J21"")"),0.0)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IFERROR(__xludf.DUMMYFUNCTION("IMPORTRANGE(""https://docs.google.com/spreadsheets/d/1IYY_tgx_IHuhSq3AJ5eI5OnqOPBNLWSHKh2a30DoXe8/edit?usp=sharing"",""พังงา!I22"")"),0.0)</f>
        <v>0</v>
      </c>
      <c r="J82" s="238">
        <f>IFERROR(__xludf.DUMMYFUNCTION("IMPORTRANGE(""https://docs.google.com/spreadsheets/d/1IYY_tgx_IHuhSq3AJ5eI5OnqOPBNLWSHKh2a30DoXe8/edit?usp=sharing"",""พังงา!J22"")"),0.0)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IFERROR(__xludf.DUMMYFUNCTION("IMPORTRANGE(""https://docs.google.com/spreadsheets/d/1IYY_tgx_IHuhSq3AJ5eI5OnqOPBNLWSHKh2a30DoXe8/edit?usp=sharing"",""พังงา!I23"")"),0.0)</f>
        <v>0</v>
      </c>
      <c r="J83" s="238">
        <f>IFERROR(__xludf.DUMMYFUNCTION("IMPORTRANGE(""https://docs.google.com/spreadsheets/d/1IYY_tgx_IHuhSq3AJ5eI5OnqOPBNLWSHKh2a30DoXe8/edit?usp=sharing"",""พังงา!J23"")"),0.0)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IFERROR(__xludf.DUMMYFUNCTION("IMPORTRANGE(""https://docs.google.com/spreadsheets/d/1IYY_tgx_IHuhSq3AJ5eI5OnqOPBNLWSHKh2a30DoXe8/edit?usp=sharing"",""พังงา!I24"")"),0.0)</f>
        <v>0</v>
      </c>
      <c r="J84" s="223">
        <f>IFERROR(__xludf.DUMMYFUNCTION("IMPORTRANGE(""https://docs.google.com/spreadsheets/d/1IYY_tgx_IHuhSq3AJ5eI5OnqOPBNLWSHKh2a30DoXe8/edit?usp=sharing"",""พังงา!J24"")"),0.0)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IFERROR(__xludf.DUMMYFUNCTION("IMPORTRANGE(""https://docs.google.com/spreadsheets/d/1IYY_tgx_IHuhSq3AJ5eI5OnqOPBNLWSHKh2a30DoXe8/edit?usp=sharing"",""พังงา!I25"")"),0.0)</f>
        <v>0</v>
      </c>
      <c r="J85" s="223">
        <f>IFERROR(__xludf.DUMMYFUNCTION("IMPORTRANGE(""https://docs.google.com/spreadsheets/d/1IYY_tgx_IHuhSq3AJ5eI5OnqOPBNLWSHKh2a30DoXe8/edit?usp=sharing"",""พังงา!J25"")"),0.0)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IFERROR(__xludf.DUMMYFUNCTION("IMPORTRANGE(""https://docs.google.com/spreadsheets/d/1IYY_tgx_IHuhSq3AJ5eI5OnqOPBNLWSHKh2a30DoXe8/edit?usp=sharing"",""พังงา!I26"")"),0.0)</f>
        <v>0</v>
      </c>
      <c r="J86" s="238">
        <f>IFERROR(__xludf.DUMMYFUNCTION("IMPORTRANGE(""https://docs.google.com/spreadsheets/d/1IYY_tgx_IHuhSq3AJ5eI5OnqOPBNLWSHKh2a30DoXe8/edit?usp=sharing"",""พังงา!J26"")"),0.0)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IFERROR(__xludf.DUMMYFUNCTION("IMPORTRANGE(""https://docs.google.com/spreadsheets/d/1IYY_tgx_IHuhSq3AJ5eI5OnqOPBNLWSHKh2a30DoXe8/edit?usp=sharing"",""พังงา!I27"")"),0.0)</f>
        <v>0</v>
      </c>
      <c r="J87" s="238">
        <f>IFERROR(__xludf.DUMMYFUNCTION("IMPORTRANGE(""https://docs.google.com/spreadsheets/d/1IYY_tgx_IHuhSq3AJ5eI5OnqOPBNLWSHKh2a30DoXe8/edit?usp=sharing"",""พังงา!J27"")"),0.0)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IFERROR(__xludf.DUMMYFUNCTION("IMPORTRANGE(""https://docs.google.com/spreadsheets/d/1IYY_tgx_IHuhSq3AJ5eI5OnqOPBNLWSHKh2a30DoXe8/edit?usp=sharing"",""พังงา!I28"")"),0.0)</f>
        <v>0</v>
      </c>
      <c r="J88" s="238">
        <f>IFERROR(__xludf.DUMMYFUNCTION("IMPORTRANGE(""https://docs.google.com/spreadsheets/d/1IYY_tgx_IHuhSq3AJ5eI5OnqOPBNLWSHKh2a30DoXe8/edit?usp=sharing"",""พังงา!J28"")"),0.0)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IFERROR(__xludf.DUMMYFUNCTION("IMPORTRANGE(""https://docs.google.com/spreadsheets/d/1IYY_tgx_IHuhSq3AJ5eI5OnqOPBNLWSHKh2a30DoXe8/edit?usp=sharing"",""พังงา!J29"")"),0.0)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IFERROR(__xludf.DUMMYFUNCTION("IMPORTRANGE(""https://docs.google.com/spreadsheets/d/1IYY_tgx_IHuhSq3AJ5eI5OnqOPBNLWSHKh2a30DoXe8/edit?usp=sharing"",""พังงา!J30"")"),0.0)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IFERROR(__xludf.DUMMYFUNCTION("IMPORTRANGE(""https://docs.google.com/spreadsheets/d/1IYY_tgx_IHuhSq3AJ5eI5OnqOPBNLWSHKh2a30DoXe8/edit?usp=sharing"",""พังงา!I32"")"),0.0)</f>
        <v>0</v>
      </c>
      <c r="J92" s="172">
        <f>IFERROR(__xludf.DUMMYFUNCTION("IMPORTRANGE(""https://docs.google.com/spreadsheets/d/1IYY_tgx_IHuhSq3AJ5eI5OnqOPBNLWSHKh2a30DoXe8/edit?usp=sharing"",""พังงา!J32"")"),0.0)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IFERROR(__xludf.DUMMYFUNCTION("IMPORTRANGE(""https://docs.google.com/spreadsheets/d/1IYY_tgx_IHuhSq3AJ5eI5OnqOPBNLWSHKh2a30DoXe8/edit?usp=sharing"",""พังงา!I33"")"),0.0)</f>
        <v>0</v>
      </c>
      <c r="J93" s="172">
        <f>IFERROR(__xludf.DUMMYFUNCTION("IMPORTRANGE(""https://docs.google.com/spreadsheets/d/1IYY_tgx_IHuhSq3AJ5eI5OnqOPBNLWSHKh2a30DoXe8/edit?usp=sharing"",""พังงา!J33"")"),0.0)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IFERROR(__xludf.DUMMYFUNCTION("IMPORTRANGE(""https://docs.google.com/spreadsheets/d/1Yj_ptqi66GCucihVvJfMjLAmec39IyEx_6qawtMGysU/edit?usp=sharing"",""สบก!AR87"")"),0.0)</f>
        <v>0</v>
      </c>
      <c r="N98" s="202">
        <f>IFERROR(__xludf.DUMMYFUNCTION("IMPORTRANGE(""https://docs.google.com/spreadsheets/d/1Yj_ptqi66GCucihVvJfMjLAmec39IyEx_6qawtMGysU/edit?usp=sharing"",""สบก!AS87"")"),0.0)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IFERROR(__xludf.DUMMYFUNCTION("IMPORTRANGE(""https://docs.google.com/spreadsheets/d/1Yj_ptqi66GCucihVvJfMjLAmec39IyEx_6qawtMGysU/edit?usp=sharing"",""สบก!AN87"")"),0.0)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IFERROR(__xludf.DUMMYFUNCTION("IMPORTRANGE(""https://docs.google.com/spreadsheets/d/1Yj_ptqi66GCucihVvJfMjLAmec39IyEx_6qawtMGysU/edit?usp=sharing"",""สบก!AO87"")"),0.0)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IFERROR(__xludf.DUMMYFUNCTION("IMPORTRANGE(""https://docs.google.com/spreadsheets/d/1Yj_ptqi66GCucihVvJfMjLAmec39IyEx_6qawtMGysU/edit?usp=sharing"",""สบก!AP87"")"),0.0)</f>
        <v>0</v>
      </c>
      <c r="M102" s="125"/>
      <c r="N102" s="115">
        <f>IFERROR(__xludf.DUMMYFUNCTION("IMPORTRANGE(""https://docs.google.com/spreadsheets/d/1Yj_ptqi66GCucihVvJfMjLAmec39IyEx_6qawtMGysU/edit?usp=sharing"",""สบก!AT87"")"),0.0)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IFERROR(__xludf.DUMMYFUNCTION("IMPORTRANGE(""https://docs.google.com/spreadsheets/d/1IYY_tgx_IHuhSq3AJ5eI5OnqOPBNLWSHKh2a30DoXe8/edit?usp=sharing"",""พังงา!J39"")"),0.0)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IFERROR(__xludf.DUMMYFUNCTION("IMPORTRANGE(""https://docs.google.com/spreadsheets/d/1IYY_tgx_IHuhSq3AJ5eI5OnqOPBNLWSHKh2a30DoXe8/edit?usp=sharing"",""พังงา!J40"")"),0.0)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IFERROR(__xludf.DUMMYFUNCTION("IMPORTRANGE(""https://docs.google.com/spreadsheets/d/1IYY_tgx_IHuhSq3AJ5eI5OnqOPBNLWSHKh2a30DoXe8/edit?usp=sharing"",""พังงา!J41"")"),0.0)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IFERROR(__xludf.DUMMYFUNCTION("IMPORTRANGE(""https://docs.google.com/spreadsheets/d/1IYY_tgx_IHuhSq3AJ5eI5OnqOPBNLWSHKh2a30DoXe8/edit?usp=sharing"",""พังงา!J42"")"),0.0)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IFERROR(__xludf.DUMMYFUNCTION("IMPORTRANGE(""https://docs.google.com/spreadsheets/d/1IYY_tgx_IHuhSq3AJ5eI5OnqOPBNLWSHKh2a30DoXe8/edit?usp=sharing"",""พังงา!I43"")"),0.0)</f>
        <v>0</v>
      </c>
      <c r="J108" s="238">
        <f>IFERROR(__xludf.DUMMYFUNCTION("IMPORTRANGE(""https://docs.google.com/spreadsheets/d/1IYY_tgx_IHuhSq3AJ5eI5OnqOPBNLWSHKh2a30DoXe8/edit?usp=sharing"",""พังงา!J43"")"),0.0)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IFERROR(__xludf.DUMMYFUNCTION("IMPORTRANGE(""https://docs.google.com/spreadsheets/d/1IYY_tgx_IHuhSq3AJ5eI5OnqOPBNLWSHKh2a30DoXe8/edit?usp=sharing"",""พังงา!I44"")"),0.0)</f>
        <v>0</v>
      </c>
      <c r="J109" s="238">
        <f>IFERROR(__xludf.DUMMYFUNCTION("IMPORTRANGE(""https://docs.google.com/spreadsheets/d/1IYY_tgx_IHuhSq3AJ5eI5OnqOPBNLWSHKh2a30DoXe8/edit?usp=sharing"",""พังงา!J44"")"),0.0)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IFERROR(__xludf.DUMMYFUNCTION("IMPORTRANGE(""https://docs.google.com/spreadsheets/d/1IYY_tgx_IHuhSq3AJ5eI5OnqOPBNLWSHKh2a30DoXe8/edit?usp=sharing"",""พังงา!I45"")"),0.0)</f>
        <v>0</v>
      </c>
      <c r="J110" s="238">
        <f>IFERROR(__xludf.DUMMYFUNCTION("IMPORTRANGE(""https://docs.google.com/spreadsheets/d/1IYY_tgx_IHuhSq3AJ5eI5OnqOPBNLWSHKh2a30DoXe8/edit?usp=sharing"",""พังงา!J45"")"),0.0)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IFERROR(__xludf.DUMMYFUNCTION("IMPORTRANGE(""https://docs.google.com/spreadsheets/d/1IYY_tgx_IHuhSq3AJ5eI5OnqOPBNLWSHKh2a30DoXe8/edit?usp=sharing"",""พังงา!I46"")"),0.0)</f>
        <v>0</v>
      </c>
      <c r="J111" s="238">
        <f>IFERROR(__xludf.DUMMYFUNCTION("IMPORTRANGE(""https://docs.google.com/spreadsheets/d/1IYY_tgx_IHuhSq3AJ5eI5OnqOPBNLWSHKh2a30DoXe8/edit?usp=sharing"",""พังงา!J46"")"),0.0)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IFERROR(__xludf.DUMMYFUNCTION("IMPORTRANGE(""https://docs.google.com/spreadsheets/d/1IYY_tgx_IHuhSq3AJ5eI5OnqOPBNLWSHKh2a30DoXe8/edit?usp=sharing"",""พังงา!I47"")"),0.0)</f>
        <v>0</v>
      </c>
      <c r="J112" s="238">
        <f>IFERROR(__xludf.DUMMYFUNCTION("IMPORTRANGE(""https://docs.google.com/spreadsheets/d/1IYY_tgx_IHuhSq3AJ5eI5OnqOPBNLWSHKh2a30DoXe8/edit?usp=sharing"",""พังงา!J47"")"),0.0)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IFERROR(__xludf.DUMMYFUNCTION("IMPORTRANGE(""https://docs.google.com/spreadsheets/d/1IYY_tgx_IHuhSq3AJ5eI5OnqOPBNLWSHKh2a30DoXe8/edit?usp=sharing"",""พังงา!I48"")"),0.0)</f>
        <v>0</v>
      </c>
      <c r="J113" s="238">
        <f>IFERROR(__xludf.DUMMYFUNCTION("IMPORTRANGE(""https://docs.google.com/spreadsheets/d/1IYY_tgx_IHuhSq3AJ5eI5OnqOPBNLWSHKh2a30DoXe8/edit?usp=sharing"",""พังงา!J48"")"),0.0)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IFERROR(__xludf.DUMMYFUNCTION("IMPORTRANGE(""https://docs.google.com/spreadsheets/d/1IYY_tgx_IHuhSq3AJ5eI5OnqOPBNLWSHKh2a30DoXe8/edit?usp=sharing"",""พังงา!J49"")"),0.0)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IFERROR(__xludf.DUMMYFUNCTION("IMPORTRANGE(""https://docs.google.com/spreadsheets/d/1IYY_tgx_IHuhSq3AJ5eI5OnqOPBNLWSHKh2a30DoXe8/edit?usp=sharing"",""พังงา!J50"")"),0.0)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IFERROR(__xludf.DUMMYFUNCTION("IMPORTRANGE(""https://docs.google.com/spreadsheets/d/1IYY_tgx_IHuhSq3AJ5eI5OnqOPBNLWSHKh2a30DoXe8/edit?usp=sharing"",""พังงา!I52"")"),15.0)</f>
        <v>15</v>
      </c>
      <c r="J117" s="172">
        <f>IFERROR(__xludf.DUMMYFUNCTION("IMPORTRANGE(""https://docs.google.com/spreadsheets/d/1IYY_tgx_IHuhSq3AJ5eI5OnqOPBNLWSHKh2a30DoXe8/edit?usp=sharing"",""พังงา!J52"")"),15.0)</f>
        <v>15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64890</v>
      </c>
      <c r="M118" s="183">
        <f t="shared" si="59"/>
        <v>52890</v>
      </c>
      <c r="N118" s="183">
        <f t="shared" si="59"/>
        <v>28580</v>
      </c>
      <c r="O118" s="182">
        <f t="shared" ref="O118:O120" si="61">IF(L118&gt;0,N118*100/L118,0)</f>
        <v>44.04376637</v>
      </c>
      <c r="P118" s="182">
        <f t="shared" ref="P118:P120" si="62">IF(M118&gt;0,N118*100/M118,0)</f>
        <v>54.0366799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64890</v>
      </c>
      <c r="M120" s="188">
        <f t="shared" si="63"/>
        <v>52890</v>
      </c>
      <c r="N120" s="188">
        <f t="shared" si="63"/>
        <v>28580</v>
      </c>
      <c r="O120" s="187">
        <f t="shared" si="61"/>
        <v>44.04376637</v>
      </c>
      <c r="P120" s="187">
        <f t="shared" si="62"/>
        <v>54.0366799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64890</v>
      </c>
      <c r="M122" s="201">
        <f>IFERROR(__xludf.DUMMYFUNCTION("IMPORTRANGE(""https://docs.google.com/spreadsheets/d/1Yj_ptqi66GCucihVvJfMjLAmec39IyEx_6qawtMGysU/edit?usp=sharing"",""สบก!BA87"")"),52890.0)</f>
        <v>52890</v>
      </c>
      <c r="N122" s="202">
        <f>IFERROR(__xludf.DUMMYFUNCTION("IMPORTRANGE(""https://docs.google.com/spreadsheets/d/1Yj_ptqi66GCucihVvJfMjLAmec39IyEx_6qawtMGysU/edit?usp=sharing"",""สบก!BB87"")"),28580.0)</f>
        <v>28580</v>
      </c>
      <c r="O122" s="203">
        <f>IF(L122&gt;0,N122*100/L122,0)</f>
        <v>44.04376637</v>
      </c>
      <c r="P122" s="203">
        <f>IF(M122&gt;0,N122*100/M122,0)</f>
        <v>54.0366799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IFERROR(__xludf.DUMMYFUNCTION("IMPORTRANGE(""https://docs.google.com/spreadsheets/d/1Yj_ptqi66GCucihVvJfMjLAmec39IyEx_6qawtMGysU/edit?usp=sharing"",""สบก!AW87"")"),0.0)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IFERROR(__xludf.DUMMYFUNCTION("IMPORTRANGE(""https://docs.google.com/spreadsheets/d/1Yj_ptqi66GCucihVvJfMjLAmec39IyEx_6qawtMGysU/edit?usp=sharing"",""สบก!AX87"")"),64890.0)</f>
        <v>64890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IFERROR(__xludf.DUMMYFUNCTION("IMPORTRANGE(""https://docs.google.com/spreadsheets/d/1Yj_ptqi66GCucihVvJfMjLAmec39IyEx_6qawtMGysU/edit?usp=sharing"",""สบก!AY87"")"),0.0)</f>
        <v>0</v>
      </c>
      <c r="M126" s="125"/>
      <c r="N126" s="115">
        <f>IFERROR(__xludf.DUMMYFUNCTION("IMPORTRANGE(""https://docs.google.com/spreadsheets/d/1Yj_ptqi66GCucihVvJfMjLAmec39IyEx_6qawtMGysU/edit?usp=sharing"",""สบก!BC87"")"),0.0)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253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IFERROR(__xludf.DUMMYFUNCTION("IMPORTRANGE(""https://docs.google.com/spreadsheets/d/1IYY_tgx_IHuhSq3AJ5eI5OnqOPBNLWSHKh2a30DoXe8/edit?usp=sharing"",""พังงา!J58"")"),0.0)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IFERROR(__xludf.DUMMYFUNCTION("IMPORTRANGE(""https://docs.google.com/spreadsheets/d/1IYY_tgx_IHuhSq3AJ5eI5OnqOPBNLWSHKh2a30DoXe8/edit?usp=sharing"",""พังงา!J59"")"),1.0)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IFERROR(__xludf.DUMMYFUNCTION("IMPORTRANGE(""https://docs.google.com/spreadsheets/d/1IYY_tgx_IHuhSq3AJ5eI5OnqOPBNLWSHKh2a30DoXe8/edit?usp=sharing"",""พังงา!J60"")"),1.0)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IFERROR(__xludf.DUMMYFUNCTION("IMPORTRANGE(""https://docs.google.com/spreadsheets/d/1IYY_tgx_IHuhSq3AJ5eI5OnqOPBNLWSHKh2a30DoXe8/edit?usp=sharing"",""พังงา!J61"")"),1.0)</f>
        <v>1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IFERROR(__xludf.DUMMYFUNCTION("IMPORTRANGE(""https://docs.google.com/spreadsheets/d/1IYY_tgx_IHuhSq3AJ5eI5OnqOPBNLWSHKh2a30DoXe8/edit?usp=sharing"",""พังงา!I62"")"),15.0)</f>
        <v>15</v>
      </c>
      <c r="J132" s="238">
        <f>IFERROR(__xludf.DUMMYFUNCTION("IMPORTRANGE(""https://docs.google.com/spreadsheets/d/1IYY_tgx_IHuhSq3AJ5eI5OnqOPBNLWSHKh2a30DoXe8/edit?usp=sharing"",""พังงา!J62"")"),15.0)</f>
        <v>15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IFERROR(__xludf.DUMMYFUNCTION("IMPORTRANGE(""https://docs.google.com/spreadsheets/d/1IYY_tgx_IHuhSq3AJ5eI5OnqOPBNLWSHKh2a30DoXe8/edit?usp=sharing"",""พังงา!I63"")"),15.0)</f>
        <v>15</v>
      </c>
      <c r="J133" s="238">
        <f>IFERROR(__xludf.DUMMYFUNCTION("IMPORTRANGE(""https://docs.google.com/spreadsheets/d/1IYY_tgx_IHuhSq3AJ5eI5OnqOPBNLWSHKh2a30DoXe8/edit?usp=sharing"",""พังงา!J63"")"),0.0)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IFERROR(__xludf.DUMMYFUNCTION("IMPORTRANGE(""https://docs.google.com/spreadsheets/d/1IYY_tgx_IHuhSq3AJ5eI5OnqOPBNLWSHKh2a30DoXe8/edit?usp=sharing"",""พังงา!J64"")"),0.0)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IFERROR(__xludf.DUMMYFUNCTION("IMPORTRANGE(""https://docs.google.com/spreadsheets/d/1IYY_tgx_IHuhSq3AJ5eI5OnqOPBNLWSHKh2a30DoXe8/edit?usp=sharing"",""พังงา!J65"")"),0.0)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IFERROR(__xludf.DUMMYFUNCTION("IMPORTRANGE(""https://docs.google.com/spreadsheets/d/1IYY_tgx_IHuhSq3AJ5eI5OnqOPBNLWSHKh2a30DoXe8/edit?usp=sharing"",""พังงา!I68"")"),0.0)</f>
        <v>0</v>
      </c>
      <c r="J138" s="301">
        <f>IFERROR(__xludf.DUMMYFUNCTION("IMPORTRANGE(""https://docs.google.com/spreadsheets/d/1IYY_tgx_IHuhSq3AJ5eI5OnqOPBNLWSHKh2a30DoXe8/edit?usp=sharing"",""พังงา!J68"")"),0.0)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72500</v>
      </c>
      <c r="M140" s="183">
        <f t="shared" si="65"/>
        <v>59750</v>
      </c>
      <c r="N140" s="183">
        <f t="shared" si="65"/>
        <v>27420</v>
      </c>
      <c r="O140" s="182">
        <f t="shared" ref="O140:O142" si="67">IF(L140&gt;0,N140*100/L140,0)</f>
        <v>37.82068966</v>
      </c>
      <c r="P140" s="182">
        <f t="shared" ref="P140:P142" si="68">IF(M140&gt;0,N140*100/M140,0)</f>
        <v>45.89121339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72500</v>
      </c>
      <c r="M142" s="188">
        <f t="shared" si="69"/>
        <v>59750</v>
      </c>
      <c r="N142" s="188">
        <f t="shared" si="69"/>
        <v>27420</v>
      </c>
      <c r="O142" s="187">
        <f t="shared" si="67"/>
        <v>37.82068966</v>
      </c>
      <c r="P142" s="187">
        <f t="shared" si="68"/>
        <v>45.89121339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72500</v>
      </c>
      <c r="M144" s="201">
        <f>IFERROR(__xludf.DUMMYFUNCTION("IMPORTRANGE(""https://docs.google.com/spreadsheets/d/1Yj_ptqi66GCucihVvJfMjLAmec39IyEx_6qawtMGysU/edit?usp=sharing"",""สบก!BJ87"")"),59750.0)</f>
        <v>59750</v>
      </c>
      <c r="N144" s="202">
        <f>IFERROR(__xludf.DUMMYFUNCTION("IMPORTRANGE(""https://docs.google.com/spreadsheets/d/1Yj_ptqi66GCucihVvJfMjLAmec39IyEx_6qawtMGysU/edit?usp=sharing"",""สบก!BK87"")"),27420.0)</f>
        <v>27420</v>
      </c>
      <c r="O144" s="203">
        <f>IF(L144&gt;0,N144*100/L144,0)</f>
        <v>37.82068966</v>
      </c>
      <c r="P144" s="203">
        <f>IF(M144&gt;0,N144*100/M144,0)</f>
        <v>45.89121339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IFERROR(__xludf.DUMMYFUNCTION("IMPORTRANGE(""https://docs.google.com/spreadsheets/d/1Yj_ptqi66GCucihVvJfMjLAmec39IyEx_6qawtMGysU/edit?usp=sharing"",""สบก!BF87"")"),0.0)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IFERROR(__xludf.DUMMYFUNCTION("IMPORTRANGE(""https://docs.google.com/spreadsheets/d/1Yj_ptqi66GCucihVvJfMjLAmec39IyEx_6qawtMGysU/edit?usp=sharing"",""สบก!BG87"")"),72500.0)</f>
        <v>72500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IFERROR(__xludf.DUMMYFUNCTION("IMPORTRANGE(""https://docs.google.com/spreadsheets/d/1Yj_ptqi66GCucihVvJfMjLAmec39IyEx_6qawtMGysU/edit?usp=sharing"",""สบก!BH87"")"),0.0)</f>
        <v>0</v>
      </c>
      <c r="M148" s="125"/>
      <c r="N148" s="115">
        <f>IFERROR(__xludf.DUMMYFUNCTION("IMPORTRANGE(""https://docs.google.com/spreadsheets/d/1Yj_ptqi66GCucihVvJfMjLAmec39IyEx_6qawtMGysU/edit?usp=sharing"",""สบก!BL87"")"),0.0)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IFERROR(__xludf.DUMMYFUNCTION("IMPORTRANGE(""https://docs.google.com/spreadsheets/d/1IYY_tgx_IHuhSq3AJ5eI5OnqOPBNLWSHKh2a30DoXe8/edit?usp=sharing"",""พังงา!I74"")"),4.0)</f>
        <v>4</v>
      </c>
      <c r="J149" s="309">
        <f>IFERROR(__xludf.DUMMYFUNCTION("IMPORTRANGE(""https://docs.google.com/spreadsheets/d/1IYY_tgx_IHuhSq3AJ5eI5OnqOPBNLWSHKh2a30DoXe8/edit?usp=sharing"",""พังงา!J74"")"),1.0)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IFERROR(__xludf.DUMMYFUNCTION("IMPORTRANGE(""https://docs.google.com/spreadsheets/d/1IYY_tgx_IHuhSq3AJ5eI5OnqOPBNLWSHKh2a30DoXe8/edit?usp=sharing"",""พังงา!J79"")"),0.0)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IFERROR(__xludf.DUMMYFUNCTION("IMPORTRANGE(""https://docs.google.com/spreadsheets/d/1IYY_tgx_IHuhSq3AJ5eI5OnqOPBNLWSHKh2a30DoXe8/edit?usp=sharing"",""พังงา!J80"")"),1.0)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IFERROR(__xludf.DUMMYFUNCTION("IMPORTRANGE(""https://docs.google.com/spreadsheets/d/1IYY_tgx_IHuhSq3AJ5eI5OnqOPBNLWSHKh2a30DoXe8/edit?usp=sharing"",""พังงา!J81"")"),1.0)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IFERROR(__xludf.DUMMYFUNCTION("IMPORTRANGE(""https://docs.google.com/spreadsheets/d/1IYY_tgx_IHuhSq3AJ5eI5OnqOPBNLWSHKh2a30DoXe8/edit?usp=sharing"",""พังงา!J82"")"),1.0)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IFERROR(__xludf.DUMMYFUNCTION("IMPORTRANGE(""https://docs.google.com/spreadsheets/d/1IYY_tgx_IHuhSq3AJ5eI5OnqOPBNLWSHKh2a30DoXe8/edit?usp=sharing"",""พังงา!I83"")"),4.0)</f>
        <v>4</v>
      </c>
      <c r="J158" s="223">
        <f>IFERROR(__xludf.DUMMYFUNCTION("IMPORTRANGE(""https://docs.google.com/spreadsheets/d/1IYY_tgx_IHuhSq3AJ5eI5OnqOPBNLWSHKh2a30DoXe8/edit?usp=sharing"",""พังงา!J83"")"),1.0)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IFERROR(__xludf.DUMMYFUNCTION("IMPORTRANGE(""https://docs.google.com/spreadsheets/d/1IYY_tgx_IHuhSq3AJ5eI5OnqOPBNLWSHKh2a30DoXe8/edit?usp=sharing"",""พังงา!J84"")"),38.0)</f>
        <v>38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IFERROR(__xludf.DUMMYFUNCTION("IMPORTRANGE(""https://docs.google.com/spreadsheets/d/1IYY_tgx_IHuhSq3AJ5eI5OnqOPBNLWSHKh2a30DoXe8/edit?usp=sharing"",""พังงา!J85"")"),38.0)</f>
        <v>38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IFERROR(__xludf.DUMMYFUNCTION("IMPORTRANGE(""https://docs.google.com/spreadsheets/d/1IYY_tgx_IHuhSq3AJ5eI5OnqOPBNLWSHKh2a30DoXe8/edit?usp=sharing"",""พังงา!J86"")"),0.0)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IFERROR(__xludf.DUMMYFUNCTION("IMPORTRANGE(""https://docs.google.com/spreadsheets/d/1IYY_tgx_IHuhSq3AJ5eI5OnqOPBNLWSHKh2a30DoXe8/edit?usp=sharing"",""พังงา!J87"")"),0.0)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IFERROR(__xludf.DUMMYFUNCTION("IMPORTRANGE(""https://docs.google.com/spreadsheets/d/1IYY_tgx_IHuhSq3AJ5eI5OnqOPBNLWSHKh2a30DoXe8/edit?usp=sharing"",""พังงา!J88"")"),0.0)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IFERROR(__xludf.DUMMYFUNCTION("IMPORTRANGE(""https://docs.google.com/spreadsheets/d/1IYY_tgx_IHuhSq3AJ5eI5OnqOPBNLWSHKh2a30DoXe8/edit?usp=sharing"",""พังงา!I89"")"),4.0)</f>
        <v>4</v>
      </c>
      <c r="J164" s="317">
        <f>IFERROR(__xludf.DUMMYFUNCTION("IMPORTRANGE(""https://docs.google.com/spreadsheets/d/1IYY_tgx_IHuhSq3AJ5eI5OnqOPBNLWSHKh2a30DoXe8/edit?usp=sharing"",""พังงา!J89"")"),2.0)</f>
        <v>2</v>
      </c>
      <c r="K164" s="318">
        <f>IF(I164&gt;0,J164*100/I164,0)</f>
        <v>50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IFERROR(__xludf.DUMMYFUNCTION("IMPORTRANGE(""https://docs.google.com/spreadsheets/d/1IYY_tgx_IHuhSq3AJ5eI5OnqOPBNLWSHKh2a30DoXe8/edit?usp=sharing"",""พังงา!J94"")"),0.0)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IFERROR(__xludf.DUMMYFUNCTION("IMPORTRANGE(""https://docs.google.com/spreadsheets/d/1IYY_tgx_IHuhSq3AJ5eI5OnqOPBNLWSHKh2a30DoXe8/edit?usp=sharing"",""พังงา!J95"")"),1.0)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IFERROR(__xludf.DUMMYFUNCTION("IMPORTRANGE(""https://docs.google.com/spreadsheets/d/1IYY_tgx_IHuhSq3AJ5eI5OnqOPBNLWSHKh2a30DoXe8/edit?usp=sharing"",""พังงา!J96"")"),1.0)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IFERROR(__xludf.DUMMYFUNCTION("IMPORTRANGE(""https://docs.google.com/spreadsheets/d/1IYY_tgx_IHuhSq3AJ5eI5OnqOPBNLWSHKh2a30DoXe8/edit?usp=sharing"",""พังงา!J97"")"),1.0)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IFERROR(__xludf.DUMMYFUNCTION("IMPORTRANGE(""https://docs.google.com/spreadsheets/d/1IYY_tgx_IHuhSq3AJ5eI5OnqOPBNLWSHKh2a30DoXe8/edit?usp=sharing"",""พังงา!I98"")"),4.0)</f>
        <v>4</v>
      </c>
      <c r="J173" s="223">
        <f>IFERROR(__xludf.DUMMYFUNCTION("IMPORTRANGE(""https://docs.google.com/spreadsheets/d/1IYY_tgx_IHuhSq3AJ5eI5OnqOPBNLWSHKh2a30DoXe8/edit?usp=sharing"",""พังงา!J98"")"),2.0)</f>
        <v>2</v>
      </c>
      <c r="K173" s="196">
        <f>IF(I173&gt;0,J173*100/I173,0)</f>
        <v>50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IFERROR(__xludf.DUMMYFUNCTION("IMPORTRANGE(""https://docs.google.com/spreadsheets/d/1IYY_tgx_IHuhSq3AJ5eI5OnqOPBNLWSHKh2a30DoXe8/edit?usp=sharing"",""พังงา!J99"")"),0.0)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IFERROR(__xludf.DUMMYFUNCTION("IMPORTRANGE(""https://docs.google.com/spreadsheets/d/1IYY_tgx_IHuhSq3AJ5eI5OnqOPBNLWSHKh2a30DoXe8/edit?usp=sharing"",""พังงา!J100"")"),0.0)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IFERROR(__xludf.DUMMYFUNCTION("IMPORTRANGE(""https://docs.google.com/spreadsheets/d/1IYY_tgx_IHuhSq3AJ5eI5OnqOPBNLWSHKh2a30DoXe8/edit?usp=sharing"",""พังงา!I101"")"),0.0)</f>
        <v>0</v>
      </c>
      <c r="J176" s="317">
        <f>IFERROR(__xludf.DUMMYFUNCTION("IMPORTRANGE(""https://docs.google.com/spreadsheets/d/1IYY_tgx_IHuhSq3AJ5eI5OnqOPBNLWSHKh2a30DoXe8/edit?usp=sharing"",""พังงา!J101"")"),0.0)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IFERROR(__xludf.DUMMYFUNCTION("IMPORTRANGE(""https://docs.google.com/spreadsheets/d/1IYY_tgx_IHuhSq3AJ5eI5OnqOPBNLWSHKh2a30DoXe8/edit?usp=sharing"",""พังงา!J106"")"),0.0)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IFERROR(__xludf.DUMMYFUNCTION("IMPORTRANGE(""https://docs.google.com/spreadsheets/d/1IYY_tgx_IHuhSq3AJ5eI5OnqOPBNLWSHKh2a30DoXe8/edit?usp=sharing"",""พังงา!J107"")"),0.0)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IFERROR(__xludf.DUMMYFUNCTION("IMPORTRANGE(""https://docs.google.com/spreadsheets/d/1IYY_tgx_IHuhSq3AJ5eI5OnqOPBNLWSHKh2a30DoXe8/edit?usp=sharing"",""พังงา!J108"")"),0.0)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IFERROR(__xludf.DUMMYFUNCTION("IMPORTRANGE(""https://docs.google.com/spreadsheets/d/1IYY_tgx_IHuhSq3AJ5eI5OnqOPBNLWSHKh2a30DoXe8/edit?usp=sharing"",""พังงา!J109"")"),0.0)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IFERROR(__xludf.DUMMYFUNCTION("IMPORTRANGE(""https://docs.google.com/spreadsheets/d/1IYY_tgx_IHuhSq3AJ5eI5OnqOPBNLWSHKh2a30DoXe8/edit?usp=sharing"",""พังงา!I110"")"),0.0)</f>
        <v>0</v>
      </c>
      <c r="J185" s="238">
        <f>IFERROR(__xludf.DUMMYFUNCTION("IMPORTRANGE(""https://docs.google.com/spreadsheets/d/1IYY_tgx_IHuhSq3AJ5eI5OnqOPBNLWSHKh2a30DoXe8/edit?usp=sharing"",""พังงา!J110"")"),0.0)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IFERROR(__xludf.DUMMYFUNCTION("IMPORTRANGE(""https://docs.google.com/spreadsheets/d/1IYY_tgx_IHuhSq3AJ5eI5OnqOPBNLWSHKh2a30DoXe8/edit?usp=sharing"",""พังงา!I111"")"),0.0)</f>
        <v>0</v>
      </c>
      <c r="J186" s="238">
        <f>IFERROR(__xludf.DUMMYFUNCTION("IMPORTRANGE(""https://docs.google.com/spreadsheets/d/1IYY_tgx_IHuhSq3AJ5eI5OnqOPBNLWSHKh2a30DoXe8/edit?usp=sharing"",""พังงา!J111"")"),0.0)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IFERROR(__xludf.DUMMYFUNCTION("IMPORTRANGE(""https://docs.google.com/spreadsheets/d/1IYY_tgx_IHuhSq3AJ5eI5OnqOPBNLWSHKh2a30DoXe8/edit?usp=sharing"",""พังงา!J112"")"),0.0)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IFERROR(__xludf.DUMMYFUNCTION("IMPORTRANGE(""https://docs.google.com/spreadsheets/d/1IYY_tgx_IHuhSq3AJ5eI5OnqOPBNLWSHKh2a30DoXe8/edit?usp=sharing"",""พังงา!J113"")"),0.0)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IFERROR(__xludf.DUMMYFUNCTION("IMPORTRANGE(""https://docs.google.com/spreadsheets/d/1IYY_tgx_IHuhSq3AJ5eI5OnqOPBNLWSHKh2a30DoXe8/edit?usp=sharing"",""พังงา!I114"")"),20000.0)</f>
        <v>20000</v>
      </c>
      <c r="J189" s="317">
        <f>IFERROR(__xludf.DUMMYFUNCTION("IMPORTRANGE(""https://docs.google.com/spreadsheets/d/1IYY_tgx_IHuhSq3AJ5eI5OnqOPBNLWSHKh2a30DoXe8/edit?usp=sharing"",""พังงา!J114"")"),0.0)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IFERROR(__xludf.DUMMYFUNCTION("IMPORTRANGE(""https://docs.google.com/spreadsheets/d/1IYY_tgx_IHuhSq3AJ5eI5OnqOPBNLWSHKh2a30DoXe8/edit?usp=sharing"",""พังงา!J119"")"),0.0)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IFERROR(__xludf.DUMMYFUNCTION("IMPORTRANGE(""https://docs.google.com/spreadsheets/d/1IYY_tgx_IHuhSq3AJ5eI5OnqOPBNLWSHKh2a30DoXe8/edit?usp=sharing"",""พังงา!J120"")"),1.0)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IFERROR(__xludf.DUMMYFUNCTION("IMPORTRANGE(""https://docs.google.com/spreadsheets/d/1IYY_tgx_IHuhSq3AJ5eI5OnqOPBNLWSHKh2a30DoXe8/edit?usp=sharing"",""พังงา!J121"")"),0.0)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IFERROR(__xludf.DUMMYFUNCTION("IMPORTRANGE(""https://docs.google.com/spreadsheets/d/1IYY_tgx_IHuhSq3AJ5eI5OnqOPBNLWSHKh2a30DoXe8/edit?usp=sharing"",""พังงา!J122"")"),0.0)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IFERROR(__xludf.DUMMYFUNCTION("IMPORTRANGE(""https://docs.google.com/spreadsheets/d/1IYY_tgx_IHuhSq3AJ5eI5OnqOPBNLWSHKh2a30DoXe8/edit?usp=sharing"",""พังงา!I124"")"),20000.0)</f>
        <v>20000</v>
      </c>
      <c r="J199" s="223">
        <f>IFERROR(__xludf.DUMMYFUNCTION("IMPORTRANGE(""https://docs.google.com/spreadsheets/d/1IYY_tgx_IHuhSq3AJ5eI5OnqOPBNLWSHKh2a30DoXe8/edit?usp=sharing"",""พังงา!J124"")"),0.0)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IFERROR(__xludf.DUMMYFUNCTION("IMPORTRANGE(""https://docs.google.com/spreadsheets/d/1IYY_tgx_IHuhSq3AJ5eI5OnqOPBNLWSHKh2a30DoXe8/edit?usp=sharing"",""พังงา!I125"")"),20000.0)</f>
        <v>20000</v>
      </c>
      <c r="J200" s="223">
        <f>IFERROR(__xludf.DUMMYFUNCTION("IMPORTRANGE(""https://docs.google.com/spreadsheets/d/1IYY_tgx_IHuhSq3AJ5eI5OnqOPBNLWSHKh2a30DoXe8/edit?usp=sharing"",""พังงา!J125"")"),0.0)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IFERROR(__xludf.DUMMYFUNCTION("IMPORTRANGE(""https://docs.google.com/spreadsheets/d/1IYY_tgx_IHuhSq3AJ5eI5OnqOPBNLWSHKh2a30DoXe8/edit?usp=sharing"",""พังงา!I126"")"),0.0)</f>
        <v>0</v>
      </c>
      <c r="J201" s="223">
        <f>IFERROR(__xludf.DUMMYFUNCTION("IMPORTRANGE(""https://docs.google.com/spreadsheets/d/1IYY_tgx_IHuhSq3AJ5eI5OnqOPBNLWSHKh2a30DoXe8/edit?usp=sharing"",""พังงา!J126"")"),0.0)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IFERROR(__xludf.DUMMYFUNCTION("IMPORTRANGE(""https://docs.google.com/spreadsheets/d/1IYY_tgx_IHuhSq3AJ5eI5OnqOPBNLWSHKh2a30DoXe8/edit?usp=sharing"",""พังงา!J127"")"),0.0)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IFERROR(__xludf.DUMMYFUNCTION("IMPORTRANGE(""https://docs.google.com/spreadsheets/d/1IYY_tgx_IHuhSq3AJ5eI5OnqOPBNLWSHKh2a30DoXe8/edit?usp=sharing"",""พังงา!J128"")"),0.0)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IFERROR(__xludf.DUMMYFUNCTION("IMPORTRANGE(""https://docs.google.com/spreadsheets/d/1IYY_tgx_IHuhSq3AJ5eI5OnqOPBNLWSHKh2a30DoXe8/edit?usp=sharing"",""พังงา!I129"")"),0.0)</f>
        <v>0</v>
      </c>
      <c r="J204" s="317">
        <f>IFERROR(__xludf.DUMMYFUNCTION("IMPORTRANGE(""https://docs.google.com/spreadsheets/d/1IYY_tgx_IHuhSq3AJ5eI5OnqOPBNLWSHKh2a30DoXe8/edit?usp=sharing"",""พังงา!J129"")"),0.0)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IFERROR(__xludf.DUMMYFUNCTION("IMPORTRANGE(""https://docs.google.com/spreadsheets/d/1IYY_tgx_IHuhSq3AJ5eI5OnqOPBNLWSHKh2a30DoXe8/edit?usp=sharing"",""พังงา!J134"")"),0.0)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IFERROR(__xludf.DUMMYFUNCTION("IMPORTRANGE(""https://docs.google.com/spreadsheets/d/1IYY_tgx_IHuhSq3AJ5eI5OnqOPBNLWSHKh2a30DoXe8/edit?usp=sharing"",""พังงา!J135"")"),0.0)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IFERROR(__xludf.DUMMYFUNCTION("IMPORTRANGE(""https://docs.google.com/spreadsheets/d/1IYY_tgx_IHuhSq3AJ5eI5OnqOPBNLWSHKh2a30DoXe8/edit?usp=sharing"",""พังงา!J136"")"),0.0)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IFERROR(__xludf.DUMMYFUNCTION("IMPORTRANGE(""https://docs.google.com/spreadsheets/d/1IYY_tgx_IHuhSq3AJ5eI5OnqOPBNLWSHKh2a30DoXe8/edit?usp=sharing"",""พังงา!J137"")"),0.0)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IFERROR(__xludf.DUMMYFUNCTION("IMPORTRANGE(""https://docs.google.com/spreadsheets/d/1IYY_tgx_IHuhSq3AJ5eI5OnqOPBNLWSHKh2a30DoXe8/edit?usp=sharing"",""พังงา!I138"")"),0.0)</f>
        <v>0</v>
      </c>
      <c r="J213" s="238">
        <f>IFERROR(__xludf.DUMMYFUNCTION("IMPORTRANGE(""https://docs.google.com/spreadsheets/d/1IYY_tgx_IHuhSq3AJ5eI5OnqOPBNLWSHKh2a30DoXe8/edit?usp=sharing"",""พังงา!J138"")"),0.0)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IFERROR(__xludf.DUMMYFUNCTION("IMPORTRANGE(""https://docs.google.com/spreadsheets/d/1IYY_tgx_IHuhSq3AJ5eI5OnqOPBNLWSHKh2a30DoXe8/edit?usp=sharing"",""พังงา!I140"")"),0.0)</f>
        <v>0</v>
      </c>
      <c r="J215" s="238">
        <f>IFERROR(__xludf.DUMMYFUNCTION("IMPORTRANGE(""https://docs.google.com/spreadsheets/d/1IYY_tgx_IHuhSq3AJ5eI5OnqOPBNLWSHKh2a30DoXe8/edit?usp=sharing"",""พังงา!J140"")"),0.0)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IFERROR(__xludf.DUMMYFUNCTION("IMPORTRANGE(""https://docs.google.com/spreadsheets/d/1IYY_tgx_IHuhSq3AJ5eI5OnqOPBNLWSHKh2a30DoXe8/edit?usp=sharing"",""พังงา!I141"")"),0.0)</f>
        <v>0</v>
      </c>
      <c r="J216" s="238">
        <f>IFERROR(__xludf.DUMMYFUNCTION("IMPORTRANGE(""https://docs.google.com/spreadsheets/d/1IYY_tgx_IHuhSq3AJ5eI5OnqOPBNLWSHKh2a30DoXe8/edit?usp=sharing"",""พังงา!J141"")"),0.0)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IFERROR(__xludf.DUMMYFUNCTION("IMPORTRANGE(""https://docs.google.com/spreadsheets/d/1IYY_tgx_IHuhSq3AJ5eI5OnqOPBNLWSHKh2a30DoXe8/edit?usp=sharing"",""พังงา!J142"")"),0.0)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IFERROR(__xludf.DUMMYFUNCTION("IMPORTRANGE(""https://docs.google.com/spreadsheets/d/1IYY_tgx_IHuhSq3AJ5eI5OnqOPBNLWSHKh2a30DoXe8/edit?usp=sharing"",""พังงา!J143"")"),0.0)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IFERROR(__xludf.DUMMYFUNCTION("IMPORTRANGE(""https://docs.google.com/spreadsheets/d/1IYY_tgx_IHuhSq3AJ5eI5OnqOPBNLWSHKh2a30DoXe8/edit?usp=sharing"",""พังงา!I144"")"),15.0)</f>
        <v>15</v>
      </c>
      <c r="J219" s="301">
        <f>IFERROR(__xludf.DUMMYFUNCTION("IMPORTRANGE(""https://docs.google.com/spreadsheets/d/1IYY_tgx_IHuhSq3AJ5eI5OnqOPBNLWSHKh2a30DoXe8/edit?usp=sharing"",""พังงา!J144"")"),15.0)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IFERROR(__xludf.DUMMYFUNCTION("IMPORTRANGE(""https://docs.google.com/spreadsheets/d/1Yj_ptqi66GCucihVvJfMjLAmec39IyEx_6qawtMGysU/edit?usp=sharing"",""สบก!BS87"")"),21125.0)</f>
        <v>21125</v>
      </c>
      <c r="N224" s="202">
        <f>IFERROR(__xludf.DUMMYFUNCTION("IMPORTRANGE(""https://docs.google.com/spreadsheets/d/1Yj_ptqi66GCucihVvJfMjLAmec39IyEx_6qawtMGysU/edit?usp=sharing"",""สบก!BT87"")"),0.0)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IFERROR(__xludf.DUMMYFUNCTION("IMPORTRANGE(""https://docs.google.com/spreadsheets/d/1Yj_ptqi66GCucihVvJfMjLAmec39IyEx_6qawtMGysU/edit?usp=sharing"",""สบก!BO87"")"),0.0)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IFERROR(__xludf.DUMMYFUNCTION("IMPORTRANGE(""https://docs.google.com/spreadsheets/d/1Yj_ptqi66GCucihVvJfMjLAmec39IyEx_6qawtMGysU/edit?usp=sharing"",""สบก!BP87"")"),21125.0)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IFERROR(__xludf.DUMMYFUNCTION("IMPORTRANGE(""https://docs.google.com/spreadsheets/d/1Yj_ptqi66GCucihVvJfMjLAmec39IyEx_6qawtMGysU/edit?usp=sharing"",""สบก!BQ87"")"),0.0)</f>
        <v>0</v>
      </c>
      <c r="M228" s="125"/>
      <c r="N228" s="115">
        <f>IFERROR(__xludf.DUMMYFUNCTION("IMPORTRANGE(""https://docs.google.com/spreadsheets/d/1Yj_ptqi66GCucihVvJfMjLAmec39IyEx_6qawtMGysU/edit?usp=sharing"",""สบก!BU87"")"),0.0)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IFERROR(__xludf.DUMMYFUNCTION("IMPORTRANGE(""https://docs.google.com/spreadsheets/d/1IYY_tgx_IHuhSq3AJ5eI5OnqOPBNLWSHKh2a30DoXe8/edit?usp=sharing"",""พังงา!I149"")"),15.0)</f>
        <v>15</v>
      </c>
      <c r="J229" s="301">
        <f>IFERROR(__xludf.DUMMYFUNCTION("IMPORTRANGE(""https://docs.google.com/spreadsheets/d/1IYY_tgx_IHuhSq3AJ5eI5OnqOPBNLWSHKh2a30DoXe8/edit?usp=sharing"",""พังงา!J149"")"),15.0)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IFERROR(__xludf.DUMMYFUNCTION("IMPORTRANGE(""https://docs.google.com/spreadsheets/d/1IYY_tgx_IHuhSq3AJ5eI5OnqOPBNLWSHKh2a30DoXe8/edit?usp=sharing"",""พังงา!J151"")"),0.0)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IFERROR(__xludf.DUMMYFUNCTION("IMPORTRANGE(""https://docs.google.com/spreadsheets/d/1IYY_tgx_IHuhSq3AJ5eI5OnqOPBNLWSHKh2a30DoXe8/edit?usp=sharing"",""พังงา!J152"")"),1.0)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IFERROR(__xludf.DUMMYFUNCTION("IMPORTRANGE(""https://docs.google.com/spreadsheets/d/1IYY_tgx_IHuhSq3AJ5eI5OnqOPBNLWSHKh2a30DoXe8/edit?usp=sharing"",""พังงา!J153"")"),1.0)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IFERROR(__xludf.DUMMYFUNCTION("IMPORTRANGE(""https://docs.google.com/spreadsheets/d/1IYY_tgx_IHuhSq3AJ5eI5OnqOPBNLWSHKh2a30DoXe8/edit?usp=sharing"",""พังงา!J154"")"),1.0)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IFERROR(__xludf.DUMMYFUNCTION("IMPORTRANGE(""https://docs.google.com/spreadsheets/d/1IYY_tgx_IHuhSq3AJ5eI5OnqOPBNLWSHKh2a30DoXe8/edit?usp=sharing"",""พังงา!I155"")"),15.0)</f>
        <v>15</v>
      </c>
      <c r="J235" s="223">
        <f>IFERROR(__xludf.DUMMYFUNCTION("IMPORTRANGE(""https://docs.google.com/spreadsheets/d/1IYY_tgx_IHuhSq3AJ5eI5OnqOPBNLWSHKh2a30DoXe8/edit?usp=sharing"",""พังงา!J155"")"),15.0)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IFERROR(__xludf.DUMMYFUNCTION("IMPORTRANGE(""https://docs.google.com/spreadsheets/d/1IYY_tgx_IHuhSq3AJ5eI5OnqOPBNLWSHKh2a30DoXe8/edit?usp=sharing"",""พังงา!J156"")"),0.0)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IFERROR(__xludf.DUMMYFUNCTION("IMPORTRANGE(""https://docs.google.com/spreadsheets/d/1IYY_tgx_IHuhSq3AJ5eI5OnqOPBNLWSHKh2a30DoXe8/edit?usp=sharing"",""พังงา!J157"")"),0.0)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IFERROR(__xludf.DUMMYFUNCTION("IMPORTRANGE(""https://docs.google.com/spreadsheets/d/1IYY_tgx_IHuhSq3AJ5eI5OnqOPBNLWSHKh2a30DoXe8/edit?usp=sharing"",""พังงา!I158"")"),0.0)</f>
        <v>0</v>
      </c>
      <c r="J238" s="301">
        <f>IFERROR(__xludf.DUMMYFUNCTION("IMPORTRANGE(""https://docs.google.com/spreadsheets/d/1IYY_tgx_IHuhSq3AJ5eI5OnqOPBNLWSHKh2a30DoXe8/edit?usp=sharing"",""พังงา!J158"")"),0.0)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IFERROR(__xludf.DUMMYFUNCTION("IMPORTRANGE(""https://docs.google.com/spreadsheets/d/1IYY_tgx_IHuhSq3AJ5eI5OnqOPBNLWSHKh2a30DoXe8/edit?usp=sharing"",""พังงา!J159"")"),"")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IFERROR(__xludf.DUMMYFUNCTION("IMPORTRANGE(""https://docs.google.com/spreadsheets/d/1IYY_tgx_IHuhSq3AJ5eI5OnqOPBNLWSHKh2a30DoXe8/edit?usp=sharing"",""พังงา!J161"")"),0.0)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IFERROR(__xludf.DUMMYFUNCTION("IMPORTRANGE(""https://docs.google.com/spreadsheets/d/1IYY_tgx_IHuhSq3AJ5eI5OnqOPBNLWSHKh2a30DoXe8/edit?usp=sharing"",""พังงา!J162"")"),0.0)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IFERROR(__xludf.DUMMYFUNCTION("IMPORTRANGE(""https://docs.google.com/spreadsheets/d/1IYY_tgx_IHuhSq3AJ5eI5OnqOPBNLWSHKh2a30DoXe8/edit?usp=sharing"",""พังงา!J163"")"),0.0)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IFERROR(__xludf.DUMMYFUNCTION("IMPORTRANGE(""https://docs.google.com/spreadsheets/d/1IYY_tgx_IHuhSq3AJ5eI5OnqOPBNLWSHKh2a30DoXe8/edit?usp=sharing"",""พังงา!I164"")"),0.0)</f>
        <v>0</v>
      </c>
      <c r="J244" s="222">
        <f>IFERROR(__xludf.DUMMYFUNCTION("IMPORTRANGE(""https://docs.google.com/spreadsheets/d/1IYY_tgx_IHuhSq3AJ5eI5OnqOPBNLWSHKh2a30DoXe8/edit?usp=sharing"",""พังงา!J164"")"),0.0)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IFERROR(__xludf.DUMMYFUNCTION("IMPORTRANGE(""https://docs.google.com/spreadsheets/d/1IYY_tgx_IHuhSq3AJ5eI5OnqOPBNLWSHKh2a30DoXe8/edit?usp=sharing"",""พังงา!J165"")"),0.0)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IFERROR(__xludf.DUMMYFUNCTION("IMPORTRANGE(""https://docs.google.com/spreadsheets/d/1IYY_tgx_IHuhSq3AJ5eI5OnqOPBNLWSHKh2a30DoXe8/edit?usp=sharing"",""พังงา!J166"")"),0.0)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IFERROR(__xludf.DUMMYFUNCTION("IMPORTRANGE(""https://docs.google.com/spreadsheets/d/1IYY_tgx_IHuhSq3AJ5eI5OnqOPBNLWSHKh2a30DoXe8/edit?usp=sharing"",""พังงา!I169"")"),0.0)</f>
        <v>0</v>
      </c>
      <c r="J249" s="349">
        <f>IFERROR(__xludf.DUMMYFUNCTION("IMPORTRANGE(""https://docs.google.com/spreadsheets/d/1IYY_tgx_IHuhSq3AJ5eI5OnqOPBNLWSHKh2a30DoXe8/edit?usp=sharing"",""พังงา!J169"")"),0.0)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IFERROR(__xludf.DUMMYFUNCTION("IMPORTRANGE(""https://docs.google.com/spreadsheets/d/1Yj_ptqi66GCucihVvJfMjLAmec39IyEx_6qawtMGysU/edit?usp=sharing"",""สบก!CB87"")"),0.0)</f>
        <v>0</v>
      </c>
      <c r="N254" s="202">
        <f>IFERROR(__xludf.DUMMYFUNCTION("IMPORTRANGE(""https://docs.google.com/spreadsheets/d/1Yj_ptqi66GCucihVvJfMjLAmec39IyEx_6qawtMGysU/edit?usp=sharing"",""สบก!CC87"")"),0.0)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IFERROR(__xludf.DUMMYFUNCTION("IMPORTRANGE(""https://docs.google.com/spreadsheets/d/1Yj_ptqi66GCucihVvJfMjLAmec39IyEx_6qawtMGysU/edit?usp=sharing"",""สบก!BX87"")"),0.0)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IFERROR(__xludf.DUMMYFUNCTION("IMPORTRANGE(""https://docs.google.com/spreadsheets/d/1Yj_ptqi66GCucihVvJfMjLAmec39IyEx_6qawtMGysU/edit?usp=sharing"",""สบก!BY87"")"),0.0)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IFERROR(__xludf.DUMMYFUNCTION("IMPORTRANGE(""https://docs.google.com/spreadsheets/d/1Yj_ptqi66GCucihVvJfMjLAmec39IyEx_6qawtMGysU/edit?usp=sharing"",""สบก!BZ87"")"),0.0)</f>
        <v>0</v>
      </c>
      <c r="M258" s="125"/>
      <c r="N258" s="115">
        <f>IFERROR(__xludf.DUMMYFUNCTION("IMPORTRANGE(""https://docs.google.com/spreadsheets/d/1Yj_ptqi66GCucihVvJfMjLAmec39IyEx_6qawtMGysU/edit?usp=sharing"",""สบก!CD87"")"),0.0)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IFERROR(__xludf.DUMMYFUNCTION("IMPORTRANGE(""https://docs.google.com/spreadsheets/d/1IYY_tgx_IHuhSq3AJ5eI5OnqOPBNLWSHKh2a30DoXe8/edit?usp=sharing"",""พังงา!J175"")"),0.0)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IFERROR(__xludf.DUMMYFUNCTION("IMPORTRANGE(""https://docs.google.com/spreadsheets/d/1IYY_tgx_IHuhSq3AJ5eI5OnqOPBNLWSHKh2a30DoXe8/edit?usp=sharing"",""พังงา!J176"")"),0.0)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IFERROR(__xludf.DUMMYFUNCTION("IMPORTRANGE(""https://docs.google.com/spreadsheets/d/1IYY_tgx_IHuhSq3AJ5eI5OnqOPBNLWSHKh2a30DoXe8/edit?usp=sharing"",""พังงา!J177"")"),0.0)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IFERROR(__xludf.DUMMYFUNCTION("IMPORTRANGE(""https://docs.google.com/spreadsheets/d/1IYY_tgx_IHuhSq3AJ5eI5OnqOPBNLWSHKh2a30DoXe8/edit?usp=sharing"",""พังงา!J178"")"),0.0)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IFERROR(__xludf.DUMMYFUNCTION("IMPORTRANGE(""https://docs.google.com/spreadsheets/d/1IYY_tgx_IHuhSq3AJ5eI5OnqOPBNLWSHKh2a30DoXe8/edit?usp=sharing"",""พังงา!I179"")"),0.0)</f>
        <v>0</v>
      </c>
      <c r="J264" s="223">
        <f>IFERROR(__xludf.DUMMYFUNCTION("IMPORTRANGE(""https://docs.google.com/spreadsheets/d/1IYY_tgx_IHuhSq3AJ5eI5OnqOPBNLWSHKh2a30DoXe8/edit?usp=sharing"",""พังงา!J179"")"),0.0)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IFERROR(__xludf.DUMMYFUNCTION("IMPORTRANGE(""https://docs.google.com/spreadsheets/d/1IYY_tgx_IHuhSq3AJ5eI5OnqOPBNLWSHKh2a30DoXe8/edit?usp=sharing"",""พังงา!I180"")"),0.0)</f>
        <v>0</v>
      </c>
      <c r="J265" s="223">
        <f>IFERROR(__xludf.DUMMYFUNCTION("IMPORTRANGE(""https://docs.google.com/spreadsheets/d/1IYY_tgx_IHuhSq3AJ5eI5OnqOPBNLWSHKh2a30DoXe8/edit?usp=sharing"",""พังงา!J180"")"),0.0)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IFERROR(__xludf.DUMMYFUNCTION("IMPORTRANGE(""https://docs.google.com/spreadsheets/d/1IYY_tgx_IHuhSq3AJ5eI5OnqOPBNLWSHKh2a30DoXe8/edit?usp=sharing"",""พังงา!I181"")"),0.0)</f>
        <v>0</v>
      </c>
      <c r="J266" s="223">
        <f>IFERROR(__xludf.DUMMYFUNCTION("IMPORTRANGE(""https://docs.google.com/spreadsheets/d/1IYY_tgx_IHuhSq3AJ5eI5OnqOPBNLWSHKh2a30DoXe8/edit?usp=sharing"",""พังงา!J181"")"),0.0)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IFERROR(__xludf.DUMMYFUNCTION("IMPORTRANGE(""https://docs.google.com/spreadsheets/d/1IYY_tgx_IHuhSq3AJ5eI5OnqOPBNLWSHKh2a30DoXe8/edit?usp=sharing"",""พังงา!I182"")"),0.0)</f>
        <v>0</v>
      </c>
      <c r="J267" s="223">
        <f>IFERROR(__xludf.DUMMYFUNCTION("IMPORTRANGE(""https://docs.google.com/spreadsheets/d/1IYY_tgx_IHuhSq3AJ5eI5OnqOPBNLWSHKh2a30DoXe8/edit?usp=sharing"",""พังงา!J182"")"),0.0)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IFERROR(__xludf.DUMMYFUNCTION("IMPORTRANGE(""https://docs.google.com/spreadsheets/d/1IYY_tgx_IHuhSq3AJ5eI5OnqOPBNLWSHKh2a30DoXe8/edit?usp=sharing"",""พังงา!J183"")"),0.0)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IFERROR(__xludf.DUMMYFUNCTION("IMPORTRANGE(""https://docs.google.com/spreadsheets/d/1IYY_tgx_IHuhSq3AJ5eI5OnqOPBNLWSHKh2a30DoXe8/edit?usp=sharing"",""พังงา!J184"")"),0.0)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IFERROR(__xludf.DUMMYFUNCTION("IMPORTRANGE(""https://docs.google.com/spreadsheets/d/1IYY_tgx_IHuhSq3AJ5eI5OnqOPBNLWSHKh2a30DoXe8/edit?usp=sharing"",""พังงา!I185"")"),15.0)</f>
        <v>15</v>
      </c>
      <c r="J270" s="349">
        <f>IFERROR(__xludf.DUMMYFUNCTION("IMPORTRANGE(""https://docs.google.com/spreadsheets/d/1IYY_tgx_IHuhSq3AJ5eI5OnqOPBNLWSHKh2a30DoXe8/edit?usp=sharing"",""พังงา!J185"")"),0.0)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187200</v>
      </c>
      <c r="M271" s="183">
        <f t="shared" si="84"/>
        <v>98250</v>
      </c>
      <c r="N271" s="183">
        <f t="shared" si="84"/>
        <v>480</v>
      </c>
      <c r="O271" s="182">
        <f t="shared" ref="O271:O273" si="86">IF(L271&gt;0,N271*100/L271,0)</f>
        <v>0.2564102564</v>
      </c>
      <c r="P271" s="182">
        <f t="shared" ref="P271:P273" si="87">IF(M271&gt;0,N271*100/M271,0)</f>
        <v>0.4885496183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187200</v>
      </c>
      <c r="M273" s="188">
        <f t="shared" si="88"/>
        <v>98250</v>
      </c>
      <c r="N273" s="188">
        <f t="shared" si="88"/>
        <v>480</v>
      </c>
      <c r="O273" s="187">
        <f t="shared" si="86"/>
        <v>0.2564102564</v>
      </c>
      <c r="P273" s="187">
        <f t="shared" si="87"/>
        <v>0.4885496183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187200</v>
      </c>
      <c r="M275" s="201">
        <f>IFERROR(__xludf.DUMMYFUNCTION("IMPORTRANGE(""https://docs.google.com/spreadsheets/d/1Yj_ptqi66GCucihVvJfMjLAmec39IyEx_6qawtMGysU/edit?usp=sharing"",""สบก!CK87"")"),98250.0)</f>
        <v>98250</v>
      </c>
      <c r="N275" s="202">
        <f>IFERROR(__xludf.DUMMYFUNCTION("IMPORTRANGE(""https://docs.google.com/spreadsheets/d/1Yj_ptqi66GCucihVvJfMjLAmec39IyEx_6qawtMGysU/edit?usp=sharing"",""สบก!CL87"")"),480.0)</f>
        <v>480</v>
      </c>
      <c r="O275" s="203">
        <f>IF(L275&gt;0,N275*100/L275,0)</f>
        <v>0.2564102564</v>
      </c>
      <c r="P275" s="203">
        <f>IF(M275&gt;0,N275*100/M275,0)</f>
        <v>0.4885496183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IFERROR(__xludf.DUMMYFUNCTION("IMPORTRANGE(""https://docs.google.com/spreadsheets/d/1Yj_ptqi66GCucihVvJfMjLAmec39IyEx_6qawtMGysU/edit?usp=sharing"",""สบก!CG87"")"),132000.0)</f>
        <v>132000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IFERROR(__xludf.DUMMYFUNCTION("IMPORTRANGE(""https://docs.google.com/spreadsheets/d/1Yj_ptqi66GCucihVvJfMjLAmec39IyEx_6qawtMGysU/edit?usp=sharing"",""สบก!CH87"")"),55200.0)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IFERROR(__xludf.DUMMYFUNCTION("IMPORTRANGE(""https://docs.google.com/spreadsheets/d/1Yj_ptqi66GCucihVvJfMjLAmec39IyEx_6qawtMGysU/edit?usp=sharing"",""สบก!CI87"")"),0.0)</f>
        <v>0</v>
      </c>
      <c r="M279" s="125"/>
      <c r="N279" s="115">
        <f>IFERROR(__xludf.DUMMYFUNCTION("IMPORTRANGE(""https://docs.google.com/spreadsheets/d/1Yj_ptqi66GCucihVvJfMjLAmec39IyEx_6qawtMGysU/edit?usp=sharing"",""สบก!CM87"")"),0.0)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IFERROR(__xludf.DUMMYFUNCTION("IMPORTRANGE(""https://docs.google.com/spreadsheets/d/1IYY_tgx_IHuhSq3AJ5eI5OnqOPBNLWSHKh2a30DoXe8/edit?usp=sharing"",""พังงา!J191"")"),0.0)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IFERROR(__xludf.DUMMYFUNCTION("IMPORTRANGE(""https://docs.google.com/spreadsheets/d/1IYY_tgx_IHuhSq3AJ5eI5OnqOPBNLWSHKh2a30DoXe8/edit?usp=sharing"",""พังงา!J192"")"),1.0)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IFERROR(__xludf.DUMMYFUNCTION("IMPORTRANGE(""https://docs.google.com/spreadsheets/d/1IYY_tgx_IHuhSq3AJ5eI5OnqOPBNLWSHKh2a30DoXe8/edit?usp=sharing"",""พังงา!J193"")"),1.0)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IFERROR(__xludf.DUMMYFUNCTION("IMPORTRANGE(""https://docs.google.com/spreadsheets/d/1IYY_tgx_IHuhSq3AJ5eI5OnqOPBNLWSHKh2a30DoXe8/edit?usp=sharing"",""พังงา!J194"")"),1.0)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IFERROR(__xludf.DUMMYFUNCTION("IMPORTRANGE(""https://docs.google.com/spreadsheets/d/1IYY_tgx_IHuhSq3AJ5eI5OnqOPBNLWSHKh2a30DoXe8/edit?usp=sharing"",""พังงา!I195"")"),15.0)</f>
        <v>15</v>
      </c>
      <c r="J285" s="223">
        <f>IFERROR(__xludf.DUMMYFUNCTION("IMPORTRANGE(""https://docs.google.com/spreadsheets/d/1IYY_tgx_IHuhSq3AJ5eI5OnqOPBNLWSHKh2a30DoXe8/edit?usp=sharing"",""พังงา!J195"")"),0.0)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IFERROR(__xludf.DUMMYFUNCTION("IMPORTRANGE(""https://docs.google.com/spreadsheets/d/1IYY_tgx_IHuhSq3AJ5eI5OnqOPBNLWSHKh2a30DoXe8/edit?usp=sharing"",""พังงา!J196"")"),0.0)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IFERROR(__xludf.DUMMYFUNCTION("IMPORTRANGE(""https://docs.google.com/spreadsheets/d/1IYY_tgx_IHuhSq3AJ5eI5OnqOPBNLWSHKh2a30DoXe8/edit?usp=sharing"",""พังงา!J197"")"),0.0)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IFERROR(__xludf.DUMMYFUNCTION("IMPORTRANGE(""https://docs.google.com/spreadsheets/d/1IYY_tgx_IHuhSq3AJ5eI5OnqOPBNLWSHKh2a30DoXe8/edit?usp=sharing"",""พังงา!I199"")"),0.0)</f>
        <v>0</v>
      </c>
      <c r="J289" s="349">
        <f>IFERROR(__xludf.DUMMYFUNCTION("IMPORTRANGE(""https://docs.google.com/spreadsheets/d/1IYY_tgx_IHuhSq3AJ5eI5OnqOPBNLWSHKh2a30DoXe8/edit?usp=sharing"",""พังงา!J199"")"),0.0)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IFERROR(__xludf.DUMMYFUNCTION("IMPORTRANGE(""https://docs.google.com/spreadsheets/d/1Yj_ptqi66GCucihVvJfMjLAmec39IyEx_6qawtMGysU/edit?usp=sharing"",""สบก!CT87"")"),0.0)</f>
        <v>0</v>
      </c>
      <c r="N294" s="202">
        <f>IFERROR(__xludf.DUMMYFUNCTION("IMPORTRANGE(""https://docs.google.com/spreadsheets/d/1Yj_ptqi66GCucihVvJfMjLAmec39IyEx_6qawtMGysU/edit?usp=sharing"",""สบก!CU87"")"),0.0)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IFERROR(__xludf.DUMMYFUNCTION("IMPORTRANGE(""https://docs.google.com/spreadsheets/d/1Yj_ptqi66GCucihVvJfMjLAmec39IyEx_6qawtMGysU/edit?usp=sharing"",""สบก!CP87"")"),0.0)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IFERROR(__xludf.DUMMYFUNCTION("IMPORTRANGE(""https://docs.google.com/spreadsheets/d/1Yj_ptqi66GCucihVvJfMjLAmec39IyEx_6qawtMGysU/edit?usp=sharing"",""สบก!CQ87"")"),0.0)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IFERROR(__xludf.DUMMYFUNCTION("IMPORTRANGE(""https://docs.google.com/spreadsheets/d/1Yj_ptqi66GCucihVvJfMjLAmec39IyEx_6qawtMGysU/edit?usp=sharing"",""สบก!CR87"")"),0.0)</f>
        <v>0</v>
      </c>
      <c r="M298" s="125"/>
      <c r="N298" s="115">
        <f>IFERROR(__xludf.DUMMYFUNCTION("IMPORTRANGE(""https://docs.google.com/spreadsheets/d/1Yj_ptqi66GCucihVvJfMjLAmec39IyEx_6qawtMGysU/edit?usp=sharing"",""สบก!CV87"")"),0.0)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IFERROR(__xludf.DUMMYFUNCTION("IMPORTRANGE(""https://docs.google.com/spreadsheets/d/1IYY_tgx_IHuhSq3AJ5eI5OnqOPBNLWSHKh2a30DoXe8/edit?usp=sharing"",""พังงา!J205"")"),0.0)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IFERROR(__xludf.DUMMYFUNCTION("IMPORTRANGE(""https://docs.google.com/spreadsheets/d/1IYY_tgx_IHuhSq3AJ5eI5OnqOPBNLWSHKh2a30DoXe8/edit?usp=sharing"",""พังงา!J206"")"),0.0)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IFERROR(__xludf.DUMMYFUNCTION("IMPORTRANGE(""https://docs.google.com/spreadsheets/d/1IYY_tgx_IHuhSq3AJ5eI5OnqOPBNLWSHKh2a30DoXe8/edit?usp=sharing"",""พังงา!J207"")"),0.0)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IFERROR(__xludf.DUMMYFUNCTION("IMPORTRANGE(""https://docs.google.com/spreadsheets/d/1IYY_tgx_IHuhSq3AJ5eI5OnqOPBNLWSHKh2a30DoXe8/edit?usp=sharing"",""พังงา!J208"")"),0.0)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IFERROR(__xludf.DUMMYFUNCTION("IMPORTRANGE(""https://docs.google.com/spreadsheets/d/1IYY_tgx_IHuhSq3AJ5eI5OnqOPBNLWSHKh2a30DoXe8/edit?usp=sharing"",""พังงา!I209"")"),0.0)</f>
        <v>0</v>
      </c>
      <c r="J304" s="238">
        <f>IFERROR(__xludf.DUMMYFUNCTION("IMPORTRANGE(""https://docs.google.com/spreadsheets/d/1IYY_tgx_IHuhSq3AJ5eI5OnqOPBNLWSHKh2a30DoXe8/edit?usp=sharing"",""พังงา!J209"")"),0.0)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IFERROR(__xludf.DUMMYFUNCTION("IMPORTRANGE(""https://docs.google.com/spreadsheets/d/1IYY_tgx_IHuhSq3AJ5eI5OnqOPBNLWSHKh2a30DoXe8/edit?usp=sharing"",""พังงา!I211"")"),0.0)</f>
        <v>0</v>
      </c>
      <c r="J306" s="238">
        <f>IFERROR(__xludf.DUMMYFUNCTION("IMPORTRANGE(""https://docs.google.com/spreadsheets/d/1IYY_tgx_IHuhSq3AJ5eI5OnqOPBNLWSHKh2a30DoXe8/edit?usp=sharing"",""พังงา!J211"")"),0.0)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IFERROR(__xludf.DUMMYFUNCTION("IMPORTRANGE(""https://docs.google.com/spreadsheets/d/1IYY_tgx_IHuhSq3AJ5eI5OnqOPBNLWSHKh2a30DoXe8/edit?usp=sharing"",""พังงา!J212"")"),0.0)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IFERROR(__xludf.DUMMYFUNCTION("IMPORTRANGE(""https://docs.google.com/spreadsheets/d/1IYY_tgx_IHuhSq3AJ5eI5OnqOPBNLWSHKh2a30DoXe8/edit?usp=sharing"",""พังงา!J213"")"),0.0)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IFERROR(__xludf.DUMMYFUNCTION("IMPORTRANGE(""https://docs.google.com/spreadsheets/d/1IYY_tgx_IHuhSq3AJ5eI5OnqOPBNLWSHKh2a30DoXe8/edit?usp=sharing"",""พังงา!I214"")"),0.0)</f>
        <v>0</v>
      </c>
      <c r="J309" s="366">
        <f>IFERROR(__xludf.DUMMYFUNCTION("IMPORTRANGE(""https://docs.google.com/spreadsheets/d/1IYY_tgx_IHuhSq3AJ5eI5OnqOPBNLWSHKh2a30DoXe8/edit?usp=sharing"",""พังงา!J214"")"),0.0)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IFERROR(__xludf.DUMMYFUNCTION("IMPORTRANGE(""https://docs.google.com/spreadsheets/d/1Yj_ptqi66GCucihVvJfMjLAmec39IyEx_6qawtMGysU/edit?usp=sharing"",""สบก!DC87"")"),0.0)</f>
        <v>0</v>
      </c>
      <c r="N314" s="202">
        <f>IFERROR(__xludf.DUMMYFUNCTION("IMPORTRANGE(""https://docs.google.com/spreadsheets/d/1Yj_ptqi66GCucihVvJfMjLAmec39IyEx_6qawtMGysU/edit?usp=sharing"",""สบก!DD87"")"),0.0)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IFERROR(__xludf.DUMMYFUNCTION("IMPORTRANGE(""https://docs.google.com/spreadsheets/d/1Yj_ptqi66GCucihVvJfMjLAmec39IyEx_6qawtMGysU/edit?usp=sharing"",""สบก!CY87"")"),0.0)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IFERROR(__xludf.DUMMYFUNCTION("IMPORTRANGE(""https://docs.google.com/spreadsheets/d/1Yj_ptqi66GCucihVvJfMjLAmec39IyEx_6qawtMGysU/edit?usp=sharing"",""สบก!CZ87"")"),0.0)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IFERROR(__xludf.DUMMYFUNCTION("IMPORTRANGE(""https://docs.google.com/spreadsheets/d/1Yj_ptqi66GCucihVvJfMjLAmec39IyEx_6qawtMGysU/edit?usp=sharing"",""สบก!DA87"")"),0.0)</f>
        <v>0</v>
      </c>
      <c r="M318" s="125"/>
      <c r="N318" s="115">
        <f>IFERROR(__xludf.DUMMYFUNCTION("IMPORTRANGE(""https://docs.google.com/spreadsheets/d/1Yj_ptqi66GCucihVvJfMjLAmec39IyEx_6qawtMGysU/edit?usp=sharing"",""สบก!DE87"")"),0.0)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IFERROR(__xludf.DUMMYFUNCTION("IMPORTRANGE(""https://docs.google.com/spreadsheets/d/1IYY_tgx_IHuhSq3AJ5eI5OnqOPBNLWSHKh2a30DoXe8/edit?usp=sharing"",""พังงา!J220"")"),0.0)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IFERROR(__xludf.DUMMYFUNCTION("IMPORTRANGE(""https://docs.google.com/spreadsheets/d/1IYY_tgx_IHuhSq3AJ5eI5OnqOPBNLWSHKh2a30DoXe8/edit?usp=sharing"",""พังงา!J221"")"),0.0)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IFERROR(__xludf.DUMMYFUNCTION("IMPORTRANGE(""https://docs.google.com/spreadsheets/d/1IYY_tgx_IHuhSq3AJ5eI5OnqOPBNLWSHKh2a30DoXe8/edit?usp=sharing"",""พังงา!J222"")"),0.0)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IFERROR(__xludf.DUMMYFUNCTION("IMPORTRANGE(""https://docs.google.com/spreadsheets/d/1IYY_tgx_IHuhSq3AJ5eI5OnqOPBNLWSHKh2a30DoXe8/edit?usp=sharing"",""พังงา!J223"")"),0.0)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IFERROR(__xludf.DUMMYFUNCTION("IMPORTRANGE(""https://docs.google.com/spreadsheets/d/1IYY_tgx_IHuhSq3AJ5eI5OnqOPBNLWSHKh2a30DoXe8/edit?usp=sharing"",""พังงา!I224"")"),0.0)</f>
        <v>0</v>
      </c>
      <c r="J324" s="238">
        <f>IFERROR(__xludf.DUMMYFUNCTION("IMPORTRANGE(""https://docs.google.com/spreadsheets/d/1IYY_tgx_IHuhSq3AJ5eI5OnqOPBNLWSHKh2a30DoXe8/edit?usp=sharing"",""พังงา!J224"")"),0.0)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IFERROR(__xludf.DUMMYFUNCTION("IMPORTRANGE(""https://docs.google.com/spreadsheets/d/1IYY_tgx_IHuhSq3AJ5eI5OnqOPBNLWSHKh2a30DoXe8/edit?usp=sharing"",""พังงา!J225"")"),0.0)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IFERROR(__xludf.DUMMYFUNCTION("IMPORTRANGE(""https://docs.google.com/spreadsheets/d/1IYY_tgx_IHuhSq3AJ5eI5OnqOPBNLWSHKh2a30DoXe8/edit?usp=sharing"",""พังงา!J226"")"),0.0)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IFERROR(__xludf.DUMMYFUNCTION("IMPORTRANGE(""https://docs.google.com/spreadsheets/d/1IYY_tgx_IHuhSq3AJ5eI5OnqOPBNLWSHKh2a30DoXe8/edit?usp=sharing"",""พังงา!I228"")"),110.0)</f>
        <v>110</v>
      </c>
      <c r="J328" s="372">
        <f>IFERROR(__xludf.DUMMYFUNCTION("IMPORTRANGE(""https://docs.google.com/spreadsheets/d/1IYY_tgx_IHuhSq3AJ5eI5OnqOPBNLWSHKh2a30DoXe8/edit?usp=sharing"",""พังงา!J228"")"),6.0)</f>
        <v>6</v>
      </c>
      <c r="K328" s="350">
        <f>IF(I328&gt;0,J328*100/I328,0)</f>
        <v>5.454545455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917210</v>
      </c>
      <c r="M329" s="183">
        <f t="shared" si="99"/>
        <v>383020</v>
      </c>
      <c r="N329" s="183">
        <f t="shared" si="99"/>
        <v>306609</v>
      </c>
      <c r="O329" s="182">
        <f t="shared" ref="O329:O331" si="101">IF(L329&gt;0,N329*100/L329,0)</f>
        <v>33.4284406</v>
      </c>
      <c r="P329" s="182">
        <f t="shared" ref="P329:P331" si="102">IF(M329&gt;0,N329*100/M329,0)</f>
        <v>80.05038901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917210</v>
      </c>
      <c r="M331" s="188">
        <f t="shared" si="103"/>
        <v>383020</v>
      </c>
      <c r="N331" s="188">
        <f t="shared" si="103"/>
        <v>306609</v>
      </c>
      <c r="O331" s="187">
        <f t="shared" si="101"/>
        <v>33.4284406</v>
      </c>
      <c r="P331" s="187">
        <f t="shared" si="102"/>
        <v>80.05038901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743010</v>
      </c>
      <c r="M333" s="201">
        <f>IFERROR(__xludf.DUMMYFUNCTION("IMPORTRANGE(""https://docs.google.com/spreadsheets/d/1Yj_ptqi66GCucihVvJfMjLAmec39IyEx_6qawtMGysU/edit?usp=sharing"",""สบก!DL87"")"),383020.0)</f>
        <v>383020</v>
      </c>
      <c r="N333" s="202">
        <f>IFERROR(__xludf.DUMMYFUNCTION("IMPORTRANGE(""https://docs.google.com/spreadsheets/d/1Yj_ptqi66GCucihVvJfMjLAmec39IyEx_6qawtMGysU/edit?usp=sharing"",""สบก!DM87"")"),132409.0)</f>
        <v>132409</v>
      </c>
      <c r="O333" s="203">
        <f>IF(L333&gt;0,N333*100/L333,0)</f>
        <v>17.82062153</v>
      </c>
      <c r="P333" s="203">
        <f>IF(M333&gt;0,N333*100/M333,0)</f>
        <v>34.56973526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IFERROR(__xludf.DUMMYFUNCTION("IMPORTRANGE(""https://docs.google.com/spreadsheets/d/1Yj_ptqi66GCucihVvJfMjLAmec39IyEx_6qawtMGysU/edit?usp=sharing"",""สบก!DH87"")"),492000.0)</f>
        <v>492000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IFERROR(__xludf.DUMMYFUNCTION("IMPORTRANGE(""https://docs.google.com/spreadsheets/d/1Yj_ptqi66GCucihVvJfMjLAmec39IyEx_6qawtMGysU/edit?usp=sharing"",""สบก!DI87"")"),251010.0)</f>
        <v>251010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IFERROR(__xludf.DUMMYFUNCTION("IMPORTRANGE(""https://docs.google.com/spreadsheets/d/1Yj_ptqi66GCucihVvJfMjLAmec39IyEx_6qawtMGysU/edit?usp=sharing"",""สบก!DJ87"")"),174200.0)</f>
        <v>174200</v>
      </c>
      <c r="M337" s="125"/>
      <c r="N337" s="115">
        <f>IFERROR(__xludf.DUMMYFUNCTION("IMPORTRANGE(""https://docs.google.com/spreadsheets/d/1Yj_ptqi66GCucihVvJfMjLAmec39IyEx_6qawtMGysU/edit?usp=sharing"",""สบก!DN87"")"),174200.0)</f>
        <v>174200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IFERROR(__xludf.DUMMYFUNCTION("IMPORTRANGE(""https://docs.google.com/spreadsheets/d/1IYY_tgx_IHuhSq3AJ5eI5OnqOPBNLWSHKh2a30DoXe8/edit?usp=sharing"",""พังงา!I234"")"),0.0)</f>
        <v>0</v>
      </c>
      <c r="J339" s="222">
        <f>IFERROR(__xludf.DUMMYFUNCTION("IMPORTRANGE(""https://docs.google.com/spreadsheets/d/1IYY_tgx_IHuhSq3AJ5eI5OnqOPBNLWSHKh2a30DoXe8/edit?usp=sharing"",""พังงา!J234"")"),25.0)</f>
        <v>25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IFERROR(__xludf.DUMMYFUNCTION("IMPORTRANGE(""https://docs.google.com/spreadsheets/d/1IYY_tgx_IHuhSq3AJ5eI5OnqOPBNLWSHKh2a30DoXe8/edit?usp=sharing"",""พังงา!I235"")"),665.0)</f>
        <v>665</v>
      </c>
      <c r="J340" s="222">
        <f>IFERROR(__xludf.DUMMYFUNCTION("IMPORTRANGE(""https://docs.google.com/spreadsheets/d/1IYY_tgx_IHuhSq3AJ5eI5OnqOPBNLWSHKh2a30DoXe8/edit?usp=sharing"",""พังงา!J235"")"),191.25)</f>
        <v>191.25</v>
      </c>
      <c r="K340" s="375">
        <f t="shared" si="104"/>
        <v>28.7593985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IFERROR(__xludf.DUMMYFUNCTION("IMPORTRANGE(""https://docs.google.com/spreadsheets/d/1IYY_tgx_IHuhSq3AJ5eI5OnqOPBNLWSHKh2a30DoXe8/edit?usp=sharing"",""พังงา!I236"")"),110.0)</f>
        <v>110</v>
      </c>
      <c r="J341" s="222">
        <f>IFERROR(__xludf.DUMMYFUNCTION("IMPORTRANGE(""https://docs.google.com/spreadsheets/d/1IYY_tgx_IHuhSq3AJ5eI5OnqOPBNLWSHKh2a30DoXe8/edit?usp=sharing"",""พังงา!J236"")"),30.0)</f>
        <v>30</v>
      </c>
      <c r="K341" s="375">
        <f t="shared" si="104"/>
        <v>27.27272727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IFERROR(__xludf.DUMMYFUNCTION("IMPORTRANGE(""https://docs.google.com/spreadsheets/d/1IYY_tgx_IHuhSq3AJ5eI5OnqOPBNLWSHKh2a30DoXe8/edit?usp=sharing"",""พังงา!I237"")"),0.0)</f>
        <v>0</v>
      </c>
      <c r="J342" s="222">
        <f>IFERROR(__xludf.DUMMYFUNCTION("IMPORTRANGE(""https://docs.google.com/spreadsheets/d/1IYY_tgx_IHuhSq3AJ5eI5OnqOPBNLWSHKh2a30DoXe8/edit?usp=sharing"",""พังงา!J237"")"),249.87)</f>
        <v>249.87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IFERROR(__xludf.DUMMYFUNCTION("IMPORTRANGE(""https://docs.google.com/spreadsheets/d/1IYY_tgx_IHuhSq3AJ5eI5OnqOPBNLWSHKh2a30DoXe8/edit?usp=sharing"",""พังงา!I238"")"),110.0)</f>
        <v>110</v>
      </c>
      <c r="J343" s="222">
        <f>IFERROR(__xludf.DUMMYFUNCTION("IMPORTRANGE(""https://docs.google.com/spreadsheets/d/1IYY_tgx_IHuhSq3AJ5eI5OnqOPBNLWSHKh2a30DoXe8/edit?usp=sharing"",""พังงา!J238"")"),0.0)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IFERROR(__xludf.DUMMYFUNCTION("IMPORTRANGE(""https://docs.google.com/spreadsheets/d/1IYY_tgx_IHuhSq3AJ5eI5OnqOPBNLWSHKh2a30DoXe8/edit?usp=sharing"",""พังงา!I239"")"),0.0)</f>
        <v>0</v>
      </c>
      <c r="J344" s="222">
        <f>IFERROR(__xludf.DUMMYFUNCTION("IMPORTRANGE(""https://docs.google.com/spreadsheets/d/1IYY_tgx_IHuhSq3AJ5eI5OnqOPBNLWSHKh2a30DoXe8/edit?usp=sharing"",""พังงา!J239"")"),0.0)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IFERROR(__xludf.DUMMYFUNCTION("IMPORTRANGE(""https://docs.google.com/spreadsheets/d/1IYY_tgx_IHuhSq3AJ5eI5OnqOPBNLWSHKh2a30DoXe8/edit?usp=sharing"",""พังงา!I240"")"),110.0)</f>
        <v>110</v>
      </c>
      <c r="J345" s="222">
        <f>IFERROR(__xludf.DUMMYFUNCTION("IMPORTRANGE(""https://docs.google.com/spreadsheets/d/1IYY_tgx_IHuhSq3AJ5eI5OnqOPBNLWSHKh2a30DoXe8/edit?usp=sharing"",""พังงา!J240"")"),6.0)</f>
        <v>6</v>
      </c>
      <c r="K345" s="375">
        <f t="shared" si="104"/>
        <v>5.454545455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IFERROR(__xludf.DUMMYFUNCTION("IMPORTRANGE(""https://docs.google.com/spreadsheets/d/1IYY_tgx_IHuhSq3AJ5eI5OnqOPBNLWSHKh2a30DoXe8/edit?usp=sharing"",""พังงา!I241"")"),0.0)</f>
        <v>0</v>
      </c>
      <c r="J346" s="222">
        <f>IFERROR(__xludf.DUMMYFUNCTION("IMPORTRANGE(""https://docs.google.com/spreadsheets/d/1IYY_tgx_IHuhSq3AJ5eI5OnqOPBNLWSHKh2a30DoXe8/edit?usp=sharing"",""พังงา!J241"")"),64.89)</f>
        <v>64.89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IFERROR(__xludf.DUMMYFUNCTION("IMPORTRANGE(""https://docs.google.com/spreadsheets/d/1IYY_tgx_IHuhSq3AJ5eI5OnqOPBNLWSHKh2a30DoXe8/edit?usp=sharing"",""พังงา!L242"")"),1063772.0)</f>
        <v>1063772</v>
      </c>
      <c r="M347" s="391"/>
      <c r="N347" s="391">
        <f>IFERROR(__xludf.DUMMYFUNCTION("IMPORTRANGE(""https://docs.google.com/spreadsheets/d/1IYY_tgx_IHuhSq3AJ5eI5OnqOPBNLWSHKh2a30DoXe8/edit?usp=sharing"",""พังงา!M242"")"),104840.0)</f>
        <v>104840</v>
      </c>
      <c r="O347" s="391">
        <f>+IF(L347&gt;0,N347*100/L347,0)</f>
        <v>9.855495351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IFERROR(__xludf.DUMMYFUNCTION("IMPORTRANGE(""https://docs.google.com/spreadsheets/d/1IYY_tgx_IHuhSq3AJ5eI5OnqOPBNLWSHKh2a30DoXe8/edit?usp=sharing"",""พังงา!I244"")"),30.0)</f>
        <v>30</v>
      </c>
      <c r="J349" s="404">
        <f>IFERROR(__xludf.DUMMYFUNCTION("IMPORTRANGE(""https://docs.google.com/spreadsheets/d/1IYY_tgx_IHuhSq3AJ5eI5OnqOPBNLWSHKh2a30DoXe8/edit?usp=sharing"",""พังงา!J244"")"),0.0)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IFERROR(__xludf.DUMMYFUNCTION("IMPORTRANGE(""https://docs.google.com/spreadsheets/d/1IYY_tgx_IHuhSq3AJ5eI5OnqOPBNLWSHKh2a30DoXe8/edit?usp=sharing"",""พังงา!L244"")"),72420.0)</f>
        <v>72420</v>
      </c>
      <c r="M349" s="406"/>
      <c r="N349" s="406">
        <f>IFERROR(__xludf.DUMMYFUNCTION("IMPORTRANGE(""https://docs.google.com/spreadsheets/d/1IYY_tgx_IHuhSq3AJ5eI5OnqOPBNLWSHKh2a30DoXe8/edit?usp=sharing"",""พังงา!M244"")"),3560.0)</f>
        <v>3560</v>
      </c>
      <c r="O349" s="406">
        <f>+IF(L349&gt;0,N349*100/L349,0)</f>
        <v>4.915769125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IFERROR(__xludf.DUMMYFUNCTION("IMPORTRANGE(""https://docs.google.com/spreadsheets/d/1IYY_tgx_IHuhSq3AJ5eI5OnqOPBNLWSHKh2a30DoXe8/edit?usp=sharing"",""พังงา!I245"")"),15.0)</f>
        <v>15</v>
      </c>
      <c r="J350" s="404">
        <f>IFERROR(__xludf.DUMMYFUNCTION("IMPORTRANGE(""https://docs.google.com/spreadsheets/d/1IYY_tgx_IHuhSq3AJ5eI5OnqOPBNLWSHKh2a30DoXe8/edit?usp=sharing"",""พังงา!J245"")"),0.0)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IFERROR(__xludf.DUMMYFUNCTION("IMPORTRANGE(""https://docs.google.com/spreadsheets/d/1IYY_tgx_IHuhSq3AJ5eI5OnqOPBNLWSHKh2a30DoXe8/edit?usp=sharing"",""พังงา!L246"")"),0.0)</f>
        <v>0</v>
      </c>
      <c r="M351" s="197"/>
      <c r="N351" s="197">
        <f>IFERROR(__xludf.DUMMYFUNCTION("IMPORTRANGE(""https://docs.google.com/spreadsheets/d/1IYY_tgx_IHuhSq3AJ5eI5OnqOPBNLWSHKh2a30DoXe8/edit?usp=sharing"",""พังงา!M246"")"),0.0)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IFERROR(__xludf.DUMMYFUNCTION("IMPORTRANGE(""https://docs.google.com/spreadsheets/d/1IYY_tgx_IHuhSq3AJ5eI5OnqOPBNLWSHKh2a30DoXe8/edit?usp=sharing"",""พังงา!L247"")"),72420.0)</f>
        <v>72420</v>
      </c>
      <c r="M352" s="198"/>
      <c r="N352" s="197">
        <f>IFERROR(__xludf.DUMMYFUNCTION("IMPORTRANGE(""https://docs.google.com/spreadsheets/d/1IYY_tgx_IHuhSq3AJ5eI5OnqOPBNLWSHKh2a30DoXe8/edit?usp=sharing"",""พังงา!M247"")"),3560.0)</f>
        <v>3560</v>
      </c>
      <c r="O352" s="198">
        <f t="shared" si="106"/>
        <v>4.915769125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IFERROR(__xludf.DUMMYFUNCTION("IMPORTRANGE(""https://docs.google.com/spreadsheets/d/1IYY_tgx_IHuhSq3AJ5eI5OnqOPBNLWSHKh2a30DoXe8/edit?usp=sharing"",""พังงา!L248"")"),0.0)</f>
        <v>0</v>
      </c>
      <c r="M353" s="203"/>
      <c r="N353" s="203">
        <f>IFERROR(__xludf.DUMMYFUNCTION("IMPORTRANGE(""https://docs.google.com/spreadsheets/d/1IYY_tgx_IHuhSq3AJ5eI5OnqOPBNLWSHKh2a30DoXe8/edit?usp=sharing"",""พังงา!M248"")"),0.0)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IFERROR(__xludf.DUMMYFUNCTION("IMPORTRANGE(""https://docs.google.com/spreadsheets/d/1IYY_tgx_IHuhSq3AJ5eI5OnqOPBNLWSHKh2a30DoXe8/edit?usp=sharing"",""พังงา!L249"")"),72420.0)</f>
        <v>72420</v>
      </c>
      <c r="M354" s="203"/>
      <c r="N354" s="200">
        <f>IFERROR(__xludf.DUMMYFUNCTION("IMPORTRANGE(""https://docs.google.com/spreadsheets/d/1IYY_tgx_IHuhSq3AJ5eI5OnqOPBNLWSHKh2a30DoXe8/edit?usp=sharing"",""พังงา!M249"")"),3560.0)</f>
        <v>3560</v>
      </c>
      <c r="O354" s="203">
        <f t="shared" si="106"/>
        <v>4.915769125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IFERROR(__xludf.DUMMYFUNCTION("IMPORTRANGE(""https://docs.google.com/spreadsheets/d/1IYY_tgx_IHuhSq3AJ5eI5OnqOPBNLWSHKh2a30DoXe8/edit?usp=sharing"",""พังงา!M250"")"),0.0)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IFERROR(__xludf.DUMMYFUNCTION("IMPORTRANGE(""https://docs.google.com/spreadsheets/d/1IYY_tgx_IHuhSq3AJ5eI5OnqOPBNLWSHKh2a30DoXe8/edit?usp=sharing"",""พังงา!M251"")"),0.0)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IFERROR(__xludf.DUMMYFUNCTION("IMPORTRANGE(""https://docs.google.com/spreadsheets/d/1IYY_tgx_IHuhSq3AJ5eI5OnqOPBNLWSHKh2a30DoXe8/edit?usp=sharing"",""พังงา!M252"")"),0.0)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IFERROR(__xludf.DUMMYFUNCTION("IMPORTRANGE(""https://docs.google.com/spreadsheets/d/1IYY_tgx_IHuhSq3AJ5eI5OnqOPBNLWSHKh2a30DoXe8/edit?usp=sharing"",""พังงา!M253"")"),3560.0)</f>
        <v>3560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IFERROR(__xludf.DUMMYFUNCTION("IMPORTRANGE(""https://docs.google.com/spreadsheets/d/1IYY_tgx_IHuhSq3AJ5eI5OnqOPBNLWSHKh2a30DoXe8/edit?usp=sharing"",""พังงา!J255"")"),0.0)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IFERROR(__xludf.DUMMYFUNCTION("IMPORTRANGE(""https://docs.google.com/spreadsheets/d/1IYY_tgx_IHuhSq3AJ5eI5OnqOPBNLWSHKh2a30DoXe8/edit?usp=sharing"",""พังงา!J256"")"),1.0)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IFERROR(__xludf.DUMMYFUNCTION("IMPORTRANGE(""https://docs.google.com/spreadsheets/d/1IYY_tgx_IHuhSq3AJ5eI5OnqOPBNLWSHKh2a30DoXe8/edit?usp=sharing"",""พังงา!J257"")"),1.0)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IFERROR(__xludf.DUMMYFUNCTION("IMPORTRANGE(""https://docs.google.com/spreadsheets/d/1IYY_tgx_IHuhSq3AJ5eI5OnqOPBNLWSHKh2a30DoXe8/edit?usp=sharing"",""พังงา!J258"")"),1.0)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IFERROR(__xludf.DUMMYFUNCTION("IMPORTRANGE(""https://docs.google.com/spreadsheets/d/1IYY_tgx_IHuhSq3AJ5eI5OnqOPBNLWSHKh2a30DoXe8/edit?usp=sharing"",""พังงา!J166"")"),0.0)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IFERROR(__xludf.DUMMYFUNCTION("IMPORTRANGE(""https://docs.google.com/spreadsheets/d/1IYY_tgx_IHuhSq3AJ5eI5OnqOPBNLWSHKh2a30DoXe8/edit?usp=sharing"",""พังงา!J166"")"),0.0)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IFERROR(__xludf.DUMMYFUNCTION("IMPORTRANGE(""https://docs.google.com/spreadsheets/d/1IYY_tgx_IHuhSq3AJ5eI5OnqOPBNLWSHKh2a30DoXe8/edit?usp=sharing"",""พังงา!J166"")"),0.0)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IFERROR(__xludf.DUMMYFUNCTION("IMPORTRANGE(""https://docs.google.com/spreadsheets/d/1IYY_tgx_IHuhSq3AJ5eI5OnqOPBNLWSHKh2a30DoXe8/edit?usp=sharing"",""พังงา!J166"")"),0.0)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IFERROR(__xludf.DUMMYFUNCTION("IMPORTRANGE(""https://docs.google.com/spreadsheets/d/1IYY_tgx_IHuhSq3AJ5eI5OnqOPBNLWSHKh2a30DoXe8/edit?usp=sharing"",""พังงา!I263"")"),15.0)</f>
        <v>15</v>
      </c>
      <c r="J368" s="222">
        <f>IFERROR(__xludf.DUMMYFUNCTION("IMPORTRANGE(""https://docs.google.com/spreadsheets/d/1IYY_tgx_IHuhSq3AJ5eI5OnqOPBNLWSHKh2a30DoXe8/edit?usp=sharing"",""พังงา!J263"")"),0.0)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IFERROR(__xludf.DUMMYFUNCTION("IMPORTRANGE(""https://docs.google.com/spreadsheets/d/1IYY_tgx_IHuhSq3AJ5eI5OnqOPBNLWSHKh2a30DoXe8/edit?usp=sharing"",""พังงา!I164"")"),0.0)</f>
        <v>0</v>
      </c>
      <c r="J369" s="238">
        <f>IFERROR(__xludf.DUMMYFUNCTION("IMPORTRANGE(""https://docs.google.com/spreadsheets/d/1IYY_tgx_IHuhSq3AJ5eI5OnqOPBNLWSHKh2a30DoXe8/edit?usp=sharing"",""พังงา!J164"")"),0.0)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IFERROR(__xludf.DUMMYFUNCTION("IMPORTRANGE(""https://docs.google.com/spreadsheets/d/1IYY_tgx_IHuhSq3AJ5eI5OnqOPBNLWSHKh2a30DoXe8/edit?usp=sharing"",""พังงา!I265"")"),15.0)</f>
        <v>15</v>
      </c>
      <c r="J370" s="238">
        <f>IFERROR(__xludf.DUMMYFUNCTION("IMPORTRANGE(""https://docs.google.com/spreadsheets/d/1IYY_tgx_IHuhSq3AJ5eI5OnqOPBNLWSHKh2a30DoXe8/edit?usp=sharing"",""พังงา!J265"")"),0.0)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IFERROR(__xludf.DUMMYFUNCTION("IMPORTRANGE(""https://docs.google.com/spreadsheets/d/1IYY_tgx_IHuhSq3AJ5eI5OnqOPBNLWSHKh2a30DoXe8/edit?usp=sharing"",""พังงา!I164"")"),0.0)</f>
        <v>0</v>
      </c>
      <c r="J371" s="223">
        <f>IFERROR(__xludf.DUMMYFUNCTION("IMPORTRANGE(""https://docs.google.com/spreadsheets/d/1IYY_tgx_IHuhSq3AJ5eI5OnqOPBNLWSHKh2a30DoXe8/edit?usp=sharing"",""พังงา!J164"")"),0.0)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IFERROR(__xludf.DUMMYFUNCTION("IMPORTRANGE(""https://docs.google.com/spreadsheets/d/1IYY_tgx_IHuhSq3AJ5eI5OnqOPBNLWSHKh2a30DoXe8/edit?usp=sharing"",""พังงา!I267"")"),15.0)</f>
        <v>15</v>
      </c>
      <c r="J372" s="223">
        <f>IFERROR(__xludf.DUMMYFUNCTION("IMPORTRANGE(""https://docs.google.com/spreadsheets/d/1IYY_tgx_IHuhSq3AJ5eI5OnqOPBNLWSHKh2a30DoXe8/edit?usp=sharing"",""พังงา!J267"")"),0.0)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IFERROR(__xludf.DUMMYFUNCTION("IMPORTRANGE(""https://docs.google.com/spreadsheets/d/1IYY_tgx_IHuhSq3AJ5eI5OnqOPBNLWSHKh2a30DoXe8/edit?usp=sharing"",""พังงา!I164"")"),0.0)</f>
        <v>0</v>
      </c>
      <c r="J373" s="238">
        <f>IFERROR(__xludf.DUMMYFUNCTION("IMPORTRANGE(""https://docs.google.com/spreadsheets/d/1IYY_tgx_IHuhSq3AJ5eI5OnqOPBNLWSHKh2a30DoXe8/edit?usp=sharing"",""พังงา!J164"")"),0.0)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IFERROR(__xludf.DUMMYFUNCTION("IMPORTRANGE(""https://docs.google.com/spreadsheets/d/1IYY_tgx_IHuhSq3AJ5eI5OnqOPBNLWSHKh2a30DoXe8/edit?usp=sharing"",""พังงา!I164"")"),0.0)</f>
        <v>0</v>
      </c>
      <c r="J374" s="222">
        <f>IFERROR(__xludf.DUMMYFUNCTION("IMPORTRANGE(""https://docs.google.com/spreadsheets/d/1IYY_tgx_IHuhSq3AJ5eI5OnqOPBNLWSHKh2a30DoXe8/edit?usp=sharing"",""พังงา!J164"")"),0.0)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IFERROR(__xludf.DUMMYFUNCTION("IMPORTRANGE(""https://docs.google.com/spreadsheets/d/1IYY_tgx_IHuhSq3AJ5eI5OnqOPBNLWSHKh2a30DoXe8/edit?usp=sharing"",""พังงา!I270"")"),30.0)</f>
        <v>30</v>
      </c>
      <c r="J375" s="222">
        <f>IFERROR(__xludf.DUMMYFUNCTION("IMPORTRANGE(""https://docs.google.com/spreadsheets/d/1IYY_tgx_IHuhSq3AJ5eI5OnqOPBNLWSHKh2a30DoXe8/edit?usp=sharing"",""พังงา!J270"")"),0.0)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IFERROR(__xludf.DUMMYFUNCTION("IMPORTRANGE(""https://docs.google.com/spreadsheets/d/1IYY_tgx_IHuhSq3AJ5eI5OnqOPBNLWSHKh2a30DoXe8/edit?usp=sharing"",""พังงา!I271"")"),20.0)</f>
        <v>20</v>
      </c>
      <c r="J376" s="223">
        <f>IFERROR(__xludf.DUMMYFUNCTION("IMPORTRANGE(""https://docs.google.com/spreadsheets/d/1IYY_tgx_IHuhSq3AJ5eI5OnqOPBNLWSHKh2a30DoXe8/edit?usp=sharing"",""พังงา!J271"")"),0.0)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IFERROR(__xludf.DUMMYFUNCTION("IMPORTRANGE(""https://docs.google.com/spreadsheets/d/1IYY_tgx_IHuhSq3AJ5eI5OnqOPBNLWSHKh2a30DoXe8/edit?usp=sharing"",""พังงา!I272"")"),10.0)</f>
        <v>10</v>
      </c>
      <c r="J377" s="238">
        <f>IFERROR(__xludf.DUMMYFUNCTION("IMPORTRANGE(""https://docs.google.com/spreadsheets/d/1IYY_tgx_IHuhSq3AJ5eI5OnqOPBNLWSHKh2a30DoXe8/edit?usp=sharing"",""พังงา!J272"")"),0.0)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IFERROR(__xludf.DUMMYFUNCTION("IMPORTRANGE(""https://docs.google.com/spreadsheets/d/1IYY_tgx_IHuhSq3AJ5eI5OnqOPBNLWSHKh2a30DoXe8/edit?usp=sharing"",""พังงา!J273"")"),0.0)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IFERROR(__xludf.DUMMYFUNCTION("IMPORTRANGE(""https://docs.google.com/spreadsheets/d/1IYY_tgx_IHuhSq3AJ5eI5OnqOPBNLWSHKh2a30DoXe8/edit?usp=sharing"",""พังงา!J274"")"),0.0)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IFERROR(__xludf.DUMMYFUNCTION("IMPORTRANGE(""https://docs.google.com/spreadsheets/d/1IYY_tgx_IHuhSq3AJ5eI5OnqOPBNLWSHKh2a30DoXe8/edit?usp=sharing"",""พังงา!I275"")"),500.0)</f>
        <v>500</v>
      </c>
      <c r="J380" s="404">
        <f>IFERROR(__xludf.DUMMYFUNCTION("IMPORTRANGE(""https://docs.google.com/spreadsheets/d/1IYY_tgx_IHuhSq3AJ5eI5OnqOPBNLWSHKh2a30DoXe8/edit?usp=sharing"",""พังงา!J275"")"),0.0)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IFERROR(__xludf.DUMMYFUNCTION("IMPORTRANGE(""https://docs.google.com/spreadsheets/d/1IYY_tgx_IHuhSq3AJ5eI5OnqOPBNLWSHKh2a30DoXe8/edit?usp=sharing"",""พังงา!L275"")"),460140.0)</f>
        <v>460140</v>
      </c>
      <c r="M380" s="406"/>
      <c r="N380" s="406">
        <f>IFERROR(__xludf.DUMMYFUNCTION("IMPORTRANGE(""https://docs.google.com/spreadsheets/d/1IYY_tgx_IHuhSq3AJ5eI5OnqOPBNLWSHKh2a30DoXe8/edit?usp=sharing"",""พังงา!M275"")"),39280.0)</f>
        <v>39280</v>
      </c>
      <c r="O380" s="406">
        <f>+IF(L380&gt;0,N380*100/L380,0)</f>
        <v>8.53653236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IFERROR(__xludf.DUMMYFUNCTION("IMPORTRANGE(""https://docs.google.com/spreadsheets/d/1IYY_tgx_IHuhSq3AJ5eI5OnqOPBNLWSHKh2a30DoXe8/edit?usp=sharing"",""พังงา!I276"")"),50.0)</f>
        <v>50</v>
      </c>
      <c r="J381" s="404">
        <f>IFERROR(__xludf.DUMMYFUNCTION("IMPORTRANGE(""https://docs.google.com/spreadsheets/d/1IYY_tgx_IHuhSq3AJ5eI5OnqOPBNLWSHKh2a30DoXe8/edit?usp=sharing"",""พังงา!J276"")"),50.0)</f>
        <v>50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IFERROR(__xludf.DUMMYFUNCTION("IMPORTRANGE(""https://docs.google.com/spreadsheets/d/1IYY_tgx_IHuhSq3AJ5eI5OnqOPBNLWSHKh2a30DoXe8/edit?usp=sharing"",""พังงา!L277"")"),0.0)</f>
        <v>0</v>
      </c>
      <c r="M382" s="197"/>
      <c r="N382" s="197">
        <f>IFERROR(__xludf.DUMMYFUNCTION("IMPORTRANGE(""https://docs.google.com/spreadsheets/d/1IYY_tgx_IHuhSq3AJ5eI5OnqOPBNLWSHKh2a30DoXe8/edit?usp=sharing"",""พังงา!M277"")"),0.0)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IFERROR(__xludf.DUMMYFUNCTION("IMPORTRANGE(""https://docs.google.com/spreadsheets/d/1IYY_tgx_IHuhSq3AJ5eI5OnqOPBNLWSHKh2a30DoXe8/edit?usp=sharing"",""พังงา!L278"")"),460140.0)</f>
        <v>460140</v>
      </c>
      <c r="M383" s="198"/>
      <c r="N383" s="198">
        <f>IFERROR(__xludf.DUMMYFUNCTION("IMPORTRANGE(""https://docs.google.com/spreadsheets/d/1IYY_tgx_IHuhSq3AJ5eI5OnqOPBNLWSHKh2a30DoXe8/edit?usp=sharing"",""พังงา!M278"")"),39280.0)</f>
        <v>39280</v>
      </c>
      <c r="O383" s="198">
        <f t="shared" si="110"/>
        <v>8.53653236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IFERROR(__xludf.DUMMYFUNCTION("IMPORTRANGE(""https://docs.google.com/spreadsheets/d/1IYY_tgx_IHuhSq3AJ5eI5OnqOPBNLWSHKh2a30DoXe8/edit?usp=sharing"",""พังงา!L279"")"),0.0)</f>
        <v>0</v>
      </c>
      <c r="M384" s="203"/>
      <c r="N384" s="203">
        <f>IFERROR(__xludf.DUMMYFUNCTION("IMPORTRANGE(""https://docs.google.com/spreadsheets/d/1IYY_tgx_IHuhSq3AJ5eI5OnqOPBNLWSHKh2a30DoXe8/edit?usp=sharing"",""พังงา!M279"")"),0.0)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IFERROR(__xludf.DUMMYFUNCTION("IMPORTRANGE(""https://docs.google.com/spreadsheets/d/1IYY_tgx_IHuhSq3AJ5eI5OnqOPBNLWSHKh2a30DoXe8/edit?usp=sharing"",""พังงา!L280"")"),460140.0)</f>
        <v>460140</v>
      </c>
      <c r="M385" s="203"/>
      <c r="N385" s="200">
        <f>IFERROR(__xludf.DUMMYFUNCTION("IMPORTRANGE(""https://docs.google.com/spreadsheets/d/1IYY_tgx_IHuhSq3AJ5eI5OnqOPBNLWSHKh2a30DoXe8/edit?usp=sharing"",""พังงา!M280"")"),39280.0)</f>
        <v>39280</v>
      </c>
      <c r="O385" s="203">
        <f t="shared" si="110"/>
        <v>8.53653236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IFERROR(__xludf.DUMMYFUNCTION("IMPORTRANGE(""https://docs.google.com/spreadsheets/d/1IYY_tgx_IHuhSq3AJ5eI5OnqOPBNLWSHKh2a30DoXe8/edit?usp=sharing"",""พังงา!M281"")"),30280.0)</f>
        <v>30280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IFERROR(__xludf.DUMMYFUNCTION("IMPORTRANGE(""https://docs.google.com/spreadsheets/d/1IYY_tgx_IHuhSq3AJ5eI5OnqOPBNLWSHKh2a30DoXe8/edit?usp=sharing"",""พังงา!M282"")"),0.0)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IFERROR(__xludf.DUMMYFUNCTION("IMPORTRANGE(""https://docs.google.com/spreadsheets/d/1IYY_tgx_IHuhSq3AJ5eI5OnqOPBNLWSHKh2a30DoXe8/edit?usp=sharing"",""พังงา!M283"")"),0.0)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IFERROR(__xludf.DUMMYFUNCTION("IMPORTRANGE(""https://docs.google.com/spreadsheets/d/1IYY_tgx_IHuhSq3AJ5eI5OnqOPBNLWSHKh2a30DoXe8/edit?usp=sharing"",""พังงา!M284"")"),9000.0)</f>
        <v>9000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IFERROR(__xludf.DUMMYFUNCTION("IMPORTRANGE(""https://docs.google.com/spreadsheets/d/1IYY_tgx_IHuhSq3AJ5eI5OnqOPBNLWSHKh2a30DoXe8/edit?usp=sharing"",""พังงา!J286"")"),0.0)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IFERROR(__xludf.DUMMYFUNCTION("IMPORTRANGE(""https://docs.google.com/spreadsheets/d/1IYY_tgx_IHuhSq3AJ5eI5OnqOPBNLWSHKh2a30DoXe8/edit?usp=sharing"",""พังงา!J287"")"),1.0)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IFERROR(__xludf.DUMMYFUNCTION("IMPORTRANGE(""https://docs.google.com/spreadsheets/d/1IYY_tgx_IHuhSq3AJ5eI5OnqOPBNLWSHKh2a30DoXe8/edit?usp=sharing"",""พังงา!J288"")"),1.0)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IFERROR(__xludf.DUMMYFUNCTION("IMPORTRANGE(""https://docs.google.com/spreadsheets/d/1IYY_tgx_IHuhSq3AJ5eI5OnqOPBNLWSHKh2a30DoXe8/edit?usp=sharing"",""พังงา!J289"")"),1.0)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IFERROR(__xludf.DUMMYFUNCTION("IMPORTRANGE(""https://docs.google.com/spreadsheets/d/1IYY_tgx_IHuhSq3AJ5eI5OnqOPBNLWSHKh2a30DoXe8/edit?usp=sharing"",""พังงา!I291"")"),50.0)</f>
        <v>50</v>
      </c>
      <c r="J396" s="232">
        <f>IFERROR(__xludf.DUMMYFUNCTION("IMPORTRANGE(""https://docs.google.com/spreadsheets/d/1IYY_tgx_IHuhSq3AJ5eI5OnqOPBNLWSHKh2a30DoXe8/edit?usp=sharing"",""พังงา!J291"")"),50.0)</f>
        <v>50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IFERROR(__xludf.DUMMYFUNCTION("IMPORTRANGE(""https://docs.google.com/spreadsheets/d/1IYY_tgx_IHuhSq3AJ5eI5OnqOPBNLWSHKh2a30DoXe8/edit?usp=sharing"",""พังงา!I292"")"),500.0)</f>
        <v>500</v>
      </c>
      <c r="J397" s="232">
        <f>IFERROR(__xludf.DUMMYFUNCTION("IMPORTRANGE(""https://docs.google.com/spreadsheets/d/1IYY_tgx_IHuhSq3AJ5eI5OnqOPBNLWSHKh2a30DoXe8/edit?usp=sharing"",""พังงา!J292"")"),0.0)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IFERROR(__xludf.DUMMYFUNCTION("IMPORTRANGE(""https://docs.google.com/spreadsheets/d/1IYY_tgx_IHuhSq3AJ5eI5OnqOPBNLWSHKh2a30DoXe8/edit?usp=sharing"",""พังงา!I293"")"),50.0)</f>
        <v>50</v>
      </c>
      <c r="J398" s="232">
        <f>IFERROR(__xludf.DUMMYFUNCTION("IMPORTRANGE(""https://docs.google.com/spreadsheets/d/1IYY_tgx_IHuhSq3AJ5eI5OnqOPBNLWSHKh2a30DoXe8/edit?usp=sharing"",""พังงา!J293"")"),0.0)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IFERROR(__xludf.DUMMYFUNCTION("IMPORTRANGE(""https://docs.google.com/spreadsheets/d/1IYY_tgx_IHuhSq3AJ5eI5OnqOPBNLWSHKh2a30DoXe8/edit?usp=sharing"",""พังงา!J294"")"),0.0)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IFERROR(__xludf.DUMMYFUNCTION("IMPORTRANGE(""https://docs.google.com/spreadsheets/d/1IYY_tgx_IHuhSq3AJ5eI5OnqOPBNLWSHKh2a30DoXe8/edit?usp=sharing"",""พังงา!J295"")"),0.0)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IFERROR(__xludf.DUMMYFUNCTION("IMPORTRANGE(""https://docs.google.com/spreadsheets/d/1IYY_tgx_IHuhSq3AJ5eI5OnqOPBNLWSHKh2a30DoXe8/edit?usp=sharing"",""พังงา!I296"")"),90.0)</f>
        <v>90</v>
      </c>
      <c r="J401" s="404">
        <f>IFERROR(__xludf.DUMMYFUNCTION("IMPORTRANGE(""https://docs.google.com/spreadsheets/d/1IYY_tgx_IHuhSq3AJ5eI5OnqOPBNLWSHKh2a30DoXe8/edit?usp=sharing"",""พังงา!J296"")"),0.0)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IFERROR(__xludf.DUMMYFUNCTION("IMPORTRANGE(""https://docs.google.com/spreadsheets/d/1IYY_tgx_IHuhSq3AJ5eI5OnqOPBNLWSHKh2a30DoXe8/edit?usp=sharing"",""พังงา!L296"")"),116320.0)</f>
        <v>116320</v>
      </c>
      <c r="M401" s="406"/>
      <c r="N401" s="406">
        <f>IFERROR(__xludf.DUMMYFUNCTION("IMPORTRANGE(""https://docs.google.com/spreadsheets/d/1IYY_tgx_IHuhSq3AJ5eI5OnqOPBNLWSHKh2a30DoXe8/edit?usp=sharing"",""พังงา!M296"")"),1360.0)</f>
        <v>1360</v>
      </c>
      <c r="O401" s="406">
        <f>+IF(L401&gt;0,N401*100/L401,0)</f>
        <v>1.169188446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IFERROR(__xludf.DUMMYFUNCTION("IMPORTRANGE(""https://docs.google.com/spreadsheets/d/1IYY_tgx_IHuhSq3AJ5eI5OnqOPBNLWSHKh2a30DoXe8/edit?usp=sharing"",""พังงา!I297"")"),30.0)</f>
        <v>30</v>
      </c>
      <c r="J402" s="404">
        <f>IFERROR(__xludf.DUMMYFUNCTION("IMPORTRANGE(""https://docs.google.com/spreadsheets/d/1IYY_tgx_IHuhSq3AJ5eI5OnqOPBNLWSHKh2a30DoXe8/edit?usp=sharing"",""พังงา!J297"")"),0.0)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IFERROR(__xludf.DUMMYFUNCTION("IMPORTRANGE(""https://docs.google.com/spreadsheets/d/1IYY_tgx_IHuhSq3AJ5eI5OnqOPBNLWSHKh2a30DoXe8/edit?usp=sharing"",""พังงา!L298"")"),0.0)</f>
        <v>0</v>
      </c>
      <c r="M403" s="197"/>
      <c r="N403" s="203">
        <f>IFERROR(__xludf.DUMMYFUNCTION("IMPORTRANGE(""https://docs.google.com/spreadsheets/d/1IYY_tgx_IHuhSq3AJ5eI5OnqOPBNLWSHKh2a30DoXe8/edit?usp=sharing"",""พังงา!M298"")"),0.0)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IFERROR(__xludf.DUMMYFUNCTION("IMPORTRANGE(""https://docs.google.com/spreadsheets/d/1IYY_tgx_IHuhSq3AJ5eI5OnqOPBNLWSHKh2a30DoXe8/edit?usp=sharing"",""พังงา!L299"")"),116320.0)</f>
        <v>116320</v>
      </c>
      <c r="M404" s="198"/>
      <c r="N404" s="203">
        <f>IFERROR(__xludf.DUMMYFUNCTION("IMPORTRANGE(""https://docs.google.com/spreadsheets/d/1IYY_tgx_IHuhSq3AJ5eI5OnqOPBNLWSHKh2a30DoXe8/edit?usp=sharing"",""พังงา!M299"")"),1360.0)</f>
        <v>1360</v>
      </c>
      <c r="O404" s="203">
        <f t="shared" si="113"/>
        <v>1.169188446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IFERROR(__xludf.DUMMYFUNCTION("IMPORTRANGE(""https://docs.google.com/spreadsheets/d/1IYY_tgx_IHuhSq3AJ5eI5OnqOPBNLWSHKh2a30DoXe8/edit?usp=sharing"",""พังงา!L300"")"),0.0)</f>
        <v>0</v>
      </c>
      <c r="M405" s="203"/>
      <c r="N405" s="203">
        <f>IFERROR(__xludf.DUMMYFUNCTION("IMPORTRANGE(""https://docs.google.com/spreadsheets/d/1IYY_tgx_IHuhSq3AJ5eI5OnqOPBNLWSHKh2a30DoXe8/edit?usp=sharing"",""พังงา!M300"")"),0.0)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IFERROR(__xludf.DUMMYFUNCTION("IMPORTRANGE(""https://docs.google.com/spreadsheets/d/1IYY_tgx_IHuhSq3AJ5eI5OnqOPBNLWSHKh2a30DoXe8/edit?usp=sharing"",""พังงา!L301"")"),116320.0)</f>
        <v>116320</v>
      </c>
      <c r="M406" s="203"/>
      <c r="N406" s="203">
        <f>IFERROR(__xludf.DUMMYFUNCTION("IMPORTRANGE(""https://docs.google.com/spreadsheets/d/1IYY_tgx_IHuhSq3AJ5eI5OnqOPBNLWSHKh2a30DoXe8/edit?usp=sharing"",""พังงา!M301"")"),1360.0)</f>
        <v>1360</v>
      </c>
      <c r="O406" s="203">
        <f t="shared" si="113"/>
        <v>1.169188446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IFERROR(__xludf.DUMMYFUNCTION("IMPORTRANGE(""https://docs.google.com/spreadsheets/d/1IYY_tgx_IHuhSq3AJ5eI5OnqOPBNLWSHKh2a30DoXe8/edit?usp=sharing"",""พังงา!M302"")"),0.0)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IFERROR(__xludf.DUMMYFUNCTION("IMPORTRANGE(""https://docs.google.com/spreadsheets/d/1IYY_tgx_IHuhSq3AJ5eI5OnqOPBNLWSHKh2a30DoXe8/edit?usp=sharing"",""พังงา!M303"")"),0.0)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IFERROR(__xludf.DUMMYFUNCTION("IMPORTRANGE(""https://docs.google.com/spreadsheets/d/1IYY_tgx_IHuhSq3AJ5eI5OnqOPBNLWSHKh2a30DoXe8/edit?usp=sharing"",""พังงา!M304"")"),0.0)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IFERROR(__xludf.DUMMYFUNCTION("IMPORTRANGE(""https://docs.google.com/spreadsheets/d/1IYY_tgx_IHuhSq3AJ5eI5OnqOPBNLWSHKh2a30DoXe8/edit?usp=sharing"",""พังงา!M305"")"),1360.0)</f>
        <v>1360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IFERROR(__xludf.DUMMYFUNCTION("IMPORTRANGE(""https://docs.google.com/spreadsheets/d/1IYY_tgx_IHuhSq3AJ5eI5OnqOPBNLWSHKh2a30DoXe8/edit?usp=sharing"",""พังงา!J307"")"),0.0)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IFERROR(__xludf.DUMMYFUNCTION("IMPORTRANGE(""https://docs.google.com/spreadsheets/d/1IYY_tgx_IHuhSq3AJ5eI5OnqOPBNLWSHKh2a30DoXe8/edit?usp=sharing"",""พังงา!J308"")"),1.0)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IFERROR(__xludf.DUMMYFUNCTION("IMPORTRANGE(""https://docs.google.com/spreadsheets/d/1IYY_tgx_IHuhSq3AJ5eI5OnqOPBNLWSHKh2a30DoXe8/edit?usp=sharing"",""พังงา!J309"")"),1.0)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IFERROR(__xludf.DUMMYFUNCTION("IMPORTRANGE(""https://docs.google.com/spreadsheets/d/1IYY_tgx_IHuhSq3AJ5eI5OnqOPBNLWSHKh2a30DoXe8/edit?usp=sharing"",""พังงา!J310"")"),1.0)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IFERROR(__xludf.DUMMYFUNCTION("IMPORTRANGE(""https://docs.google.com/spreadsheets/d/1IYY_tgx_IHuhSq3AJ5eI5OnqOPBNLWSHKh2a30DoXe8/edit?usp=sharing"",""พังงา!I311"")"),30.0)</f>
        <v>30</v>
      </c>
      <c r="J416" s="235">
        <f>IFERROR(__xludf.DUMMYFUNCTION("IMPORTRANGE(""https://docs.google.com/spreadsheets/d/1IYY_tgx_IHuhSq3AJ5eI5OnqOPBNLWSHKh2a30DoXe8/edit?usp=sharing"",""พังงา!J311"")"),0.0)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IFERROR(__xludf.DUMMYFUNCTION("IMPORTRANGE(""https://docs.google.com/spreadsheets/d/1IYY_tgx_IHuhSq3AJ5eI5OnqOPBNLWSHKh2a30DoXe8/edit?usp=sharing"",""พังงา!I312"")"),10.0)</f>
        <v>10</v>
      </c>
      <c r="J417" s="425">
        <f>IFERROR(__xludf.DUMMYFUNCTION("IMPORTRANGE(""https://docs.google.com/spreadsheets/d/1IYY_tgx_IHuhSq3AJ5eI5OnqOPBNLWSHKh2a30DoXe8/edit?usp=sharing"",""พังงา!J312"")"),0.0)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IFERROR(__xludf.DUMMYFUNCTION("IMPORTRANGE(""https://docs.google.com/spreadsheets/d/1IYY_tgx_IHuhSq3AJ5eI5OnqOPBNLWSHKh2a30DoXe8/edit?usp=sharing"",""พังงา!I313"")"),30.0)</f>
        <v>30</v>
      </c>
      <c r="J418" s="426">
        <f>IFERROR(__xludf.DUMMYFUNCTION("IMPORTRANGE(""https://docs.google.com/spreadsheets/d/1IYY_tgx_IHuhSq3AJ5eI5OnqOPBNLWSHKh2a30DoXe8/edit?usp=sharing"",""พังงา!J313"")"),0.0)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IFERROR(__xludf.DUMMYFUNCTION("IMPORTRANGE(""https://docs.google.com/spreadsheets/d/1IYY_tgx_IHuhSq3AJ5eI5OnqOPBNLWSHKh2a30DoXe8/edit?usp=sharing"",""พังงา!I314"")"),10.0)</f>
        <v>10</v>
      </c>
      <c r="J419" s="427">
        <f>IFERROR(__xludf.DUMMYFUNCTION("IMPORTRANGE(""https://docs.google.com/spreadsheets/d/1IYY_tgx_IHuhSq3AJ5eI5OnqOPBNLWSHKh2a30DoXe8/edit?usp=sharing"",""พังงา!J314"")"),0.0)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IFERROR(__xludf.DUMMYFUNCTION("IMPORTRANGE(""https://docs.google.com/spreadsheets/d/1IYY_tgx_IHuhSq3AJ5eI5OnqOPBNLWSHKh2a30DoXe8/edit?usp=sharing"",""พังงา!I315"")"),10.0)</f>
        <v>10</v>
      </c>
      <c r="J420" s="427">
        <f>IFERROR(__xludf.DUMMYFUNCTION("IMPORTRANGE(""https://docs.google.com/spreadsheets/d/1IYY_tgx_IHuhSq3AJ5eI5OnqOPBNLWSHKh2a30DoXe8/edit?usp=sharing"",""พังงา!J315"")"),0.0)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IFERROR(__xludf.DUMMYFUNCTION("IMPORTRANGE(""https://docs.google.com/spreadsheets/d/1IYY_tgx_IHuhSq3AJ5eI5OnqOPBNLWSHKh2a30DoXe8/edit?usp=sharing"",""พังงา!I316"")"),10.0)</f>
        <v>10</v>
      </c>
      <c r="J421" s="425">
        <f>IFERROR(__xludf.DUMMYFUNCTION("IMPORTRANGE(""https://docs.google.com/spreadsheets/d/1IYY_tgx_IHuhSq3AJ5eI5OnqOPBNLWSHKh2a30DoXe8/edit?usp=sharing"",""พังงา!J316"")"),0.0)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IFERROR(__xludf.DUMMYFUNCTION("IMPORTRANGE(""https://docs.google.com/spreadsheets/d/1IYY_tgx_IHuhSq3AJ5eI5OnqOPBNLWSHKh2a30DoXe8/edit?usp=sharing"",""พังงา!I317"")"),30.0)</f>
        <v>30</v>
      </c>
      <c r="J422" s="426">
        <f>IFERROR(__xludf.DUMMYFUNCTION("IMPORTRANGE(""https://docs.google.com/spreadsheets/d/1IYY_tgx_IHuhSq3AJ5eI5OnqOPBNLWSHKh2a30DoXe8/edit?usp=sharing"",""พังงา!J317"")"),0.0)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IFERROR(__xludf.DUMMYFUNCTION("IMPORTRANGE(""https://docs.google.com/spreadsheets/d/1IYY_tgx_IHuhSq3AJ5eI5OnqOPBNLWSHKh2a30DoXe8/edit?usp=sharing"",""พังงา!I318"")"),10.0)</f>
        <v>10</v>
      </c>
      <c r="J423" s="427">
        <f>IFERROR(__xludf.DUMMYFUNCTION("IMPORTRANGE(""https://docs.google.com/spreadsheets/d/1IYY_tgx_IHuhSq3AJ5eI5OnqOPBNLWSHKh2a30DoXe8/edit?usp=sharing"",""พังงา!J318"")"),0.0)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IFERROR(__xludf.DUMMYFUNCTION("IMPORTRANGE(""https://docs.google.com/spreadsheets/d/1IYY_tgx_IHuhSq3AJ5eI5OnqOPBNLWSHKh2a30DoXe8/edit?usp=sharing"",""พังงา!I319"")"),10.0)</f>
        <v>10</v>
      </c>
      <c r="J424" s="427">
        <f>IFERROR(__xludf.DUMMYFUNCTION("IMPORTRANGE(""https://docs.google.com/spreadsheets/d/1IYY_tgx_IHuhSq3AJ5eI5OnqOPBNLWSHKh2a30DoXe8/edit?usp=sharing"",""พังงา!J319"")"),0.0)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IFERROR(__xludf.DUMMYFUNCTION("IMPORTRANGE(""https://docs.google.com/spreadsheets/d/1IYY_tgx_IHuhSq3AJ5eI5OnqOPBNLWSHKh2a30DoXe8/edit?usp=sharing"",""พังงา!I320"")"),10.0)</f>
        <v>10</v>
      </c>
      <c r="J425" s="427">
        <f>IFERROR(__xludf.DUMMYFUNCTION("IMPORTRANGE(""https://docs.google.com/spreadsheets/d/1IYY_tgx_IHuhSq3AJ5eI5OnqOPBNLWSHKh2a30DoXe8/edit?usp=sharing"",""พังงา!J320"")"),0.0)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IFERROR(__xludf.DUMMYFUNCTION("IMPORTRANGE(""https://docs.google.com/spreadsheets/d/1IYY_tgx_IHuhSq3AJ5eI5OnqOPBNLWSHKh2a30DoXe8/edit?usp=sharing"",""พังงา!I321"")"),10.0)</f>
        <v>10</v>
      </c>
      <c r="J426" s="425">
        <f>IFERROR(__xludf.DUMMYFUNCTION("IMPORTRANGE(""https://docs.google.com/spreadsheets/d/1IYY_tgx_IHuhSq3AJ5eI5OnqOPBNLWSHKh2a30DoXe8/edit?usp=sharing"",""พังงา!J321"")"),0.0)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IFERROR(__xludf.DUMMYFUNCTION("IMPORTRANGE(""https://docs.google.com/spreadsheets/d/1IYY_tgx_IHuhSq3AJ5eI5OnqOPBNLWSHKh2a30DoXe8/edit?usp=sharing"",""พังงา!I322"")"),30.0)</f>
        <v>30</v>
      </c>
      <c r="J427" s="426">
        <f>IFERROR(__xludf.DUMMYFUNCTION("IMPORTRANGE(""https://docs.google.com/spreadsheets/d/1IYY_tgx_IHuhSq3AJ5eI5OnqOPBNLWSHKh2a30DoXe8/edit?usp=sharing"",""พังงา!J322"")"),0.0)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IFERROR(__xludf.DUMMYFUNCTION("IMPORTRANGE(""https://docs.google.com/spreadsheets/d/1IYY_tgx_IHuhSq3AJ5eI5OnqOPBNLWSHKh2a30DoXe8/edit?usp=sharing"",""พังงา!I323"")"),10.0)</f>
        <v>10</v>
      </c>
      <c r="J428" s="427">
        <f>IFERROR(__xludf.DUMMYFUNCTION("IMPORTRANGE(""https://docs.google.com/spreadsheets/d/1IYY_tgx_IHuhSq3AJ5eI5OnqOPBNLWSHKh2a30DoXe8/edit?usp=sharing"",""พังงา!J323"")"),0.0)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IFERROR(__xludf.DUMMYFUNCTION("IMPORTRANGE(""https://docs.google.com/spreadsheets/d/1IYY_tgx_IHuhSq3AJ5eI5OnqOPBNLWSHKh2a30DoXe8/edit?usp=sharing"",""พังงา!I324"")"),10.0)</f>
        <v>10</v>
      </c>
      <c r="J429" s="427">
        <f>IFERROR(__xludf.DUMMYFUNCTION("IMPORTRANGE(""https://docs.google.com/spreadsheets/d/1IYY_tgx_IHuhSq3AJ5eI5OnqOPBNLWSHKh2a30DoXe8/edit?usp=sharing"",""พังงา!J324"")"),0.0)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IFERROR(__xludf.DUMMYFUNCTION("IMPORTRANGE(""https://docs.google.com/spreadsheets/d/1IYY_tgx_IHuhSq3AJ5eI5OnqOPBNLWSHKh2a30DoXe8/edit?usp=sharing"",""พังงา!I325"")"),20.0)</f>
        <v>20</v>
      </c>
      <c r="J430" s="425">
        <f>IFERROR(__xludf.DUMMYFUNCTION("IMPORTRANGE(""https://docs.google.com/spreadsheets/d/1IYY_tgx_IHuhSq3AJ5eI5OnqOPBNLWSHKh2a30DoXe8/edit?usp=sharing"",""พังงา!J325"")"),0.0)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IFERROR(__xludf.DUMMYFUNCTION("IMPORTRANGE(""https://docs.google.com/spreadsheets/d/1IYY_tgx_IHuhSq3AJ5eI5OnqOPBNLWSHKh2a30DoXe8/edit?usp=sharing"",""พังงา!I326"")"),10.0)</f>
        <v>10</v>
      </c>
      <c r="J431" s="427">
        <f>IFERROR(__xludf.DUMMYFUNCTION("IMPORTRANGE(""https://docs.google.com/spreadsheets/d/1IYY_tgx_IHuhSq3AJ5eI5OnqOPBNLWSHKh2a30DoXe8/edit?usp=sharing"",""พังงา!J326"")"),0.0)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IFERROR(__xludf.DUMMYFUNCTION("IMPORTRANGE(""https://docs.google.com/spreadsheets/d/1IYY_tgx_IHuhSq3AJ5eI5OnqOPBNLWSHKh2a30DoXe8/edit?usp=sharing"",""พังงา!I327"")"),10.0)</f>
        <v>10</v>
      </c>
      <c r="J432" s="427">
        <f>IFERROR(__xludf.DUMMYFUNCTION("IMPORTRANGE(""https://docs.google.com/spreadsheets/d/1IYY_tgx_IHuhSq3AJ5eI5OnqOPBNLWSHKh2a30DoXe8/edit?usp=sharing"",""พังงา!J327"")"),0.0)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IFERROR(__xludf.DUMMYFUNCTION("IMPORTRANGE(""https://docs.google.com/spreadsheets/d/1IYY_tgx_IHuhSq3AJ5eI5OnqOPBNLWSHKh2a30DoXe8/edit?usp=sharing"",""พังงา!J328"")"),0.0)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IFERROR(__xludf.DUMMYFUNCTION("IMPORTRANGE(""https://docs.google.com/spreadsheets/d/1IYY_tgx_IHuhSq3AJ5eI5OnqOPBNLWSHKh2a30DoXe8/edit?usp=sharing"",""พังงา!J329"")"),0.0)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IFERROR(__xludf.DUMMYFUNCTION("IMPORTRANGE(""https://docs.google.com/spreadsheets/d/1IYY_tgx_IHuhSq3AJ5eI5OnqOPBNLWSHKh2a30DoXe8/edit?usp=sharing"",""พังงา!I330"")"),15.0)</f>
        <v>15</v>
      </c>
      <c r="J435" s="443">
        <f>IFERROR(__xludf.DUMMYFUNCTION("IMPORTRANGE(""https://docs.google.com/spreadsheets/d/1IYY_tgx_IHuhSq3AJ5eI5OnqOPBNLWSHKh2a30DoXe8/edit?usp=sharing"",""พังงา!J330"")"),0.0)</f>
        <v>0</v>
      </c>
      <c r="K435" s="444">
        <f>IF(I435&gt;0,J435*100/I435,0)</f>
        <v>0</v>
      </c>
      <c r="L435" s="445">
        <f>IFERROR(__xludf.DUMMYFUNCTION("IMPORTRANGE(""https://docs.google.com/spreadsheets/d/1IYY_tgx_IHuhSq3AJ5eI5OnqOPBNLWSHKh2a30DoXe8/edit?usp=sharing"",""พังงา!L330"")"),83000.0)</f>
        <v>83000</v>
      </c>
      <c r="M435" s="445"/>
      <c r="N435" s="445">
        <f>IFERROR(__xludf.DUMMYFUNCTION("IMPORTRANGE(""https://docs.google.com/spreadsheets/d/1IYY_tgx_IHuhSq3AJ5eI5OnqOPBNLWSHKh2a30DoXe8/edit?usp=sharing"",""พังงา!M330"")"),2220.0)</f>
        <v>2220</v>
      </c>
      <c r="O435" s="445">
        <f t="shared" ref="O435:O439" si="115">+IF(L435&gt;0,N435*100/L435,0)</f>
        <v>2.674698795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IFERROR(__xludf.DUMMYFUNCTION("IMPORTRANGE(""https://docs.google.com/spreadsheets/d/1IYY_tgx_IHuhSq3AJ5eI5OnqOPBNLWSHKh2a30DoXe8/edit?usp=sharing"",""พังงา!L331"")"),0.0)</f>
        <v>0</v>
      </c>
      <c r="M436" s="197"/>
      <c r="N436" s="203">
        <f>IFERROR(__xludf.DUMMYFUNCTION("IMPORTRANGE(""https://docs.google.com/spreadsheets/d/1IYY_tgx_IHuhSq3AJ5eI5OnqOPBNLWSHKh2a30DoXe8/edit?usp=sharing"",""พังงา!M331"")"),0.0)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IFERROR(__xludf.DUMMYFUNCTION("IMPORTRANGE(""https://docs.google.com/spreadsheets/d/1IYY_tgx_IHuhSq3AJ5eI5OnqOPBNLWSHKh2a30DoXe8/edit?usp=sharing"",""พังงา!L332"")"),83000.0)</f>
        <v>83000</v>
      </c>
      <c r="M437" s="198"/>
      <c r="N437" s="203">
        <f>IFERROR(__xludf.DUMMYFUNCTION("IMPORTRANGE(""https://docs.google.com/spreadsheets/d/1IYY_tgx_IHuhSq3AJ5eI5OnqOPBNLWSHKh2a30DoXe8/edit?usp=sharing"",""พังงา!M332"")"),2220.0)</f>
        <v>2220</v>
      </c>
      <c r="O437" s="203">
        <f t="shared" si="115"/>
        <v>2.674698795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IFERROR(__xludf.DUMMYFUNCTION("IMPORTRANGE(""https://docs.google.com/spreadsheets/d/1IYY_tgx_IHuhSq3AJ5eI5OnqOPBNLWSHKh2a30DoXe8/edit?usp=sharing"",""พังงา!L333"")"),0.0)</f>
        <v>0</v>
      </c>
      <c r="M438" s="203"/>
      <c r="N438" s="203">
        <f>IFERROR(__xludf.DUMMYFUNCTION("IMPORTRANGE(""https://docs.google.com/spreadsheets/d/1IYY_tgx_IHuhSq3AJ5eI5OnqOPBNLWSHKh2a30DoXe8/edit?usp=sharing"",""พังงา!M333"")"),0.0)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IFERROR(__xludf.DUMMYFUNCTION("IMPORTRANGE(""https://docs.google.com/spreadsheets/d/1IYY_tgx_IHuhSq3AJ5eI5OnqOPBNLWSHKh2a30DoXe8/edit?usp=sharing"",""พังงา!L334"")"),83000.0)</f>
        <v>83000</v>
      </c>
      <c r="M439" s="203"/>
      <c r="N439" s="203">
        <f>IFERROR(__xludf.DUMMYFUNCTION("IMPORTRANGE(""https://docs.google.com/spreadsheets/d/1IYY_tgx_IHuhSq3AJ5eI5OnqOPBNLWSHKh2a30DoXe8/edit?usp=sharing"",""พังงา!M334"")"),2220.0)</f>
        <v>2220</v>
      </c>
      <c r="O439" s="203">
        <f t="shared" si="115"/>
        <v>2.674698795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IFERROR(__xludf.DUMMYFUNCTION("IMPORTRANGE(""https://docs.google.com/spreadsheets/d/1IYY_tgx_IHuhSq3AJ5eI5OnqOPBNLWSHKh2a30DoXe8/edit?usp=sharing"",""พังงา!M335"")"),0.0)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IFERROR(__xludf.DUMMYFUNCTION("IMPORTRANGE(""https://docs.google.com/spreadsheets/d/1IYY_tgx_IHuhSq3AJ5eI5OnqOPBNLWSHKh2a30DoXe8/edit?usp=sharing"",""พังงา!M336"")"),0.0)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IFERROR(__xludf.DUMMYFUNCTION("IMPORTRANGE(""https://docs.google.com/spreadsheets/d/1IYY_tgx_IHuhSq3AJ5eI5OnqOPBNLWSHKh2a30DoXe8/edit?usp=sharing"",""พังงา!M337"")"),0.0)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IFERROR(__xludf.DUMMYFUNCTION("IMPORTRANGE(""https://docs.google.com/spreadsheets/d/1IYY_tgx_IHuhSq3AJ5eI5OnqOPBNLWSHKh2a30DoXe8/edit?usp=sharing"",""พังงา!M338"")"),2220.0)</f>
        <v>2220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IFERROR(__xludf.DUMMYFUNCTION("IMPORTRANGE(""https://docs.google.com/spreadsheets/d/1IYY_tgx_IHuhSq3AJ5eI5OnqOPBNLWSHKh2a30DoXe8/edit?usp=sharing"",""พังงา!J340"")"),0.0)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IFERROR(__xludf.DUMMYFUNCTION("IMPORTRANGE(""https://docs.google.com/spreadsheets/d/1IYY_tgx_IHuhSq3AJ5eI5OnqOPBNLWSHKh2a30DoXe8/edit?usp=sharing"",""พังงา!J341"")"),1.0)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IFERROR(__xludf.DUMMYFUNCTION("IMPORTRANGE(""https://docs.google.com/spreadsheets/d/1IYY_tgx_IHuhSq3AJ5eI5OnqOPBNLWSHKh2a30DoXe8/edit?usp=sharing"",""พังงา!J342"")"),1.0)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IFERROR(__xludf.DUMMYFUNCTION("IMPORTRANGE(""https://docs.google.com/spreadsheets/d/1IYY_tgx_IHuhSq3AJ5eI5OnqOPBNLWSHKh2a30DoXe8/edit?usp=sharing"",""พังงา!J343"")"),1.0)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IFERROR(__xludf.DUMMYFUNCTION("IMPORTRANGE(""https://docs.google.com/spreadsheets/d/1IYY_tgx_IHuhSq3AJ5eI5OnqOPBNLWSHKh2a30DoXe8/edit?usp=sharing"",""พังงา!I344"")"),15.0)</f>
        <v>15</v>
      </c>
      <c r="J449" s="235">
        <f>IFERROR(__xludf.DUMMYFUNCTION("IMPORTRANGE(""https://docs.google.com/spreadsheets/d/1IYY_tgx_IHuhSq3AJ5eI5OnqOPBNLWSHKh2a30DoXe8/edit?usp=sharing"",""พังงา!J344"")"),0.0)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IFERROR(__xludf.DUMMYFUNCTION("IMPORTRANGE(""https://docs.google.com/spreadsheets/d/1IYY_tgx_IHuhSq3AJ5eI5OnqOPBNLWSHKh2a30DoXe8/edit?usp=sharing"",""พังงา!I345"")"),15.0)</f>
        <v>15</v>
      </c>
      <c r="J450" s="223">
        <f>IFERROR(__xludf.DUMMYFUNCTION("IMPORTRANGE(""https://docs.google.com/spreadsheets/d/1IYY_tgx_IHuhSq3AJ5eI5OnqOPBNLWSHKh2a30DoXe8/edit?usp=sharing"",""พังงา!J345"")"),0.0)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IFERROR(__xludf.DUMMYFUNCTION("IMPORTRANGE(""https://docs.google.com/spreadsheets/d/1IYY_tgx_IHuhSq3AJ5eI5OnqOPBNLWSHKh2a30DoXe8/edit?usp=sharing"",""พังงา!I346"")"),0.0)</f>
        <v>0</v>
      </c>
      <c r="J451" s="222">
        <f>IFERROR(__xludf.DUMMYFUNCTION("IMPORTRANGE(""https://docs.google.com/spreadsheets/d/1IYY_tgx_IHuhSq3AJ5eI5OnqOPBNLWSHKh2a30DoXe8/edit?usp=sharing"",""พังงา!J346"")"),0.0)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IFERROR(__xludf.DUMMYFUNCTION("IMPORTRANGE(""https://docs.google.com/spreadsheets/d/1IYY_tgx_IHuhSq3AJ5eI5OnqOPBNLWSHKh2a30DoXe8/edit?usp=sharing"",""พังงา!I347"")"),0.0)</f>
        <v>0</v>
      </c>
      <c r="J452" s="222">
        <f>IFERROR(__xludf.DUMMYFUNCTION("IMPORTRANGE(""https://docs.google.com/spreadsheets/d/1IYY_tgx_IHuhSq3AJ5eI5OnqOPBNLWSHKh2a30DoXe8/edit?usp=sharing"",""พังงา!J347"")"),0.0)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IFERROR(__xludf.DUMMYFUNCTION("IMPORTRANGE(""https://docs.google.com/spreadsheets/d/1IYY_tgx_IHuhSq3AJ5eI5OnqOPBNLWSHKh2a30DoXe8/edit?usp=sharing"",""พังงา!J348"")"),0.0)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IFERROR(__xludf.DUMMYFUNCTION("IMPORTRANGE(""https://docs.google.com/spreadsheets/d/1IYY_tgx_IHuhSq3AJ5eI5OnqOPBNLWSHKh2a30DoXe8/edit?usp=sharing"",""พังงา!J349"")"),0.0)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IFERROR(__xludf.DUMMYFUNCTION("IMPORTRANGE(""https://docs.google.com/spreadsheets/d/1IYY_tgx_IHuhSq3AJ5eI5OnqOPBNLWSHKh2a30DoXe8/edit?usp=sharing"",""พังงา!I350"")"),19922.0)</f>
        <v>19922</v>
      </c>
      <c r="J455" s="404">
        <f>IFERROR(__xludf.DUMMYFUNCTION("IMPORTRANGE(""https://docs.google.com/spreadsheets/d/1IYY_tgx_IHuhSq3AJ5eI5OnqOPBNLWSHKh2a30DoXe8/edit?usp=sharing"",""พังงา!J350"")"),0.0)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IFERROR(__xludf.DUMMYFUNCTION("IMPORTRANGE(""https://docs.google.com/spreadsheets/d/1IYY_tgx_IHuhSq3AJ5eI5OnqOPBNLWSHKh2a30DoXe8/edit?usp=sharing"",""พังงา!L350"")"),163622.0)</f>
        <v>163622</v>
      </c>
      <c r="M455" s="406"/>
      <c r="N455" s="406">
        <f>IFERROR(__xludf.DUMMYFUNCTION("IMPORTRANGE(""https://docs.google.com/spreadsheets/d/1IYY_tgx_IHuhSq3AJ5eI5OnqOPBNLWSHKh2a30DoXe8/edit?usp=sharing"",""พังงา!M350"")"),2600.0)</f>
        <v>2600</v>
      </c>
      <c r="O455" s="406">
        <f t="shared" ref="O455:O459" si="117">+IF(L455&gt;0,N455*100/L455,0)</f>
        <v>1.58902837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IFERROR(__xludf.DUMMYFUNCTION("IMPORTRANGE(""https://docs.google.com/spreadsheets/d/1IYY_tgx_IHuhSq3AJ5eI5OnqOPBNLWSHKh2a30DoXe8/edit?usp=sharing"",""พังงา!L351"")"),0.0)</f>
        <v>0</v>
      </c>
      <c r="M456" s="197"/>
      <c r="N456" s="203">
        <f>IFERROR(__xludf.DUMMYFUNCTION("IMPORTRANGE(""https://docs.google.com/spreadsheets/d/1IYY_tgx_IHuhSq3AJ5eI5OnqOPBNLWSHKh2a30DoXe8/edit?usp=sharing"",""พังงา!M351"")"),0.0)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IFERROR(__xludf.DUMMYFUNCTION("IMPORTRANGE(""https://docs.google.com/spreadsheets/d/1IYY_tgx_IHuhSq3AJ5eI5OnqOPBNLWSHKh2a30DoXe8/edit?usp=sharing"",""พังงา!L352"")"),163622.0)</f>
        <v>163622</v>
      </c>
      <c r="M457" s="198"/>
      <c r="N457" s="203">
        <f>IFERROR(__xludf.DUMMYFUNCTION("IMPORTRANGE(""https://docs.google.com/spreadsheets/d/1IYY_tgx_IHuhSq3AJ5eI5OnqOPBNLWSHKh2a30DoXe8/edit?usp=sharing"",""พังงา!M352"")"),2600.0)</f>
        <v>2600</v>
      </c>
      <c r="O457" s="203">
        <f t="shared" si="117"/>
        <v>1.58902837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IFERROR(__xludf.DUMMYFUNCTION("IMPORTRANGE(""https://docs.google.com/spreadsheets/d/1IYY_tgx_IHuhSq3AJ5eI5OnqOPBNLWSHKh2a30DoXe8/edit?usp=sharing"",""พังงา!L353"")"),0.0)</f>
        <v>0</v>
      </c>
      <c r="M458" s="203"/>
      <c r="N458" s="203">
        <f>IFERROR(__xludf.DUMMYFUNCTION("IMPORTRANGE(""https://docs.google.com/spreadsheets/d/1IYY_tgx_IHuhSq3AJ5eI5OnqOPBNLWSHKh2a30DoXe8/edit?usp=sharing"",""พังงา!M353"")"),0.0)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IFERROR(__xludf.DUMMYFUNCTION("IMPORTRANGE(""https://docs.google.com/spreadsheets/d/1IYY_tgx_IHuhSq3AJ5eI5OnqOPBNLWSHKh2a30DoXe8/edit?usp=sharing"",""พังงา!L354"")"),163622.0)</f>
        <v>163622</v>
      </c>
      <c r="M459" s="203"/>
      <c r="N459" s="203">
        <f>IFERROR(__xludf.DUMMYFUNCTION("IMPORTRANGE(""https://docs.google.com/spreadsheets/d/1IYY_tgx_IHuhSq3AJ5eI5OnqOPBNLWSHKh2a30DoXe8/edit?usp=sharing"",""พังงา!M354"")"),2600.0)</f>
        <v>2600</v>
      </c>
      <c r="O459" s="203">
        <f t="shared" si="117"/>
        <v>1.58902837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IFERROR(__xludf.DUMMYFUNCTION("IMPORTRANGE(""https://docs.google.com/spreadsheets/d/1IYY_tgx_IHuhSq3AJ5eI5OnqOPBNLWSHKh2a30DoXe8/edit?usp=sharing"",""พังงา!M355"")"),0.0)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IFERROR(__xludf.DUMMYFUNCTION("IMPORTRANGE(""https://docs.google.com/spreadsheets/d/1IYY_tgx_IHuhSq3AJ5eI5OnqOPBNLWSHKh2a30DoXe8/edit?usp=sharing"",""พังงา!M356"")"),0.0)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IFERROR(__xludf.DUMMYFUNCTION("IMPORTRANGE(""https://docs.google.com/spreadsheets/d/1IYY_tgx_IHuhSq3AJ5eI5OnqOPBNLWSHKh2a30DoXe8/edit?usp=sharing"",""พังงา!M357"")"),0.0)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IFERROR(__xludf.DUMMYFUNCTION("IMPORTRANGE(""https://docs.google.com/spreadsheets/d/1IYY_tgx_IHuhSq3AJ5eI5OnqOPBNLWSHKh2a30DoXe8/edit?usp=sharing"",""พังงา!M358"")"),2600.0)</f>
        <v>2600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IFERROR(__xludf.DUMMYFUNCTION("IMPORTRANGE(""https://docs.google.com/spreadsheets/d/1IYY_tgx_IHuhSq3AJ5eI5OnqOPBNLWSHKh2a30DoXe8/edit?usp=sharing"",""พังงา!I359"")"),19922.0)</f>
        <v>19922</v>
      </c>
      <c r="J464" s="301">
        <f>IFERROR(__xludf.DUMMYFUNCTION("IMPORTRANGE(""https://docs.google.com/spreadsheets/d/1IYY_tgx_IHuhSq3AJ5eI5OnqOPBNLWSHKh2a30DoXe8/edit?usp=sharing"",""พังงา!J359"")"),0.0)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IFERROR(__xludf.DUMMYFUNCTION("IMPORTRANGE(""https://docs.google.com/spreadsheets/d/1IYY_tgx_IHuhSq3AJ5eI5OnqOPBNLWSHKh2a30DoXe8/edit?usp=sharing"",""พังงา!I360"")"),19922.0)</f>
        <v>19922</v>
      </c>
      <c r="J465" s="453">
        <f>IFERROR(__xludf.DUMMYFUNCTION("IMPORTRANGE(""https://docs.google.com/spreadsheets/d/1IYY_tgx_IHuhSq3AJ5eI5OnqOPBNLWSHKh2a30DoXe8/edit?usp=sharing"",""พังงา!J360"")"),5899.0)</f>
        <v>5899</v>
      </c>
      <c r="K465" s="236">
        <f t="shared" si="118"/>
        <v>29.61048088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IFERROR(__xludf.DUMMYFUNCTION("IMPORTRANGE(""https://docs.google.com/spreadsheets/d/1IYY_tgx_IHuhSq3AJ5eI5OnqOPBNLWSHKh2a30DoXe8/edit?usp=sharing"",""พังงา!I361"")"),2094.0)</f>
        <v>2094</v>
      </c>
      <c r="J466" s="453">
        <f>IFERROR(__xludf.DUMMYFUNCTION("IMPORTRANGE(""https://docs.google.com/spreadsheets/d/1IYY_tgx_IHuhSq3AJ5eI5OnqOPBNLWSHKh2a30DoXe8/edit?usp=sharing"",""พังงา!J361"")"),648.0)</f>
        <v>648</v>
      </c>
      <c r="K466" s="236">
        <f t="shared" si="118"/>
        <v>30.94555874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IFERROR(__xludf.DUMMYFUNCTION("IMPORTRANGE(""https://docs.google.com/spreadsheets/d/1IYY_tgx_IHuhSq3AJ5eI5OnqOPBNLWSHKh2a30DoXe8/edit?usp=sharing"",""พังงา!I362"")"),0.0)</f>
        <v>0</v>
      </c>
      <c r="J467" s="223">
        <f>IFERROR(__xludf.DUMMYFUNCTION("IMPORTRANGE(""https://docs.google.com/spreadsheets/d/1IYY_tgx_IHuhSq3AJ5eI5OnqOPBNLWSHKh2a30DoXe8/edit?usp=sharing"",""พังงา!J362"")"),5831.0)</f>
        <v>5831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IFERROR(__xludf.DUMMYFUNCTION("IMPORTRANGE(""https://docs.google.com/spreadsheets/d/1IYY_tgx_IHuhSq3AJ5eI5OnqOPBNLWSHKh2a30DoXe8/edit?usp=sharing"",""พังงา!I363"")"),0.0)</f>
        <v>0</v>
      </c>
      <c r="J468" s="223">
        <f>IFERROR(__xludf.DUMMYFUNCTION("IMPORTRANGE(""https://docs.google.com/spreadsheets/d/1IYY_tgx_IHuhSq3AJ5eI5OnqOPBNLWSHKh2a30DoXe8/edit?usp=sharing"",""พังงา!J363"")"),635.0)</f>
        <v>635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IFERROR(__xludf.DUMMYFUNCTION("IMPORTRANGE(""https://docs.google.com/spreadsheets/d/1IYY_tgx_IHuhSq3AJ5eI5OnqOPBNLWSHKh2a30DoXe8/edit?usp=sharing"",""พังงา!I364"")"),0.0)</f>
        <v>0</v>
      </c>
      <c r="J469" s="223">
        <f>IFERROR(__xludf.DUMMYFUNCTION("IMPORTRANGE(""https://docs.google.com/spreadsheets/d/1IYY_tgx_IHuhSq3AJ5eI5OnqOPBNLWSHKh2a30DoXe8/edit?usp=sharing"",""พังงา!J364"")"),0.0)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IFERROR(__xludf.DUMMYFUNCTION("IMPORTRANGE(""https://docs.google.com/spreadsheets/d/1IYY_tgx_IHuhSq3AJ5eI5OnqOPBNLWSHKh2a30DoXe8/edit?usp=sharing"",""พังงา!I365"")"),0.0)</f>
        <v>0</v>
      </c>
      <c r="J470" s="223">
        <f>IFERROR(__xludf.DUMMYFUNCTION("IMPORTRANGE(""https://docs.google.com/spreadsheets/d/1IYY_tgx_IHuhSq3AJ5eI5OnqOPBNLWSHKh2a30DoXe8/edit?usp=sharing"",""พังงา!J365"")"),0.0)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IFERROR(__xludf.DUMMYFUNCTION("IMPORTRANGE(""https://docs.google.com/spreadsheets/d/1IYY_tgx_IHuhSq3AJ5eI5OnqOPBNLWSHKh2a30DoXe8/edit?usp=sharing"",""พังงา!I366"")"),0.0)</f>
        <v>0</v>
      </c>
      <c r="J471" s="223">
        <f>IFERROR(__xludf.DUMMYFUNCTION("IMPORTRANGE(""https://docs.google.com/spreadsheets/d/1IYY_tgx_IHuhSq3AJ5eI5OnqOPBNLWSHKh2a30DoXe8/edit?usp=sharing"",""พังงา!J366"")"),68.0)</f>
        <v>68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IFERROR(__xludf.DUMMYFUNCTION("IMPORTRANGE(""https://docs.google.com/spreadsheets/d/1IYY_tgx_IHuhSq3AJ5eI5OnqOPBNLWSHKh2a30DoXe8/edit?usp=sharing"",""พังงา!I367"")"),0.0)</f>
        <v>0</v>
      </c>
      <c r="J472" s="223">
        <f>IFERROR(__xludf.DUMMYFUNCTION("IMPORTRANGE(""https://docs.google.com/spreadsheets/d/1IYY_tgx_IHuhSq3AJ5eI5OnqOPBNLWSHKh2a30DoXe8/edit?usp=sharing"",""พังงา!J367"")"),13.0)</f>
        <v>13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IFERROR(__xludf.DUMMYFUNCTION("IMPORTRANGE(""https://docs.google.com/spreadsheets/d/1IYY_tgx_IHuhSq3AJ5eI5OnqOPBNLWSHKh2a30DoXe8/edit?usp=sharing"",""พังงา!I368"")"),19922.0)</f>
        <v>19922</v>
      </c>
      <c r="J473" s="453">
        <f>IFERROR(__xludf.DUMMYFUNCTION("IMPORTRANGE(""https://docs.google.com/spreadsheets/d/1IYY_tgx_IHuhSq3AJ5eI5OnqOPBNLWSHKh2a30DoXe8/edit?usp=sharing"",""พังงา!J368"")"),0.0)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IFERROR(__xludf.DUMMYFUNCTION("IMPORTRANGE(""https://docs.google.com/spreadsheets/d/1IYY_tgx_IHuhSq3AJ5eI5OnqOPBNLWSHKh2a30DoXe8/edit?usp=sharing"",""พังงา!I369"")"),2094.0)</f>
        <v>2094</v>
      </c>
      <c r="J474" s="453">
        <f>IFERROR(__xludf.DUMMYFUNCTION("IMPORTRANGE(""https://docs.google.com/spreadsheets/d/1IYY_tgx_IHuhSq3AJ5eI5OnqOPBNLWSHKh2a30DoXe8/edit?usp=sharing"",""พังงา!J369"")"),0.0)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IFERROR(__xludf.DUMMYFUNCTION("IMPORTRANGE(""https://docs.google.com/spreadsheets/d/1IYY_tgx_IHuhSq3AJ5eI5OnqOPBNLWSHKh2a30DoXe8/edit?usp=sharing"",""พังงา!I370"")"),0.0)</f>
        <v>0</v>
      </c>
      <c r="J475" s="223">
        <f>IFERROR(__xludf.DUMMYFUNCTION("IMPORTRANGE(""https://docs.google.com/spreadsheets/d/1IYY_tgx_IHuhSq3AJ5eI5OnqOPBNLWSHKh2a30DoXe8/edit?usp=sharing"",""พังงา!J370"")"),0.0)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IFERROR(__xludf.DUMMYFUNCTION("IMPORTRANGE(""https://docs.google.com/spreadsheets/d/1IYY_tgx_IHuhSq3AJ5eI5OnqOPBNLWSHKh2a30DoXe8/edit?usp=sharing"",""พังงา!I371"")"),0.0)</f>
        <v>0</v>
      </c>
      <c r="J476" s="223">
        <f>IFERROR(__xludf.DUMMYFUNCTION("IMPORTRANGE(""https://docs.google.com/spreadsheets/d/1IYY_tgx_IHuhSq3AJ5eI5OnqOPBNLWSHKh2a30DoXe8/edit?usp=sharing"",""พังงา!J371"")"),0.0)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IFERROR(__xludf.DUMMYFUNCTION("IMPORTRANGE(""https://docs.google.com/spreadsheets/d/1IYY_tgx_IHuhSq3AJ5eI5OnqOPBNLWSHKh2a30DoXe8/edit?usp=sharing"",""พังงา!I372"")"),0.0)</f>
        <v>0</v>
      </c>
      <c r="J477" s="223">
        <f>IFERROR(__xludf.DUMMYFUNCTION("IMPORTRANGE(""https://docs.google.com/spreadsheets/d/1IYY_tgx_IHuhSq3AJ5eI5OnqOPBNLWSHKh2a30DoXe8/edit?usp=sharing"",""พังงา!J372"")"),0.0)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IFERROR(__xludf.DUMMYFUNCTION("IMPORTRANGE(""https://docs.google.com/spreadsheets/d/1IYY_tgx_IHuhSq3AJ5eI5OnqOPBNLWSHKh2a30DoXe8/edit?usp=sharing"",""พังงา!I373"")"),0.0)</f>
        <v>0</v>
      </c>
      <c r="J478" s="223">
        <f>IFERROR(__xludf.DUMMYFUNCTION("IMPORTRANGE(""https://docs.google.com/spreadsheets/d/1IYY_tgx_IHuhSq3AJ5eI5OnqOPBNLWSHKh2a30DoXe8/edit?usp=sharing"",""พังงา!J373"")"),0.0)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IFERROR(__xludf.DUMMYFUNCTION("IMPORTRANGE(""https://docs.google.com/spreadsheets/d/1IYY_tgx_IHuhSq3AJ5eI5OnqOPBNLWSHKh2a30DoXe8/edit?usp=sharing"",""พังงา!I374"")"),0.0)</f>
        <v>0</v>
      </c>
      <c r="J479" s="223">
        <f>IFERROR(__xludf.DUMMYFUNCTION("IMPORTRANGE(""https://docs.google.com/spreadsheets/d/1IYY_tgx_IHuhSq3AJ5eI5OnqOPBNLWSHKh2a30DoXe8/edit?usp=sharing"",""พังงา!J374"")"),0.0)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IFERROR(__xludf.DUMMYFUNCTION("IMPORTRANGE(""https://docs.google.com/spreadsheets/d/1IYY_tgx_IHuhSq3AJ5eI5OnqOPBNLWSHKh2a30DoXe8/edit?usp=sharing"",""พังงา!I375"")"),0.0)</f>
        <v>0</v>
      </c>
      <c r="J480" s="223">
        <f>IFERROR(__xludf.DUMMYFUNCTION("IMPORTRANGE(""https://docs.google.com/spreadsheets/d/1IYY_tgx_IHuhSq3AJ5eI5OnqOPBNLWSHKh2a30DoXe8/edit?usp=sharing"",""พังงา!J375"")"),0.0)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IFERROR(__xludf.DUMMYFUNCTION("IMPORTRANGE(""https://docs.google.com/spreadsheets/d/1IYY_tgx_IHuhSq3AJ5eI5OnqOPBNLWSHKh2a30DoXe8/edit?usp=sharing"",""พังงา!I376"")"),19922.0)</f>
        <v>19922</v>
      </c>
      <c r="J481" s="453">
        <f>IFERROR(__xludf.DUMMYFUNCTION("IMPORTRANGE(""https://docs.google.com/spreadsheets/d/1IYY_tgx_IHuhSq3AJ5eI5OnqOPBNLWSHKh2a30DoXe8/edit?usp=sharing"",""พังงา!J376"")"),0.0)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IFERROR(__xludf.DUMMYFUNCTION("IMPORTRANGE(""https://docs.google.com/spreadsheets/d/1IYY_tgx_IHuhSq3AJ5eI5OnqOPBNLWSHKh2a30DoXe8/edit?usp=sharing"",""พังงา!I377"")"),2094.0)</f>
        <v>2094</v>
      </c>
      <c r="J482" s="453">
        <f>IFERROR(__xludf.DUMMYFUNCTION("IMPORTRANGE(""https://docs.google.com/spreadsheets/d/1IYY_tgx_IHuhSq3AJ5eI5OnqOPBNLWSHKh2a30DoXe8/edit?usp=sharing"",""พังงา!J377"")"),0.0)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IFERROR(__xludf.DUMMYFUNCTION("IMPORTRANGE(""https://docs.google.com/spreadsheets/d/1IYY_tgx_IHuhSq3AJ5eI5OnqOPBNLWSHKh2a30DoXe8/edit?usp=sharing"",""พังงา!I378"")"),0.0)</f>
        <v>0</v>
      </c>
      <c r="J483" s="223">
        <f>IFERROR(__xludf.DUMMYFUNCTION("IMPORTRANGE(""https://docs.google.com/spreadsheets/d/1IYY_tgx_IHuhSq3AJ5eI5OnqOPBNLWSHKh2a30DoXe8/edit?usp=sharing"",""พังงา!J378"")"),0.0)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IFERROR(__xludf.DUMMYFUNCTION("IMPORTRANGE(""https://docs.google.com/spreadsheets/d/1IYY_tgx_IHuhSq3AJ5eI5OnqOPBNLWSHKh2a30DoXe8/edit?usp=sharing"",""พังงา!I379"")"),0.0)</f>
        <v>0</v>
      </c>
      <c r="J484" s="223">
        <f>IFERROR(__xludf.DUMMYFUNCTION("IMPORTRANGE(""https://docs.google.com/spreadsheets/d/1IYY_tgx_IHuhSq3AJ5eI5OnqOPBNLWSHKh2a30DoXe8/edit?usp=sharing"",""พังงา!J379"")"),0.0)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IFERROR(__xludf.DUMMYFUNCTION("IMPORTRANGE(""https://docs.google.com/spreadsheets/d/1IYY_tgx_IHuhSq3AJ5eI5OnqOPBNLWSHKh2a30DoXe8/edit?usp=sharing"",""พังงา!I380"")"),0.0)</f>
        <v>0</v>
      </c>
      <c r="J485" s="223">
        <f>IFERROR(__xludf.DUMMYFUNCTION("IMPORTRANGE(""https://docs.google.com/spreadsheets/d/1IYY_tgx_IHuhSq3AJ5eI5OnqOPBNLWSHKh2a30DoXe8/edit?usp=sharing"",""พังงา!J380"")"),0.0)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IFERROR(__xludf.DUMMYFUNCTION("IMPORTRANGE(""https://docs.google.com/spreadsheets/d/1IYY_tgx_IHuhSq3AJ5eI5OnqOPBNLWSHKh2a30DoXe8/edit?usp=sharing"",""พังงา!I381"")"),0.0)</f>
        <v>0</v>
      </c>
      <c r="J486" s="223">
        <f>IFERROR(__xludf.DUMMYFUNCTION("IMPORTRANGE(""https://docs.google.com/spreadsheets/d/1IYY_tgx_IHuhSq3AJ5eI5OnqOPBNLWSHKh2a30DoXe8/edit?usp=sharing"",""พังงา!J381"")"),0.0)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IFERROR(__xludf.DUMMYFUNCTION("IMPORTRANGE(""https://docs.google.com/spreadsheets/d/1IYY_tgx_IHuhSq3AJ5eI5OnqOPBNLWSHKh2a30DoXe8/edit?usp=sharing"",""พังงา!I382"")"),0.0)</f>
        <v>0</v>
      </c>
      <c r="J487" s="453">
        <f>IFERROR(__xludf.DUMMYFUNCTION("IMPORTRANGE(""https://docs.google.com/spreadsheets/d/1IYY_tgx_IHuhSq3AJ5eI5OnqOPBNLWSHKh2a30DoXe8/edit?usp=sharing"",""พังงา!J382"")"),0.0)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IFERROR(__xludf.DUMMYFUNCTION("IMPORTRANGE(""https://docs.google.com/spreadsheets/d/1IYY_tgx_IHuhSq3AJ5eI5OnqOPBNLWSHKh2a30DoXe8/edit?usp=sharing"",""พังงา!I383"")"),0.0)</f>
        <v>0</v>
      </c>
      <c r="J488" s="453">
        <f>IFERROR(__xludf.DUMMYFUNCTION("IMPORTRANGE(""https://docs.google.com/spreadsheets/d/1IYY_tgx_IHuhSq3AJ5eI5OnqOPBNLWSHKh2a30DoXe8/edit?usp=sharing"",""พังงา!J383"")"),0.0)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IFERROR(__xludf.DUMMYFUNCTION("IMPORTRANGE(""https://docs.google.com/spreadsheets/d/1IYY_tgx_IHuhSq3AJ5eI5OnqOPBNLWSHKh2a30DoXe8/edit?usp=sharing"",""พังงา!I384"")"),0.0)</f>
        <v>0</v>
      </c>
      <c r="J489" s="223">
        <f>IFERROR(__xludf.DUMMYFUNCTION("IMPORTRANGE(""https://docs.google.com/spreadsheets/d/1IYY_tgx_IHuhSq3AJ5eI5OnqOPBNLWSHKh2a30DoXe8/edit?usp=sharing"",""พังงา!J384"")"),0.0)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IFERROR(__xludf.DUMMYFUNCTION("IMPORTRANGE(""https://docs.google.com/spreadsheets/d/1IYY_tgx_IHuhSq3AJ5eI5OnqOPBNLWSHKh2a30DoXe8/edit?usp=sharing"",""พังงา!I385"")"),0.0)</f>
        <v>0</v>
      </c>
      <c r="J490" s="223">
        <f>IFERROR(__xludf.DUMMYFUNCTION("IMPORTRANGE(""https://docs.google.com/spreadsheets/d/1IYY_tgx_IHuhSq3AJ5eI5OnqOPBNLWSHKh2a30DoXe8/edit?usp=sharing"",""พังงา!J385"")"),0.0)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IFERROR(__xludf.DUMMYFUNCTION("IMPORTRANGE(""https://docs.google.com/spreadsheets/d/1IYY_tgx_IHuhSq3AJ5eI5OnqOPBNLWSHKh2a30DoXe8/edit?usp=sharing"",""พังงา!I386"")"),0.0)</f>
        <v>0</v>
      </c>
      <c r="J491" s="223">
        <f>IFERROR(__xludf.DUMMYFUNCTION("IMPORTRANGE(""https://docs.google.com/spreadsheets/d/1IYY_tgx_IHuhSq3AJ5eI5OnqOPBNLWSHKh2a30DoXe8/edit?usp=sharing"",""พังงา!J386"")"),0.0)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IFERROR(__xludf.DUMMYFUNCTION("IMPORTRANGE(""https://docs.google.com/spreadsheets/d/1IYY_tgx_IHuhSq3AJ5eI5OnqOPBNLWSHKh2a30DoXe8/edit?usp=sharing"",""พังงา!I387"")"),0.0)</f>
        <v>0</v>
      </c>
      <c r="J492" s="223">
        <f>IFERROR(__xludf.DUMMYFUNCTION("IMPORTRANGE(""https://docs.google.com/spreadsheets/d/1IYY_tgx_IHuhSq3AJ5eI5OnqOPBNLWSHKh2a30DoXe8/edit?usp=sharing"",""พังงา!J387"")"),0.0)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IFERROR(__xludf.DUMMYFUNCTION("IMPORTRANGE(""https://docs.google.com/spreadsheets/d/1IYY_tgx_IHuhSq3AJ5eI5OnqOPBNLWSHKh2a30DoXe8/edit?usp=sharing"",""พังงา!I388"")"),0.0)</f>
        <v>0</v>
      </c>
      <c r="J493" s="223">
        <f>IFERROR(__xludf.DUMMYFUNCTION("IMPORTRANGE(""https://docs.google.com/spreadsheets/d/1IYY_tgx_IHuhSq3AJ5eI5OnqOPBNLWSHKh2a30DoXe8/edit?usp=sharing"",""พังงา!J388"")"),0.0)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IFERROR(__xludf.DUMMYFUNCTION("IMPORTRANGE(""https://docs.google.com/spreadsheets/d/1IYY_tgx_IHuhSq3AJ5eI5OnqOPBNLWSHKh2a30DoXe8/edit?usp=sharing"",""พังงา!I389"")"),0.0)</f>
        <v>0</v>
      </c>
      <c r="J494" s="469">
        <f>IFERROR(__xludf.DUMMYFUNCTION("IMPORTRANGE(""https://docs.google.com/spreadsheets/d/1IYY_tgx_IHuhSq3AJ5eI5OnqOPBNLWSHKh2a30DoXe8/edit?usp=sharing"",""พังงา!J389"")"),0.0)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IFERROR(__xludf.DUMMYFUNCTION("IMPORTRANGE(""https://docs.google.com/spreadsheets/d/1IYY_tgx_IHuhSq3AJ5eI5OnqOPBNLWSHKh2a30DoXe8/edit?usp=sharing"",""พังงา!I390"")"),0.0)</f>
        <v>0</v>
      </c>
      <c r="J495" s="469">
        <f>IFERROR(__xludf.DUMMYFUNCTION("IMPORTRANGE(""https://docs.google.com/spreadsheets/d/1IYY_tgx_IHuhSq3AJ5eI5OnqOPBNLWSHKh2a30DoXe8/edit?usp=sharing"",""พังงา!J390"")"),0.0)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IFERROR(__xludf.DUMMYFUNCTION("IMPORTRANGE(""https://docs.google.com/spreadsheets/d/1IYY_tgx_IHuhSq3AJ5eI5OnqOPBNLWSHKh2a30DoXe8/edit?usp=sharing"",""พังงา!I391"")"),0.0)</f>
        <v>0</v>
      </c>
      <c r="J496" s="469">
        <f>IFERROR(__xludf.DUMMYFUNCTION("IMPORTRANGE(""https://docs.google.com/spreadsheets/d/1IYY_tgx_IHuhSq3AJ5eI5OnqOPBNLWSHKh2a30DoXe8/edit?usp=sharing"",""พังงา!J391"")"),0.0)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IFERROR(__xludf.DUMMYFUNCTION("IMPORTRANGE(""https://docs.google.com/spreadsheets/d/1IYY_tgx_IHuhSq3AJ5eI5OnqOPBNLWSHKh2a30DoXe8/edit?usp=sharing"",""พังงา!I392"")"),71.0)</f>
        <v>71</v>
      </c>
      <c r="J497" s="476">
        <f>IFERROR(__xludf.DUMMYFUNCTION("IMPORTRANGE(""https://docs.google.com/spreadsheets/d/1IYY_tgx_IHuhSq3AJ5eI5OnqOPBNLWSHKh2a30DoXe8/edit?usp=sharing"",""พังงา!J392"")"),0.0)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IFERROR(__xludf.DUMMYFUNCTION("IMPORTRANGE(""https://docs.google.com/spreadsheets/d/1IYY_tgx_IHuhSq3AJ5eI5OnqOPBNLWSHKh2a30DoXe8/edit?usp=sharing"",""พังงา!I393"")"),71.0)</f>
        <v>71</v>
      </c>
      <c r="J498" s="453">
        <f>IFERROR(__xludf.DUMMYFUNCTION("IMPORTRANGE(""https://docs.google.com/spreadsheets/d/1IYY_tgx_IHuhSq3AJ5eI5OnqOPBNLWSHKh2a30DoXe8/edit?usp=sharing"",""พังงา!J393"")"),0.0)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IFERROR(__xludf.DUMMYFUNCTION("IMPORTRANGE(""https://docs.google.com/spreadsheets/d/1IYY_tgx_IHuhSq3AJ5eI5OnqOPBNLWSHKh2a30DoXe8/edit?usp=sharing"",""พังงา!I394"")"),8.0)</f>
        <v>8</v>
      </c>
      <c r="J499" s="453">
        <f>IFERROR(__xludf.DUMMYFUNCTION("IMPORTRANGE(""https://docs.google.com/spreadsheets/d/1IYY_tgx_IHuhSq3AJ5eI5OnqOPBNLWSHKh2a30DoXe8/edit?usp=sharing"",""พังงา!J394"")"),0.0)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IFERROR(__xludf.DUMMYFUNCTION("IMPORTRANGE(""https://docs.google.com/spreadsheets/d/1IYY_tgx_IHuhSq3AJ5eI5OnqOPBNLWSHKh2a30DoXe8/edit?usp=sharing"",""พังงา!I395"")"),0.0)</f>
        <v>0</v>
      </c>
      <c r="J500" s="195">
        <f>IFERROR(__xludf.DUMMYFUNCTION("IMPORTRANGE(""https://docs.google.com/spreadsheets/d/1IYY_tgx_IHuhSq3AJ5eI5OnqOPBNLWSHKh2a30DoXe8/edit?usp=sharing"",""พังงา!J395"")"),0.0)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IFERROR(__xludf.DUMMYFUNCTION("IMPORTRANGE(""https://docs.google.com/spreadsheets/d/1IYY_tgx_IHuhSq3AJ5eI5OnqOPBNLWSHKh2a30DoXe8/edit?usp=sharing"",""พังงา!I396"")"),0.0)</f>
        <v>0</v>
      </c>
      <c r="J501" s="195">
        <f>IFERROR(__xludf.DUMMYFUNCTION("IMPORTRANGE(""https://docs.google.com/spreadsheets/d/1IYY_tgx_IHuhSq3AJ5eI5OnqOPBNLWSHKh2a30DoXe8/edit?usp=sharing"",""พังงา!J396"")"),0.0)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IFERROR(__xludf.DUMMYFUNCTION("IMPORTRANGE(""https://docs.google.com/spreadsheets/d/1IYY_tgx_IHuhSq3AJ5eI5OnqOPBNLWSHKh2a30DoXe8/edit?usp=sharing"",""พังงา!I397"")"),0.0)</f>
        <v>0</v>
      </c>
      <c r="J502" s="223">
        <f>IFERROR(__xludf.DUMMYFUNCTION("IMPORTRANGE(""https://docs.google.com/spreadsheets/d/1IYY_tgx_IHuhSq3AJ5eI5OnqOPBNLWSHKh2a30DoXe8/edit?usp=sharing"",""พังงา!J397"")"),0.0)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IFERROR(__xludf.DUMMYFUNCTION("IMPORTRANGE(""https://docs.google.com/spreadsheets/d/1IYY_tgx_IHuhSq3AJ5eI5OnqOPBNLWSHKh2a30DoXe8/edit?usp=sharing"",""พังงา!I398"")"),0.0)</f>
        <v>0</v>
      </c>
      <c r="J503" s="232">
        <f>IFERROR(__xludf.DUMMYFUNCTION("IMPORTRANGE(""https://docs.google.com/spreadsheets/d/1IYY_tgx_IHuhSq3AJ5eI5OnqOPBNLWSHKh2a30DoXe8/edit?usp=sharing"",""พังงา!J398"")"),0.0)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IFERROR(__xludf.DUMMYFUNCTION("IMPORTRANGE(""https://docs.google.com/spreadsheets/d/1IYY_tgx_IHuhSq3AJ5eI5OnqOPBNLWSHKh2a30DoXe8/edit?usp=sharing"",""พังงา!I399"")"),0.0)</f>
        <v>0</v>
      </c>
      <c r="J504" s="223">
        <f>IFERROR(__xludf.DUMMYFUNCTION("IMPORTRANGE(""https://docs.google.com/spreadsheets/d/1IYY_tgx_IHuhSq3AJ5eI5OnqOPBNLWSHKh2a30DoXe8/edit?usp=sharing"",""พังงา!J399"")"),0.0)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IFERROR(__xludf.DUMMYFUNCTION("IMPORTRANGE(""https://docs.google.com/spreadsheets/d/1IYY_tgx_IHuhSq3AJ5eI5OnqOPBNLWSHKh2a30DoXe8/edit?usp=sharing"",""พังงา!I400"")"),0.0)</f>
        <v>0</v>
      </c>
      <c r="J505" s="232">
        <f>IFERROR(__xludf.DUMMYFUNCTION("IMPORTRANGE(""https://docs.google.com/spreadsheets/d/1IYY_tgx_IHuhSq3AJ5eI5OnqOPBNLWSHKh2a30DoXe8/edit?usp=sharing"",""พังงา!J400"")"),0.0)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IFERROR(__xludf.DUMMYFUNCTION("IMPORTRANGE(""https://docs.google.com/spreadsheets/d/1IYY_tgx_IHuhSq3AJ5eI5OnqOPBNLWSHKh2a30DoXe8/edit?usp=sharing"",""พังงา!I401"")"),0.0)</f>
        <v>0</v>
      </c>
      <c r="J506" s="223">
        <f>IFERROR(__xludf.DUMMYFUNCTION("IMPORTRANGE(""https://docs.google.com/spreadsheets/d/1IYY_tgx_IHuhSq3AJ5eI5OnqOPBNLWSHKh2a30DoXe8/edit?usp=sharing"",""พังงา!J401"")"),0.0)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IFERROR(__xludf.DUMMYFUNCTION("IMPORTRANGE(""https://docs.google.com/spreadsheets/d/1IYY_tgx_IHuhSq3AJ5eI5OnqOPBNLWSHKh2a30DoXe8/edit?usp=sharing"",""พังงา!I402"")"),0.0)</f>
        <v>0</v>
      </c>
      <c r="J507" s="232">
        <f>IFERROR(__xludf.DUMMYFUNCTION("IMPORTRANGE(""https://docs.google.com/spreadsheets/d/1IYY_tgx_IHuhSq3AJ5eI5OnqOPBNLWSHKh2a30DoXe8/edit?usp=sharing"",""พังงา!J402"")"),0.0)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IFERROR(__xludf.DUMMYFUNCTION("IMPORTRANGE(""https://docs.google.com/spreadsheets/d/1IYY_tgx_IHuhSq3AJ5eI5OnqOPBNLWSHKh2a30DoXe8/edit?usp=sharing"",""พังงา!I403"")"),0.0)</f>
        <v>0</v>
      </c>
      <c r="J508" s="195">
        <f>IFERROR(__xludf.DUMMYFUNCTION("IMPORTRANGE(""https://docs.google.com/spreadsheets/d/1IYY_tgx_IHuhSq3AJ5eI5OnqOPBNLWSHKh2a30DoXe8/edit?usp=sharing"",""พังงา!J403"")"),0.0)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IFERROR(__xludf.DUMMYFUNCTION("IMPORTRANGE(""https://docs.google.com/spreadsheets/d/1IYY_tgx_IHuhSq3AJ5eI5OnqOPBNLWSHKh2a30DoXe8/edit?usp=sharing"",""พังงา!I404"")"),0.0)</f>
        <v>0</v>
      </c>
      <c r="J509" s="195">
        <f>IFERROR(__xludf.DUMMYFUNCTION("IMPORTRANGE(""https://docs.google.com/spreadsheets/d/1IYY_tgx_IHuhSq3AJ5eI5OnqOPBNLWSHKh2a30DoXe8/edit?usp=sharing"",""พังงา!J404"")"),0.0)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IFERROR(__xludf.DUMMYFUNCTION("IMPORTRANGE(""https://docs.google.com/spreadsheets/d/1IYY_tgx_IHuhSq3AJ5eI5OnqOPBNLWSHKh2a30DoXe8/edit?usp=sharing"",""พังงา!I405"")"),0.0)</f>
        <v>0</v>
      </c>
      <c r="J510" s="232">
        <f>IFERROR(__xludf.DUMMYFUNCTION("IMPORTRANGE(""https://docs.google.com/spreadsheets/d/1IYY_tgx_IHuhSq3AJ5eI5OnqOPBNLWSHKh2a30DoXe8/edit?usp=sharing"",""พังงา!J405"")"),0.0)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IFERROR(__xludf.DUMMYFUNCTION("IMPORTRANGE(""https://docs.google.com/spreadsheets/d/1IYY_tgx_IHuhSq3AJ5eI5OnqOPBNLWSHKh2a30DoXe8/edit?usp=sharing"",""พังงา!I406"")"),0.0)</f>
        <v>0</v>
      </c>
      <c r="J511" s="232">
        <f>IFERROR(__xludf.DUMMYFUNCTION("IMPORTRANGE(""https://docs.google.com/spreadsheets/d/1IYY_tgx_IHuhSq3AJ5eI5OnqOPBNLWSHKh2a30DoXe8/edit?usp=sharing"",""พังงา!J406"")"),0.0)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IFERROR(__xludf.DUMMYFUNCTION("IMPORTRANGE(""https://docs.google.com/spreadsheets/d/1IYY_tgx_IHuhSq3AJ5eI5OnqOPBNLWSHKh2a30DoXe8/edit?usp=sharing"",""พังงา!I407"")"),0.0)</f>
        <v>0</v>
      </c>
      <c r="J512" s="232">
        <f>IFERROR(__xludf.DUMMYFUNCTION("IMPORTRANGE(""https://docs.google.com/spreadsheets/d/1IYY_tgx_IHuhSq3AJ5eI5OnqOPBNLWSHKh2a30DoXe8/edit?usp=sharing"",""พังงา!J407"")"),0.0)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IFERROR(__xludf.DUMMYFUNCTION("IMPORTRANGE(""https://docs.google.com/spreadsheets/d/1IYY_tgx_IHuhSq3AJ5eI5OnqOPBNLWSHKh2a30DoXe8/edit?usp=sharing"",""พังงา!I408"")"),0.0)</f>
        <v>0</v>
      </c>
      <c r="J513" s="232">
        <f>IFERROR(__xludf.DUMMYFUNCTION("IMPORTRANGE(""https://docs.google.com/spreadsheets/d/1IYY_tgx_IHuhSq3AJ5eI5OnqOPBNLWSHKh2a30DoXe8/edit?usp=sharing"",""พังงา!J408"")"),0.0)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IFERROR(__xludf.DUMMYFUNCTION("IMPORTRANGE(""https://docs.google.com/spreadsheets/d/1IYY_tgx_IHuhSq3AJ5eI5OnqOPBNLWSHKh2a30DoXe8/edit?usp=sharing"",""พังงา!I409"")"),0.0)</f>
        <v>0</v>
      </c>
      <c r="J514" s="232">
        <f>IFERROR(__xludf.DUMMYFUNCTION("IMPORTRANGE(""https://docs.google.com/spreadsheets/d/1IYY_tgx_IHuhSq3AJ5eI5OnqOPBNLWSHKh2a30DoXe8/edit?usp=sharing"",""พังงา!J409"")"),0.0)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IFERROR(__xludf.DUMMYFUNCTION("IMPORTRANGE(""https://docs.google.com/spreadsheets/d/1IYY_tgx_IHuhSq3AJ5eI5OnqOPBNLWSHKh2a30DoXe8/edit?usp=sharing"",""พังงา!I410"")"),0.0)</f>
        <v>0</v>
      </c>
      <c r="J515" s="232">
        <f>IFERROR(__xludf.DUMMYFUNCTION("IMPORTRANGE(""https://docs.google.com/spreadsheets/d/1IYY_tgx_IHuhSq3AJ5eI5OnqOPBNLWSHKh2a30DoXe8/edit?usp=sharing"",""พังงา!J410"")"),0.0)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IFERROR(__xludf.DUMMYFUNCTION("IMPORTRANGE(""https://docs.google.com/spreadsheets/d/1IYY_tgx_IHuhSq3AJ5eI5OnqOPBNLWSHKh2a30DoXe8/edit?usp=sharing"",""พังงา!I411"")"),0.0)</f>
        <v>0</v>
      </c>
      <c r="J516" s="301">
        <f>IFERROR(__xludf.DUMMYFUNCTION("IMPORTRANGE(""https://docs.google.com/spreadsheets/d/1IYY_tgx_IHuhSq3AJ5eI5OnqOPBNLWSHKh2a30DoXe8/edit?usp=sharing"",""พังงา!J411"")"),0.0)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IFERROR(__xludf.DUMMYFUNCTION("IMPORTRANGE(""https://docs.google.com/spreadsheets/d/1IYY_tgx_IHuhSq3AJ5eI5OnqOPBNLWSHKh2a30DoXe8/edit?usp=sharing"",""พังงา!I412"")"),0.0)</f>
        <v>0</v>
      </c>
      <c r="J517" s="317">
        <f>IFERROR(__xludf.DUMMYFUNCTION("IMPORTRANGE(""https://docs.google.com/spreadsheets/d/1IYY_tgx_IHuhSq3AJ5eI5OnqOPBNLWSHKh2a30DoXe8/edit?usp=sharing"",""พังงา!J412"")"),0.0)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IFERROR(__xludf.DUMMYFUNCTION("IMPORTRANGE(""https://docs.google.com/spreadsheets/d/1IYY_tgx_IHuhSq3AJ5eI5OnqOPBNLWSHKh2a30DoXe8/edit?usp=sharing"",""พังงา!I413"")"),0.0)</f>
        <v>0</v>
      </c>
      <c r="J518" s="317">
        <f>IFERROR(__xludf.DUMMYFUNCTION("IMPORTRANGE(""https://docs.google.com/spreadsheets/d/1IYY_tgx_IHuhSq3AJ5eI5OnqOPBNLWSHKh2a30DoXe8/edit?usp=sharing"",""พังงา!J413"")"),0.0)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IFERROR(__xludf.DUMMYFUNCTION("IMPORTRANGE(""https://docs.google.com/spreadsheets/d/1IYY_tgx_IHuhSq3AJ5eI5OnqOPBNLWSHKh2a30DoXe8/edit?usp=sharing"",""พังงา!I414"")"),0.0)</f>
        <v>0</v>
      </c>
      <c r="J519" s="222">
        <f>IFERROR(__xludf.DUMMYFUNCTION("IMPORTRANGE(""https://docs.google.com/spreadsheets/d/1IYY_tgx_IHuhSq3AJ5eI5OnqOPBNLWSHKh2a30DoXe8/edit?usp=sharing"",""พังงา!J414"")"),0.0)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IFERROR(__xludf.DUMMYFUNCTION("IMPORTRANGE(""https://docs.google.com/spreadsheets/d/1IYY_tgx_IHuhSq3AJ5eI5OnqOPBNLWSHKh2a30DoXe8/edit?usp=sharing"",""พังงา!I415"")"),0.0)</f>
        <v>0</v>
      </c>
      <c r="J520" s="222">
        <f>IFERROR(__xludf.DUMMYFUNCTION("IMPORTRANGE(""https://docs.google.com/spreadsheets/d/1IYY_tgx_IHuhSq3AJ5eI5OnqOPBNLWSHKh2a30DoXe8/edit?usp=sharing"",""พังงา!J415"")"),0.0)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IFERROR(__xludf.DUMMYFUNCTION("IMPORTRANGE(""https://docs.google.com/spreadsheets/d/1IYY_tgx_IHuhSq3AJ5eI5OnqOPBNLWSHKh2a30DoXe8/edit?usp=sharing"",""พังงา!I416"")"),0.0)</f>
        <v>0</v>
      </c>
      <c r="J521" s="222">
        <f>IFERROR(__xludf.DUMMYFUNCTION("IMPORTRANGE(""https://docs.google.com/spreadsheets/d/1IYY_tgx_IHuhSq3AJ5eI5OnqOPBNLWSHKh2a30DoXe8/edit?usp=sharing"",""พังงา!J416"")"),0.0)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IFERROR(__xludf.DUMMYFUNCTION("IMPORTRANGE(""https://docs.google.com/spreadsheets/d/1IYY_tgx_IHuhSq3AJ5eI5OnqOPBNLWSHKh2a30DoXe8/edit?usp=sharing"",""พังงา!I417"")"),0.0)</f>
        <v>0</v>
      </c>
      <c r="J522" s="222">
        <f>IFERROR(__xludf.DUMMYFUNCTION("IMPORTRANGE(""https://docs.google.com/spreadsheets/d/1IYY_tgx_IHuhSq3AJ5eI5OnqOPBNLWSHKh2a30DoXe8/edit?usp=sharing"",""พังงา!J417"")"),0.0)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IFERROR(__xludf.DUMMYFUNCTION("IMPORTRANGE(""https://docs.google.com/spreadsheets/d/1IYY_tgx_IHuhSq3AJ5eI5OnqOPBNLWSHKh2a30DoXe8/edit?usp=sharing"",""พังงา!I418"")"),0.0)</f>
        <v>0</v>
      </c>
      <c r="J523" s="222">
        <f>IFERROR(__xludf.DUMMYFUNCTION("IMPORTRANGE(""https://docs.google.com/spreadsheets/d/1IYY_tgx_IHuhSq3AJ5eI5OnqOPBNLWSHKh2a30DoXe8/edit?usp=sharing"",""พังงา!J418"")"),36.0)</f>
        <v>36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IFERROR(__xludf.DUMMYFUNCTION("IMPORTRANGE(""https://docs.google.com/spreadsheets/d/1IYY_tgx_IHuhSq3AJ5eI5OnqOPBNLWSHKh2a30DoXe8/edit?usp=sharing"",""พังงา!I419"")"),0.0)</f>
        <v>0</v>
      </c>
      <c r="J524" s="222">
        <f>IFERROR(__xludf.DUMMYFUNCTION("IMPORTRANGE(""https://docs.google.com/spreadsheets/d/1IYY_tgx_IHuhSq3AJ5eI5OnqOPBNLWSHKh2a30DoXe8/edit?usp=sharing"",""พังงา!J419"")"),4.0)</f>
        <v>4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IFERROR(__xludf.DUMMYFUNCTION("IMPORTRANGE(""https://docs.google.com/spreadsheets/d/1IYY_tgx_IHuhSq3AJ5eI5OnqOPBNLWSHKh2a30DoXe8/edit?usp=sharing"",""พังงา!I420"")"),36.0)</f>
        <v>36</v>
      </c>
      <c r="J525" s="317">
        <f>IFERROR(__xludf.DUMMYFUNCTION("IMPORTRANGE(""https://docs.google.com/spreadsheets/d/1IYY_tgx_IHuhSq3AJ5eI5OnqOPBNLWSHKh2a30DoXe8/edit?usp=sharing"",""พังงา!J420"")"),0.0)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IFERROR(__xludf.DUMMYFUNCTION("IMPORTRANGE(""https://docs.google.com/spreadsheets/d/1IYY_tgx_IHuhSq3AJ5eI5OnqOPBNLWSHKh2a30DoXe8/edit?usp=sharing"",""พังงา!I421"")"),4.0)</f>
        <v>4</v>
      </c>
      <c r="J526" s="317">
        <f>IFERROR(__xludf.DUMMYFUNCTION("IMPORTRANGE(""https://docs.google.com/spreadsheets/d/1IYY_tgx_IHuhSq3AJ5eI5OnqOPBNLWSHKh2a30DoXe8/edit?usp=sharing"",""พังงา!J421"")"),0.0)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IFERROR(__xludf.DUMMYFUNCTION("IMPORTRANGE(""https://docs.google.com/spreadsheets/d/1IYY_tgx_IHuhSq3AJ5eI5OnqOPBNLWSHKh2a30DoXe8/edit?usp=sharing"",""พังงา!I422"")"),0.0)</f>
        <v>0</v>
      </c>
      <c r="J527" s="232">
        <f>IFERROR(__xludf.DUMMYFUNCTION("IMPORTRANGE(""https://docs.google.com/spreadsheets/d/1IYY_tgx_IHuhSq3AJ5eI5OnqOPBNLWSHKh2a30DoXe8/edit?usp=sharing"",""พังงา!J422"")"),0.0)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IFERROR(__xludf.DUMMYFUNCTION("IMPORTRANGE(""https://docs.google.com/spreadsheets/d/1IYY_tgx_IHuhSq3AJ5eI5OnqOPBNLWSHKh2a30DoXe8/edit?usp=sharing"",""พังงา!I423"")"),0.0)</f>
        <v>0</v>
      </c>
      <c r="J528" s="232">
        <f>IFERROR(__xludf.DUMMYFUNCTION("IMPORTRANGE(""https://docs.google.com/spreadsheets/d/1IYY_tgx_IHuhSq3AJ5eI5OnqOPBNLWSHKh2a30DoXe8/edit?usp=sharing"",""พังงา!J423"")"),0.0)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IFERROR(__xludf.DUMMYFUNCTION("IMPORTRANGE(""https://docs.google.com/spreadsheets/d/1IYY_tgx_IHuhSq3AJ5eI5OnqOPBNLWSHKh2a30DoXe8/edit?usp=sharing"",""พังงา!I424"")"),0.0)</f>
        <v>0</v>
      </c>
      <c r="J529" s="232">
        <f>IFERROR(__xludf.DUMMYFUNCTION("IMPORTRANGE(""https://docs.google.com/spreadsheets/d/1IYY_tgx_IHuhSq3AJ5eI5OnqOPBNLWSHKh2a30DoXe8/edit?usp=sharing"",""พังงา!J424"")"),0.0)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IFERROR(__xludf.DUMMYFUNCTION("IMPORTRANGE(""https://docs.google.com/spreadsheets/d/1IYY_tgx_IHuhSq3AJ5eI5OnqOPBNLWSHKh2a30DoXe8/edit?usp=sharing"",""พังงา!I425"")"),0.0)</f>
        <v>0</v>
      </c>
      <c r="J530" s="232">
        <f>IFERROR(__xludf.DUMMYFUNCTION("IMPORTRANGE(""https://docs.google.com/spreadsheets/d/1IYY_tgx_IHuhSq3AJ5eI5OnqOPBNLWSHKh2a30DoXe8/edit?usp=sharing"",""พังงา!J425"")"),0.0)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IFERROR(__xludf.DUMMYFUNCTION("IMPORTRANGE(""https://docs.google.com/spreadsheets/d/1IYY_tgx_IHuhSq3AJ5eI5OnqOPBNLWSHKh2a30DoXe8/edit?usp=sharing"",""พังงา!I426"")"),0.0)</f>
        <v>0</v>
      </c>
      <c r="J531" s="232">
        <f>IFERROR(__xludf.DUMMYFUNCTION("IMPORTRANGE(""https://docs.google.com/spreadsheets/d/1IYY_tgx_IHuhSq3AJ5eI5OnqOPBNLWSHKh2a30DoXe8/edit?usp=sharing"",""พังงา!J426"")"),0.0)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IFERROR(__xludf.DUMMYFUNCTION("IMPORTRANGE(""https://docs.google.com/spreadsheets/d/1IYY_tgx_IHuhSq3AJ5eI5OnqOPBNLWSHKh2a30DoXe8/edit?usp=sharing"",""พังงา!I427"")"),0.0)</f>
        <v>0</v>
      </c>
      <c r="J532" s="499">
        <f>IFERROR(__xludf.DUMMYFUNCTION("IMPORTRANGE(""https://docs.google.com/spreadsheets/d/1IYY_tgx_IHuhSq3AJ5eI5OnqOPBNLWSHKh2a30DoXe8/edit?usp=sharing"",""พังงา!J427"")"),0.0)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IFERROR(__xludf.DUMMYFUNCTION("IMPORTRANGE(""https://docs.google.com/spreadsheets/d/1IYY_tgx_IHuhSq3AJ5eI5OnqOPBNLWSHKh2a30DoXe8/edit?usp=sharing"",""พังงา!I428"")"),24.0)</f>
        <v>24</v>
      </c>
      <c r="J533" s="443">
        <f>IFERROR(__xludf.DUMMYFUNCTION("IMPORTRANGE(""https://docs.google.com/spreadsheets/d/1IYY_tgx_IHuhSq3AJ5eI5OnqOPBNLWSHKh2a30DoXe8/edit?usp=sharing"",""พังงา!J428"")"),24.0)</f>
        <v>24</v>
      </c>
      <c r="K533" s="444">
        <f>IF(I533&gt;0,J533*100/I533,0)</f>
        <v>100</v>
      </c>
      <c r="L533" s="445">
        <f>IFERROR(__xludf.DUMMYFUNCTION("IMPORTRANGE(""https://docs.google.com/spreadsheets/d/1IYY_tgx_IHuhSq3AJ5eI5OnqOPBNLWSHKh2a30DoXe8/edit?usp=sharing"",""พังงา!L428"")"),36040.0)</f>
        <v>36040</v>
      </c>
      <c r="M533" s="445"/>
      <c r="N533" s="445">
        <f>IFERROR(__xludf.DUMMYFUNCTION("IMPORTRANGE(""https://docs.google.com/spreadsheets/d/1IYY_tgx_IHuhSq3AJ5eI5OnqOPBNLWSHKh2a30DoXe8/edit?usp=sharing"",""พังงา!M428"")"),29500.0)</f>
        <v>29500</v>
      </c>
      <c r="O533" s="445">
        <f t="shared" ref="O533:O537" si="119">+IF(L533&gt;0,N533*100/L533,0)</f>
        <v>81.85349612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IFERROR(__xludf.DUMMYFUNCTION("IMPORTRANGE(""https://docs.google.com/spreadsheets/d/1IYY_tgx_IHuhSq3AJ5eI5OnqOPBNLWSHKh2a30DoXe8/edit?usp=sharing"",""พังงา!L429"")"),0.0)</f>
        <v>0</v>
      </c>
      <c r="M534" s="197"/>
      <c r="N534" s="203">
        <f>IFERROR(__xludf.DUMMYFUNCTION("IMPORTRANGE(""https://docs.google.com/spreadsheets/d/1IYY_tgx_IHuhSq3AJ5eI5OnqOPBNLWSHKh2a30DoXe8/edit?usp=sharing"",""พังงา!M429"")"),0.0)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IFERROR(__xludf.DUMMYFUNCTION("IMPORTRANGE(""https://docs.google.com/spreadsheets/d/1IYY_tgx_IHuhSq3AJ5eI5OnqOPBNLWSHKh2a30DoXe8/edit?usp=sharing"",""พังงา!L430"")"),36040.0)</f>
        <v>36040</v>
      </c>
      <c r="M535" s="198"/>
      <c r="N535" s="203">
        <f>IFERROR(__xludf.DUMMYFUNCTION("IMPORTRANGE(""https://docs.google.com/spreadsheets/d/1IYY_tgx_IHuhSq3AJ5eI5OnqOPBNLWSHKh2a30DoXe8/edit?usp=sharing"",""พังงา!M430"")"),29500.0)</f>
        <v>29500</v>
      </c>
      <c r="O535" s="203">
        <f t="shared" si="119"/>
        <v>81.85349612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IFERROR(__xludf.DUMMYFUNCTION("IMPORTRANGE(""https://docs.google.com/spreadsheets/d/1IYY_tgx_IHuhSq3AJ5eI5OnqOPBNLWSHKh2a30DoXe8/edit?usp=sharing"",""พังงา!L431"")"),0.0)</f>
        <v>0</v>
      </c>
      <c r="M536" s="203"/>
      <c r="N536" s="203">
        <f>IFERROR(__xludf.DUMMYFUNCTION("IMPORTRANGE(""https://docs.google.com/spreadsheets/d/1IYY_tgx_IHuhSq3AJ5eI5OnqOPBNLWSHKh2a30DoXe8/edit?usp=sharing"",""พังงา!M431"")"),0.0)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IFERROR(__xludf.DUMMYFUNCTION("IMPORTRANGE(""https://docs.google.com/spreadsheets/d/1IYY_tgx_IHuhSq3AJ5eI5OnqOPBNLWSHKh2a30DoXe8/edit?usp=sharing"",""พังงา!L432"")"),36040.0)</f>
        <v>36040</v>
      </c>
      <c r="M537" s="203"/>
      <c r="N537" s="203">
        <f>IFERROR(__xludf.DUMMYFUNCTION("IMPORTRANGE(""https://docs.google.com/spreadsheets/d/1IYY_tgx_IHuhSq3AJ5eI5OnqOPBNLWSHKh2a30DoXe8/edit?usp=sharing"",""พังงา!M432"")"),29500.0)</f>
        <v>29500</v>
      </c>
      <c r="O537" s="203">
        <f t="shared" si="119"/>
        <v>81.85349612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IFERROR(__xludf.DUMMYFUNCTION("IMPORTRANGE(""https://docs.google.com/spreadsheets/d/1IYY_tgx_IHuhSq3AJ5eI5OnqOPBNLWSHKh2a30DoXe8/edit?usp=sharing"",""พังงา!M433"")"),27660.0)</f>
        <v>27660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IFERROR(__xludf.DUMMYFUNCTION("IMPORTRANGE(""https://docs.google.com/spreadsheets/d/1IYY_tgx_IHuhSq3AJ5eI5OnqOPBNLWSHKh2a30DoXe8/edit?usp=sharing"",""พังงา!M434"")"),0.0)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IFERROR(__xludf.DUMMYFUNCTION("IMPORTRANGE(""https://docs.google.com/spreadsheets/d/1IYY_tgx_IHuhSq3AJ5eI5OnqOPBNLWSHKh2a30DoXe8/edit?usp=sharing"",""พังงา!M435"")"),0.0)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IFERROR(__xludf.DUMMYFUNCTION("IMPORTRANGE(""https://docs.google.com/spreadsheets/d/1IYY_tgx_IHuhSq3AJ5eI5OnqOPBNLWSHKh2a30DoXe8/edit?usp=sharing"",""พังงา!M436"")"),1840.0)</f>
        <v>1840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IFERROR(__xludf.DUMMYFUNCTION("IMPORTRANGE(""https://docs.google.com/spreadsheets/d/1IYY_tgx_IHuhSq3AJ5eI5OnqOPBNLWSHKh2a30DoXe8/edit?usp=sharing"",""พังงา!J438"")"),0.0)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IFERROR(__xludf.DUMMYFUNCTION("IMPORTRANGE(""https://docs.google.com/spreadsheets/d/1IYY_tgx_IHuhSq3AJ5eI5OnqOPBNLWSHKh2a30DoXe8/edit?usp=sharing"",""พังงา!J439"")"),1.0)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IFERROR(__xludf.DUMMYFUNCTION("IMPORTRANGE(""https://docs.google.com/spreadsheets/d/1IYY_tgx_IHuhSq3AJ5eI5OnqOPBNLWSHKh2a30DoXe8/edit?usp=sharing"",""พังงา!J440"")"),1.0)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IFERROR(__xludf.DUMMYFUNCTION("IMPORTRANGE(""https://docs.google.com/spreadsheets/d/1IYY_tgx_IHuhSq3AJ5eI5OnqOPBNLWSHKh2a30DoXe8/edit?usp=sharing"",""พังงา!J441"")"),1.0)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IFERROR(__xludf.DUMMYFUNCTION("IMPORTRANGE(""https://docs.google.com/spreadsheets/d/1IYY_tgx_IHuhSq3AJ5eI5OnqOPBNLWSHKh2a30DoXe8/edit?usp=sharing"",""พังงา!I442"")"),24.0)</f>
        <v>24</v>
      </c>
      <c r="J547" s="223">
        <f>IFERROR(__xludf.DUMMYFUNCTION("IMPORTRANGE(""https://docs.google.com/spreadsheets/d/1IYY_tgx_IHuhSq3AJ5eI5OnqOPBNLWSHKh2a30DoXe8/edit?usp=sharing"",""พังงา!J442"")"),24.0)</f>
        <v>24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IFERROR(__xludf.DUMMYFUNCTION("IMPORTRANGE(""https://docs.google.com/spreadsheets/d/1IYY_tgx_IHuhSq3AJ5eI5OnqOPBNLWSHKh2a30DoXe8/edit?usp=sharing"",""พังงา!J166"")"),0.0)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IFERROR(__xludf.DUMMYFUNCTION("IMPORTRANGE(""https://docs.google.com/spreadsheets/d/1IYY_tgx_IHuhSq3AJ5eI5OnqOPBNLWSHKh2a30DoXe8/edit?usp=sharing"",""พังงา!J444"")"),0.0)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IFERROR(__xludf.DUMMYFUNCTION("IMPORTRANGE(""https://docs.google.com/spreadsheets/d/1IYY_tgx_IHuhSq3AJ5eI5OnqOPBNLWSHKh2a30DoXe8/edit?usp=sharing"",""พังงา!J445"")"),0.0)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IFERROR(__xludf.DUMMYFUNCTION("IMPORTRANGE(""https://docs.google.com/spreadsheets/d/1IYY_tgx_IHuhSq3AJ5eI5OnqOPBNLWSHKh2a30DoXe8/edit?usp=sharing"",""พังงา!I446"")"),0.0)</f>
        <v>0</v>
      </c>
      <c r="J551" s="443">
        <f>IFERROR(__xludf.DUMMYFUNCTION("IMPORTRANGE(""https://docs.google.com/spreadsheets/d/1IYY_tgx_IHuhSq3AJ5eI5OnqOPBNLWSHKh2a30DoXe8/edit?usp=sharing"",""พังงา!J446"")"),0.0)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IFERROR(__xludf.DUMMYFUNCTION("IMPORTRANGE(""https://docs.google.com/spreadsheets/d/1IYY_tgx_IHuhSq3AJ5eI5OnqOPBNLWSHKh2a30DoXe8/edit?usp=sharing"",""พังงา!L446"")"),0.0)</f>
        <v>0</v>
      </c>
      <c r="M551" s="445"/>
      <c r="N551" s="445">
        <f>IFERROR(__xludf.DUMMYFUNCTION("IMPORTRANGE(""https://docs.google.com/spreadsheets/d/1IYY_tgx_IHuhSq3AJ5eI5OnqOPBNLWSHKh2a30DoXe8/edit?usp=sharing"",""พังงา!M446"")"),0.0)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IFERROR(__xludf.DUMMYFUNCTION("IMPORTRANGE(""https://docs.google.com/spreadsheets/d/1IYY_tgx_IHuhSq3AJ5eI5OnqOPBNLWSHKh2a30DoXe8/edit?usp=sharing"",""พังงา!L447"")"),0.0)</f>
        <v>0</v>
      </c>
      <c r="M552" s="197"/>
      <c r="N552" s="203">
        <f>IFERROR(__xludf.DUMMYFUNCTION("IMPORTRANGE(""https://docs.google.com/spreadsheets/d/1IYY_tgx_IHuhSq3AJ5eI5OnqOPBNLWSHKh2a30DoXe8/edit?usp=sharing"",""พังงา!M447"")"),0.0)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IFERROR(__xludf.DUMMYFUNCTION("IMPORTRANGE(""https://docs.google.com/spreadsheets/d/1IYY_tgx_IHuhSq3AJ5eI5OnqOPBNLWSHKh2a30DoXe8/edit?usp=sharing"",""พังงา!L448"")"),0.0)</f>
        <v>0</v>
      </c>
      <c r="M553" s="198"/>
      <c r="N553" s="203">
        <f>IFERROR(__xludf.DUMMYFUNCTION("IMPORTRANGE(""https://docs.google.com/spreadsheets/d/1IYY_tgx_IHuhSq3AJ5eI5OnqOPBNLWSHKh2a30DoXe8/edit?usp=sharing"",""พังงา!M448"")"),0.0)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IFERROR(__xludf.DUMMYFUNCTION("IMPORTRANGE(""https://docs.google.com/spreadsheets/d/1IYY_tgx_IHuhSq3AJ5eI5OnqOPBNLWSHKh2a30DoXe8/edit?usp=sharing"",""พังงา!L449"")"),0.0)</f>
        <v>0</v>
      </c>
      <c r="M554" s="203"/>
      <c r="N554" s="203">
        <f>IFERROR(__xludf.DUMMYFUNCTION("IMPORTRANGE(""https://docs.google.com/spreadsheets/d/1IYY_tgx_IHuhSq3AJ5eI5OnqOPBNLWSHKh2a30DoXe8/edit?usp=sharing"",""พังงา!M449"")"),0.0)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IFERROR(__xludf.DUMMYFUNCTION("IMPORTRANGE(""https://docs.google.com/spreadsheets/d/1IYY_tgx_IHuhSq3AJ5eI5OnqOPBNLWSHKh2a30DoXe8/edit?usp=sharing"",""พังงา!L450"")"),0.0)</f>
        <v>0</v>
      </c>
      <c r="M555" s="203"/>
      <c r="N555" s="203">
        <f>IFERROR(__xludf.DUMMYFUNCTION("IMPORTRANGE(""https://docs.google.com/spreadsheets/d/1IYY_tgx_IHuhSq3AJ5eI5OnqOPBNLWSHKh2a30DoXe8/edit?usp=sharing"",""พังงา!M450"")"),0.0)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IFERROR(__xludf.DUMMYFUNCTION("IMPORTRANGE(""https://docs.google.com/spreadsheets/d/1IYY_tgx_IHuhSq3AJ5eI5OnqOPBNLWSHKh2a30DoXe8/edit?usp=sharing"",""พังงา!M451"")"),0.0)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IFERROR(__xludf.DUMMYFUNCTION("IMPORTRANGE(""https://docs.google.com/spreadsheets/d/1IYY_tgx_IHuhSq3AJ5eI5OnqOPBNLWSHKh2a30DoXe8/edit?usp=sharing"",""พังงา!M452"")"),0.0)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IFERROR(__xludf.DUMMYFUNCTION("IMPORTRANGE(""https://docs.google.com/spreadsheets/d/1IYY_tgx_IHuhSq3AJ5eI5OnqOPBNLWSHKh2a30DoXe8/edit?usp=sharing"",""พังงา!M453"")"),0.0)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IFERROR(__xludf.DUMMYFUNCTION("IMPORTRANGE(""https://docs.google.com/spreadsheets/d/1IYY_tgx_IHuhSq3AJ5eI5OnqOPBNLWSHKh2a30DoXe8/edit?usp=sharing"",""พังงา!M454"")"),0.0)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IFERROR(__xludf.DUMMYFUNCTION("IMPORTRANGE(""https://docs.google.com/spreadsheets/d/1IYY_tgx_IHuhSq3AJ5eI5OnqOPBNLWSHKh2a30DoXe8/edit?usp=sharing"",""พังงา!I455"")"),0.0)</f>
        <v>0</v>
      </c>
      <c r="J560" s="195">
        <f>IFERROR(__xludf.DUMMYFUNCTION("IMPORTRANGE(""https://docs.google.com/spreadsheets/d/1IYY_tgx_IHuhSq3AJ5eI5OnqOPBNLWSHKh2a30DoXe8/edit?usp=sharing"",""พังงา!J455"")"),0.0)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IFERROR(__xludf.DUMMYFUNCTION("IMPORTRANGE(""https://docs.google.com/spreadsheets/d/1IYY_tgx_IHuhSq3AJ5eI5OnqOPBNLWSHKh2a30DoXe8/edit?usp=sharing"",""พังงา!I456"")"),0.0)</f>
        <v>0</v>
      </c>
      <c r="J561" s="238">
        <f>IFERROR(__xludf.DUMMYFUNCTION("IMPORTRANGE(""https://docs.google.com/spreadsheets/d/1IYY_tgx_IHuhSq3AJ5eI5OnqOPBNLWSHKh2a30DoXe8/edit?usp=sharing"",""พังงา!J456"")"),0.0)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IFERROR(__xludf.DUMMYFUNCTION("IMPORTRANGE(""https://docs.google.com/spreadsheets/d/1IYY_tgx_IHuhSq3AJ5eI5OnqOPBNLWSHKh2a30DoXe8/edit?usp=sharing"",""พังงา!I457"")"),"")</f>
        <v/>
      </c>
      <c r="J562" s="238" t="str">
        <f>IFERROR(__xludf.DUMMYFUNCTION("IMPORTRANGE(""https://docs.google.com/spreadsheets/d/1IYY_tgx_IHuhSq3AJ5eI5OnqOPBNLWSHKh2a30DoXe8/edit?usp=sharing"",""พังงา!J457"")"),"")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IFERROR(__xludf.DUMMYFUNCTION("IMPORTRANGE(""https://docs.google.com/spreadsheets/d/1IYY_tgx_IHuhSq3AJ5eI5OnqOPBNLWSHKh2a30DoXe8/edit?usp=sharing"",""พังงา!I458"")"),"")</f>
        <v/>
      </c>
      <c r="J563" s="222" t="str">
        <f>IFERROR(__xludf.DUMMYFUNCTION("IMPORTRANGE(""https://docs.google.com/spreadsheets/d/1IYY_tgx_IHuhSq3AJ5eI5OnqOPBNLWSHKh2a30DoXe8/edit?usp=sharing"",""พังงา!J458"")"),"")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IFERROR(__xludf.DUMMYFUNCTION("IMPORTRANGE(""https://docs.google.com/spreadsheets/d/1IYY_tgx_IHuhSq3AJ5eI5OnqOPBNLWSHKh2a30DoXe8/edit?usp=sharing"",""พังงา!I459"")"),400.0)</f>
        <v>400</v>
      </c>
      <c r="J564" s="404">
        <f>IFERROR(__xludf.DUMMYFUNCTION("IMPORTRANGE(""https://docs.google.com/spreadsheets/d/1IYY_tgx_IHuhSq3AJ5eI5OnqOPBNLWSHKh2a30DoXe8/edit?usp=sharing"",""พังงา!J459"")"),537.0)</f>
        <v>537</v>
      </c>
      <c r="K564" s="405">
        <f t="shared" si="122"/>
        <v>134.25</v>
      </c>
      <c r="L564" s="406">
        <f>IFERROR(__xludf.DUMMYFUNCTION("IMPORTRANGE(""https://docs.google.com/spreadsheets/d/1IYY_tgx_IHuhSq3AJ5eI5OnqOPBNLWSHKh2a30DoXe8/edit?usp=sharing"",""พังงา!L459"")"),126880.0)</f>
        <v>126880</v>
      </c>
      <c r="M564" s="406"/>
      <c r="N564" s="406">
        <f>IFERROR(__xludf.DUMMYFUNCTION("IMPORTRANGE(""https://docs.google.com/spreadsheets/d/1IYY_tgx_IHuhSq3AJ5eI5OnqOPBNLWSHKh2a30DoXe8/edit?usp=sharing"",""พังงา!M459"")"),24400.0)</f>
        <v>24400</v>
      </c>
      <c r="O564" s="406">
        <f t="shared" ref="O564:O568" si="123">+IF(L564&gt;0,N564*100/L564,0)</f>
        <v>19.23076923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IFERROR(__xludf.DUMMYFUNCTION("IMPORTRANGE(""https://docs.google.com/spreadsheets/d/1IYY_tgx_IHuhSq3AJ5eI5OnqOPBNLWSHKh2a30DoXe8/edit?usp=sharing"",""พังงา!L460"")"),0.0)</f>
        <v>0</v>
      </c>
      <c r="M565" s="197"/>
      <c r="N565" s="203">
        <f>IFERROR(__xludf.DUMMYFUNCTION("IMPORTRANGE(""https://docs.google.com/spreadsheets/d/1IYY_tgx_IHuhSq3AJ5eI5OnqOPBNLWSHKh2a30DoXe8/edit?usp=sharing"",""พังงา!M460"")"),0.0)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IFERROR(__xludf.DUMMYFUNCTION("IMPORTRANGE(""https://docs.google.com/spreadsheets/d/1IYY_tgx_IHuhSq3AJ5eI5OnqOPBNLWSHKh2a30DoXe8/edit?usp=sharing"",""พังงา!L461"")"),126880.0)</f>
        <v>126880</v>
      </c>
      <c r="M566" s="198"/>
      <c r="N566" s="203">
        <f>IFERROR(__xludf.DUMMYFUNCTION("IMPORTRANGE(""https://docs.google.com/spreadsheets/d/1IYY_tgx_IHuhSq3AJ5eI5OnqOPBNLWSHKh2a30DoXe8/edit?usp=sharing"",""พังงา!M461"")"),24400.0)</f>
        <v>24400</v>
      </c>
      <c r="O566" s="203">
        <f t="shared" si="123"/>
        <v>19.23076923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IFERROR(__xludf.DUMMYFUNCTION("IMPORTRANGE(""https://docs.google.com/spreadsheets/d/1IYY_tgx_IHuhSq3AJ5eI5OnqOPBNLWSHKh2a30DoXe8/edit?usp=sharing"",""พังงา!L462"")"),0.0)</f>
        <v>0</v>
      </c>
      <c r="M567" s="203"/>
      <c r="N567" s="203">
        <f>IFERROR(__xludf.DUMMYFUNCTION("IMPORTRANGE(""https://docs.google.com/spreadsheets/d/1IYY_tgx_IHuhSq3AJ5eI5OnqOPBNLWSHKh2a30DoXe8/edit?usp=sharing"",""พังงา!M462"")"),0.0)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IFERROR(__xludf.DUMMYFUNCTION("IMPORTRANGE(""https://docs.google.com/spreadsheets/d/1IYY_tgx_IHuhSq3AJ5eI5OnqOPBNLWSHKh2a30DoXe8/edit?usp=sharing"",""พังงา!L463"")"),126880.0)</f>
        <v>126880</v>
      </c>
      <c r="M568" s="203"/>
      <c r="N568" s="203">
        <f>IFERROR(__xludf.DUMMYFUNCTION("IMPORTRANGE(""https://docs.google.com/spreadsheets/d/1IYY_tgx_IHuhSq3AJ5eI5OnqOPBNLWSHKh2a30DoXe8/edit?usp=sharing"",""พังงา!M463"")"),24400.0)</f>
        <v>24400</v>
      </c>
      <c r="O568" s="203">
        <f t="shared" si="123"/>
        <v>19.23076923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IFERROR(__xludf.DUMMYFUNCTION("IMPORTRANGE(""https://docs.google.com/spreadsheets/d/1IYY_tgx_IHuhSq3AJ5eI5OnqOPBNLWSHKh2a30DoXe8/edit?usp=sharing"",""พังงา!M464"")"),0.0)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IFERROR(__xludf.DUMMYFUNCTION("IMPORTRANGE(""https://docs.google.com/spreadsheets/d/1IYY_tgx_IHuhSq3AJ5eI5OnqOPBNLWSHKh2a30DoXe8/edit?usp=sharing"",""พังงา!M465"")"),0.0)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IFERROR(__xludf.DUMMYFUNCTION("IMPORTRANGE(""https://docs.google.com/spreadsheets/d/1IYY_tgx_IHuhSq3AJ5eI5OnqOPBNLWSHKh2a30DoXe8/edit?usp=sharing"",""พังงา!M466"")"),22000.0)</f>
        <v>22000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IFERROR(__xludf.DUMMYFUNCTION("IMPORTRANGE(""https://docs.google.com/spreadsheets/d/1IYY_tgx_IHuhSq3AJ5eI5OnqOPBNLWSHKh2a30DoXe8/edit?usp=sharing"",""พังงา!M467"")"),2400.0)</f>
        <v>2400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IFERROR(__xludf.DUMMYFUNCTION("IMPORTRANGE(""https://docs.google.com/spreadsheets/d/1IYY_tgx_IHuhSq3AJ5eI5OnqOPBNLWSHKh2a30DoXe8/edit?usp=sharing"",""พังงา!I468"")"),400.0)</f>
        <v>400</v>
      </c>
      <c r="J573" s="453">
        <f>IFERROR(__xludf.DUMMYFUNCTION("IMPORTRANGE(""https://docs.google.com/spreadsheets/d/1IYY_tgx_IHuhSq3AJ5eI5OnqOPBNLWSHKh2a30DoXe8/edit?usp=sharing"",""พังงา!J468"")"),537.0)</f>
        <v>537</v>
      </c>
      <c r="K573" s="236">
        <f>IF(I573&gt;0,J573*100/I573,0)</f>
        <v>134.25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IFERROR(__xludf.DUMMYFUNCTION("IMPORTRANGE(""https://docs.google.com/spreadsheets/d/1IYY_tgx_IHuhSq3AJ5eI5OnqOPBNLWSHKh2a30DoXe8/edit?usp=sharing"",""พังงา!I470"")"),0.0)</f>
        <v>0</v>
      </c>
      <c r="J575" s="232">
        <f>IFERROR(__xludf.DUMMYFUNCTION("IMPORTRANGE(""https://docs.google.com/spreadsheets/d/1IYY_tgx_IHuhSq3AJ5eI5OnqOPBNLWSHKh2a30DoXe8/edit?usp=sharing"",""พังงา!J470"")"),2.0)</f>
        <v>2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IFERROR(__xludf.DUMMYFUNCTION("IMPORTRANGE(""https://docs.google.com/spreadsheets/d/1IYY_tgx_IHuhSq3AJ5eI5OnqOPBNLWSHKh2a30DoXe8/edit?usp=sharing"",""พังงา!I471"")"),0.0)</f>
        <v>0</v>
      </c>
      <c r="J576" s="232">
        <f>IFERROR(__xludf.DUMMYFUNCTION("IMPORTRANGE(""https://docs.google.com/spreadsheets/d/1IYY_tgx_IHuhSq3AJ5eI5OnqOPBNLWSHKh2a30DoXe8/edit?usp=sharing"",""พังงา!J471"")"),86.0)</f>
        <v>86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IFERROR(__xludf.DUMMYFUNCTION("IMPORTRANGE(""https://docs.google.com/spreadsheets/d/1IYY_tgx_IHuhSq3AJ5eI5OnqOPBNLWSHKh2a30DoXe8/edit?usp=sharing"",""พังงา!I472"")"),0.0)</f>
        <v>0</v>
      </c>
      <c r="J577" s="223">
        <f>IFERROR(__xludf.DUMMYFUNCTION("IMPORTRANGE(""https://docs.google.com/spreadsheets/d/1IYY_tgx_IHuhSq3AJ5eI5OnqOPBNLWSHKh2a30DoXe8/edit?usp=sharing"",""พังงา!J472"")"),451.0)</f>
        <v>451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IFERROR(__xludf.DUMMYFUNCTION("IMPORTRANGE(""https://docs.google.com/spreadsheets/d/1IYY_tgx_IHuhSq3AJ5eI5OnqOPBNLWSHKh2a30DoXe8/edit?usp=sharing"",""พังงา!I473"")"),0.0)</f>
        <v>0</v>
      </c>
      <c r="J578" s="232">
        <f>IFERROR(__xludf.DUMMYFUNCTION("IMPORTRANGE(""https://docs.google.com/spreadsheets/d/1IYY_tgx_IHuhSq3AJ5eI5OnqOPBNLWSHKh2a30DoXe8/edit?usp=sharing"",""พังงา!J473"")"),0.0)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IFERROR(__xludf.DUMMYFUNCTION("IMPORTRANGE(""https://docs.google.com/spreadsheets/d/1IYY_tgx_IHuhSq3AJ5eI5OnqOPBNLWSHKh2a30DoXe8/edit?usp=sharing"",""พังงา!I474"")"),0.0)</f>
        <v>0</v>
      </c>
      <c r="J579" s="232">
        <f>IFERROR(__xludf.DUMMYFUNCTION("IMPORTRANGE(""https://docs.google.com/spreadsheets/d/1IYY_tgx_IHuhSq3AJ5eI5OnqOPBNLWSHKh2a30DoXe8/edit?usp=sharing"",""พังงา!J474"")"),0.0)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IFERROR(__xludf.DUMMYFUNCTION("IMPORTRANGE(""https://docs.google.com/spreadsheets/d/1IYY_tgx_IHuhSq3AJ5eI5OnqOPBNLWSHKh2a30DoXe8/edit?usp=sharing"",""พังงา!I475"")"),0.0)</f>
        <v>0</v>
      </c>
      <c r="J580" s="404">
        <f>IFERROR(__xludf.DUMMYFUNCTION("IMPORTRANGE(""https://docs.google.com/spreadsheets/d/1IYY_tgx_IHuhSq3AJ5eI5OnqOPBNLWSHKh2a30DoXe8/edit?usp=sharing"",""พังงา!J475"")"),0.0)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IFERROR(__xludf.DUMMYFUNCTION("IMPORTRANGE(""https://docs.google.com/spreadsheets/d/1IYY_tgx_IHuhSq3AJ5eI5OnqOPBNLWSHKh2a30DoXe8/edit?usp=sharing"",""พังงา!L475"")"),0.0)</f>
        <v>0</v>
      </c>
      <c r="M580" s="406"/>
      <c r="N580" s="406">
        <f>IFERROR(__xludf.DUMMYFUNCTION("IMPORTRANGE(""https://docs.google.com/spreadsheets/d/1IYY_tgx_IHuhSq3AJ5eI5OnqOPBNLWSHKh2a30DoXe8/edit?usp=sharing"",""พังงา!M475"")"),0.0)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IFERROR(__xludf.DUMMYFUNCTION("IMPORTRANGE(""https://docs.google.com/spreadsheets/d/1IYY_tgx_IHuhSq3AJ5eI5OnqOPBNLWSHKh2a30DoXe8/edit?usp=sharing"",""พังงา!L476"")"),0.0)</f>
        <v>0</v>
      </c>
      <c r="M581" s="197"/>
      <c r="N581" s="203">
        <f>IFERROR(__xludf.DUMMYFUNCTION("IMPORTRANGE(""https://docs.google.com/spreadsheets/d/1IYY_tgx_IHuhSq3AJ5eI5OnqOPBNLWSHKh2a30DoXe8/edit?usp=sharing"",""พังงา!M476"")"),0.0)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IFERROR(__xludf.DUMMYFUNCTION("IMPORTRANGE(""https://docs.google.com/spreadsheets/d/1IYY_tgx_IHuhSq3AJ5eI5OnqOPBNLWSHKh2a30DoXe8/edit?usp=sharing"",""พังงา!L477"")"),0.0)</f>
        <v>0</v>
      </c>
      <c r="M582" s="198"/>
      <c r="N582" s="203">
        <f>IFERROR(__xludf.DUMMYFUNCTION("IMPORTRANGE(""https://docs.google.com/spreadsheets/d/1IYY_tgx_IHuhSq3AJ5eI5OnqOPBNLWSHKh2a30DoXe8/edit?usp=sharing"",""พังงา!M477"")"),0.0)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IFERROR(__xludf.DUMMYFUNCTION("IMPORTRANGE(""https://docs.google.com/spreadsheets/d/1IYY_tgx_IHuhSq3AJ5eI5OnqOPBNLWSHKh2a30DoXe8/edit?usp=sharing"",""พังงา!L478"")"),0.0)</f>
        <v>0</v>
      </c>
      <c r="M583" s="203"/>
      <c r="N583" s="203">
        <f>IFERROR(__xludf.DUMMYFUNCTION("IMPORTRANGE(""https://docs.google.com/spreadsheets/d/1IYY_tgx_IHuhSq3AJ5eI5OnqOPBNLWSHKh2a30DoXe8/edit?usp=sharing"",""พังงา!M478"")"),0.0)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IFERROR(__xludf.DUMMYFUNCTION("IMPORTRANGE(""https://docs.google.com/spreadsheets/d/1IYY_tgx_IHuhSq3AJ5eI5OnqOPBNLWSHKh2a30DoXe8/edit?usp=sharing"",""พังงา!L479"")"),0.0)</f>
        <v>0</v>
      </c>
      <c r="M584" s="203"/>
      <c r="N584" s="203">
        <f>IFERROR(__xludf.DUMMYFUNCTION("IMPORTRANGE(""https://docs.google.com/spreadsheets/d/1IYY_tgx_IHuhSq3AJ5eI5OnqOPBNLWSHKh2a30DoXe8/edit?usp=sharing"",""พังงา!M479"")"),0.0)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IFERROR(__xludf.DUMMYFUNCTION("IMPORTRANGE(""https://docs.google.com/spreadsheets/d/1IYY_tgx_IHuhSq3AJ5eI5OnqOPBNLWSHKh2a30DoXe8/edit?usp=sharing"",""พังงา!M480"")"),0.0)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IFERROR(__xludf.DUMMYFUNCTION("IMPORTRANGE(""https://docs.google.com/spreadsheets/d/1IYY_tgx_IHuhSq3AJ5eI5OnqOPBNLWSHKh2a30DoXe8/edit?usp=sharing"",""พังงา!M481"")"),0.0)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IFERROR(__xludf.DUMMYFUNCTION("IMPORTRANGE(""https://docs.google.com/spreadsheets/d/1IYY_tgx_IHuhSq3AJ5eI5OnqOPBNLWSHKh2a30DoXe8/edit?usp=sharing"",""พังงา!M482"")"),0.0)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IFERROR(__xludf.DUMMYFUNCTION("IMPORTRANGE(""https://docs.google.com/spreadsheets/d/1IYY_tgx_IHuhSq3AJ5eI5OnqOPBNLWSHKh2a30DoXe8/edit?usp=sharing"",""พังงา!M483"")"),0.0)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IFERROR(__xludf.DUMMYFUNCTION("IMPORTRANGE(""https://docs.google.com/spreadsheets/d/1IYY_tgx_IHuhSq3AJ5eI5OnqOPBNLWSHKh2a30DoXe8/edit?usp=sharing"",""พังงา!I484"")"),0.0)</f>
        <v>0</v>
      </c>
      <c r="J589" s="222">
        <f>IFERROR(__xludf.DUMMYFUNCTION("IMPORTRANGE(""https://docs.google.com/spreadsheets/d/1IYY_tgx_IHuhSq3AJ5eI5OnqOPBNLWSHKh2a30DoXe8/edit?usp=sharing"",""พังงา!J484"")"),0.0)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IFERROR(__xludf.DUMMYFUNCTION("IMPORTRANGE(""https://docs.google.com/spreadsheets/d/1IYY_tgx_IHuhSq3AJ5eI5OnqOPBNLWSHKh2a30DoXe8/edit?usp=sharing"",""พังงา!I485"")"),0.0)</f>
        <v>0</v>
      </c>
      <c r="J590" s="222">
        <f>IFERROR(__xludf.DUMMYFUNCTION("IMPORTRANGE(""https://docs.google.com/spreadsheets/d/1IYY_tgx_IHuhSq3AJ5eI5OnqOPBNLWSHKh2a30DoXe8/edit?usp=sharing"",""พังงา!J485"")"),0.0)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IFERROR(__xludf.DUMMYFUNCTION("IMPORTRANGE(""https://docs.google.com/spreadsheets/d/1IYY_tgx_IHuhSq3AJ5eI5OnqOPBNLWSHKh2a30DoXe8/edit?usp=sharing"",""พังงา!I486"")"),0.0)</f>
        <v>0</v>
      </c>
      <c r="J591" s="222">
        <f>IFERROR(__xludf.DUMMYFUNCTION("IMPORTRANGE(""https://docs.google.com/spreadsheets/d/1IYY_tgx_IHuhSq3AJ5eI5OnqOPBNLWSHKh2a30DoXe8/edit?usp=sharing"",""พังงา!J486"")"),0.0)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IFERROR(__xludf.DUMMYFUNCTION("IMPORTRANGE(""https://docs.google.com/spreadsheets/d/1IYY_tgx_IHuhSq3AJ5eI5OnqOPBNLWSHKh2a30DoXe8/edit?usp=sharing"",""พังงา!I487"")"),0.0)</f>
        <v>0</v>
      </c>
      <c r="J592" s="222">
        <f>IFERROR(__xludf.DUMMYFUNCTION("IMPORTRANGE(""https://docs.google.com/spreadsheets/d/1IYY_tgx_IHuhSq3AJ5eI5OnqOPBNLWSHKh2a30DoXe8/edit?usp=sharing"",""พังงา!J487"")"),0.0)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IFERROR(__xludf.DUMMYFUNCTION("IMPORTRANGE(""https://docs.google.com/spreadsheets/d/1IYY_tgx_IHuhSq3AJ5eI5OnqOPBNLWSHKh2a30DoXe8/edit?usp=sharing"",""พังงา!I488"")"),0.0)</f>
        <v>0</v>
      </c>
      <c r="J593" s="222">
        <f>IFERROR(__xludf.DUMMYFUNCTION("IMPORTRANGE(""https://docs.google.com/spreadsheets/d/1IYY_tgx_IHuhSq3AJ5eI5OnqOPBNLWSHKh2a30DoXe8/edit?usp=sharing"",""พังงา!J488"")"),0.0)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IFERROR(__xludf.DUMMYFUNCTION("IMPORTRANGE(""https://docs.google.com/spreadsheets/d/1IYY_tgx_IHuhSq3AJ5eI5OnqOPBNLWSHKh2a30DoXe8/edit?usp=sharing"",""พังงา!I489"")"),0.0)</f>
        <v>0</v>
      </c>
      <c r="J594" s="222">
        <f>IFERROR(__xludf.DUMMYFUNCTION("IMPORTRANGE(""https://docs.google.com/spreadsheets/d/1IYY_tgx_IHuhSq3AJ5eI5OnqOPBNLWSHKh2a30DoXe8/edit?usp=sharing"",""พังงา!J489"")"),0.0)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IFERROR(__xludf.DUMMYFUNCTION("IMPORTRANGE(""https://docs.google.com/spreadsheets/d/1IYY_tgx_IHuhSq3AJ5eI5OnqOPBNLWSHKh2a30DoXe8/edit?usp=sharing"",""พังงา!I490"")"),0.0)</f>
        <v>0</v>
      </c>
      <c r="J595" s="222">
        <f>IFERROR(__xludf.DUMMYFUNCTION("IMPORTRANGE(""https://docs.google.com/spreadsheets/d/1IYY_tgx_IHuhSq3AJ5eI5OnqOPBNLWSHKh2a30DoXe8/edit?usp=sharing"",""พังงา!J490"")"),0.0)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IFERROR(__xludf.DUMMYFUNCTION("IMPORTRANGE(""https://docs.google.com/spreadsheets/d/1IYY_tgx_IHuhSq3AJ5eI5OnqOPBNLWSHKh2a30DoXe8/edit?usp=sharing"",""พังงา!I491"")"),0.0)</f>
        <v>0</v>
      </c>
      <c r="J596" s="275">
        <f>IFERROR(__xludf.DUMMYFUNCTION("IMPORTRANGE(""https://docs.google.com/spreadsheets/d/1IYY_tgx_IHuhSq3AJ5eI5OnqOPBNLWSHKh2a30DoXe8/edit?usp=sharing"",""พังงา!J491"")"),0.0)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IFERROR(__xludf.DUMMYFUNCTION("IMPORTRANGE(""https://docs.google.com/spreadsheets/d/1IYY_tgx_IHuhSq3AJ5eI5OnqOPBNLWSHKh2a30DoXe8/edit?usp=sharing"",""พังงา!I492"")"),50.0)</f>
        <v>50</v>
      </c>
      <c r="J597" s="520">
        <f>IFERROR(__xludf.DUMMYFUNCTION("IMPORTRANGE(""https://docs.google.com/spreadsheets/d/1IYY_tgx_IHuhSq3AJ5eI5OnqOPBNLWSHKh2a30DoXe8/edit?usp=sharing"",""พังงา!J492"")"),0.0)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IFERROR(__xludf.DUMMYFUNCTION("IMPORTRANGE(""https://docs.google.com/spreadsheets/d/1IYY_tgx_IHuhSq3AJ5eI5OnqOPBNLWSHKh2a30DoXe8/edit?usp=sharing"",""พังงา!L492"")"),5350.0)</f>
        <v>5350</v>
      </c>
      <c r="M597" s="445"/>
      <c r="N597" s="445">
        <f>IFERROR(__xludf.DUMMYFUNCTION("IMPORTRANGE(""https://docs.google.com/spreadsheets/d/1IYY_tgx_IHuhSq3AJ5eI5OnqOPBNLWSHKh2a30DoXe8/edit?usp=sharing"",""พังงา!M492"")"),1920.0)</f>
        <v>1920</v>
      </c>
      <c r="O597" s="445">
        <f t="shared" ref="O597:O601" si="127">+IF(L597&gt;0,N597*100/L597,0)</f>
        <v>35.88785047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IFERROR(__xludf.DUMMYFUNCTION("IMPORTRANGE(""https://docs.google.com/spreadsheets/d/1IYY_tgx_IHuhSq3AJ5eI5OnqOPBNLWSHKh2a30DoXe8/edit?usp=sharing"",""พังงา!L493"")"),0.0)</f>
        <v>0</v>
      </c>
      <c r="M598" s="197"/>
      <c r="N598" s="203">
        <f>IFERROR(__xludf.DUMMYFUNCTION("IMPORTRANGE(""https://docs.google.com/spreadsheets/d/1IYY_tgx_IHuhSq3AJ5eI5OnqOPBNLWSHKh2a30DoXe8/edit?usp=sharing"",""พังงา!M493"")"),0.0)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IFERROR(__xludf.DUMMYFUNCTION("IMPORTRANGE(""https://docs.google.com/spreadsheets/d/1IYY_tgx_IHuhSq3AJ5eI5OnqOPBNLWSHKh2a30DoXe8/edit?usp=sharing"",""พังงา!L494"")"),5350.0)</f>
        <v>5350</v>
      </c>
      <c r="M599" s="198"/>
      <c r="N599" s="203">
        <f>IFERROR(__xludf.DUMMYFUNCTION("IMPORTRANGE(""https://docs.google.com/spreadsheets/d/1IYY_tgx_IHuhSq3AJ5eI5OnqOPBNLWSHKh2a30DoXe8/edit?usp=sharing"",""พังงา!M494"")"),1920.0)</f>
        <v>1920</v>
      </c>
      <c r="O599" s="203">
        <f t="shared" si="127"/>
        <v>35.88785047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IFERROR(__xludf.DUMMYFUNCTION("IMPORTRANGE(""https://docs.google.com/spreadsheets/d/1IYY_tgx_IHuhSq3AJ5eI5OnqOPBNLWSHKh2a30DoXe8/edit?usp=sharing"",""พังงา!L495"")"),0.0)</f>
        <v>0</v>
      </c>
      <c r="M600" s="203"/>
      <c r="N600" s="203">
        <f>IFERROR(__xludf.DUMMYFUNCTION("IMPORTRANGE(""https://docs.google.com/spreadsheets/d/1IYY_tgx_IHuhSq3AJ5eI5OnqOPBNLWSHKh2a30DoXe8/edit?usp=sharing"",""พังงา!M495"")"),0.0)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IFERROR(__xludf.DUMMYFUNCTION("IMPORTRANGE(""https://docs.google.com/spreadsheets/d/1IYY_tgx_IHuhSq3AJ5eI5OnqOPBNLWSHKh2a30DoXe8/edit?usp=sharing"",""พังงา!L496"")"),5350.0)</f>
        <v>5350</v>
      </c>
      <c r="M601" s="203"/>
      <c r="N601" s="203">
        <f>IFERROR(__xludf.DUMMYFUNCTION("IMPORTRANGE(""https://docs.google.com/spreadsheets/d/1IYY_tgx_IHuhSq3AJ5eI5OnqOPBNLWSHKh2a30DoXe8/edit?usp=sharing"",""พังงา!M496"")"),1920.0)</f>
        <v>1920</v>
      </c>
      <c r="O601" s="203">
        <f t="shared" si="127"/>
        <v>35.88785047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IFERROR(__xludf.DUMMYFUNCTION("IMPORTRANGE(""https://docs.google.com/spreadsheets/d/1IYY_tgx_IHuhSq3AJ5eI5OnqOPBNLWSHKh2a30DoXe8/edit?usp=sharing"",""พังงา!M497"")"),0.0)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IFERROR(__xludf.DUMMYFUNCTION("IMPORTRANGE(""https://docs.google.com/spreadsheets/d/1IYY_tgx_IHuhSq3AJ5eI5OnqOPBNLWSHKh2a30DoXe8/edit?usp=sharing"",""พังงา!M498"")"),0.0)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IFERROR(__xludf.DUMMYFUNCTION("IMPORTRANGE(""https://docs.google.com/spreadsheets/d/1IYY_tgx_IHuhSq3AJ5eI5OnqOPBNLWSHKh2a30DoXe8/edit?usp=sharing"",""พังงา!M499"")"),0.0)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IFERROR(__xludf.DUMMYFUNCTION("IMPORTRANGE(""https://docs.google.com/spreadsheets/d/1IYY_tgx_IHuhSq3AJ5eI5OnqOPBNLWSHKh2a30DoXe8/edit?usp=sharing"",""พังงา!M500"")"),1920.0)</f>
        <v>1920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IFERROR(__xludf.DUMMYFUNCTION("IMPORTRANGE(""https://docs.google.com/spreadsheets/d/1IYY_tgx_IHuhSq3AJ5eI5OnqOPBNLWSHKh2a30DoXe8/edit?usp=sharing"",""พังงา!J502"")"),0.0)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IFERROR(__xludf.DUMMYFUNCTION("IMPORTRANGE(""https://docs.google.com/spreadsheets/d/1IYY_tgx_IHuhSq3AJ5eI5OnqOPBNLWSHKh2a30DoXe8/edit?usp=sharing"",""พังงา!J503"")"),1.0)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IFERROR(__xludf.DUMMYFUNCTION("IMPORTRANGE(""https://docs.google.com/spreadsheets/d/1IYY_tgx_IHuhSq3AJ5eI5OnqOPBNLWSHKh2a30DoXe8/edit?usp=sharing"",""พังงา!J166"")"),0.0)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IFERROR(__xludf.DUMMYFUNCTION("IMPORTRANGE(""https://docs.google.com/spreadsheets/d/1IYY_tgx_IHuhSq3AJ5eI5OnqOPBNLWSHKh2a30DoXe8/edit?usp=sharing"",""พังงา!J166"")"),0.0)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IFERROR(__xludf.DUMMYFUNCTION("IMPORTRANGE(""https://docs.google.com/spreadsheets/d/1IYY_tgx_IHuhSq3AJ5eI5OnqOPBNLWSHKh2a30DoXe8/edit?usp=sharing"",""พังงา!I506"")"),50.0)</f>
        <v>50</v>
      </c>
      <c r="J611" s="195">
        <f>IFERROR(__xludf.DUMMYFUNCTION("IMPORTRANGE(""https://docs.google.com/spreadsheets/d/1IYY_tgx_IHuhSq3AJ5eI5OnqOPBNLWSHKh2a30DoXe8/edit?usp=sharing"",""พังงา!J506"")"),0.0)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IFERROR(__xludf.DUMMYFUNCTION("IMPORTRANGE(""https://docs.google.com/spreadsheets/d/1IYY_tgx_IHuhSq3AJ5eI5OnqOPBNLWSHKh2a30DoXe8/edit?usp=sharing"",""พังงา!I507"")"),0.0)</f>
        <v>0</v>
      </c>
      <c r="J612" s="232">
        <f>IFERROR(__xludf.DUMMYFUNCTION("IMPORTRANGE(""https://docs.google.com/spreadsheets/d/1IYY_tgx_IHuhSq3AJ5eI5OnqOPBNLWSHKh2a30DoXe8/edit?usp=sharing"",""พังงา!J507"")"),0.0)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IFERROR(__xludf.DUMMYFUNCTION("IMPORTRANGE(""https://docs.google.com/spreadsheets/d/1IYY_tgx_IHuhSq3AJ5eI5OnqOPBNLWSHKh2a30DoXe8/edit?usp=sharing"",""พังงา!I508"")"),0.0)</f>
        <v>0</v>
      </c>
      <c r="J613" s="232">
        <f>IFERROR(__xludf.DUMMYFUNCTION("IMPORTRANGE(""https://docs.google.com/spreadsheets/d/1IYY_tgx_IHuhSq3AJ5eI5OnqOPBNLWSHKh2a30DoXe8/edit?usp=sharing"",""พังงา!J508"")"),0.0)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IFERROR(__xludf.DUMMYFUNCTION("IMPORTRANGE(""https://docs.google.com/spreadsheets/d/1IYY_tgx_IHuhSq3AJ5eI5OnqOPBNLWSHKh2a30DoXe8/edit?usp=sharing"",""พังงา!I509"")"),0.0)</f>
        <v>0</v>
      </c>
      <c r="J614" s="232">
        <f>IFERROR(__xludf.DUMMYFUNCTION("IMPORTRANGE(""https://docs.google.com/spreadsheets/d/1IYY_tgx_IHuhSq3AJ5eI5OnqOPBNLWSHKh2a30DoXe8/edit?usp=sharing"",""พังงา!J509"")"),0.0)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IFERROR(__xludf.DUMMYFUNCTION("IMPORTRANGE(""https://docs.google.com/spreadsheets/d/1IYY_tgx_IHuhSq3AJ5eI5OnqOPBNLWSHKh2a30DoXe8/edit?usp=sharing"",""พังงา!I510"")"),0.0)</f>
        <v>0</v>
      </c>
      <c r="J615" s="232">
        <f>IFERROR(__xludf.DUMMYFUNCTION("IMPORTRANGE(""https://docs.google.com/spreadsheets/d/1IYY_tgx_IHuhSq3AJ5eI5OnqOPBNLWSHKh2a30DoXe8/edit?usp=sharing"",""พังงา!J510"")"),0.0)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IFERROR(__xludf.DUMMYFUNCTION("IMPORTRANGE(""https://docs.google.com/spreadsheets/d/1IYY_tgx_IHuhSq3AJ5eI5OnqOPBNLWSHKh2a30DoXe8/edit?usp=sharing"",""พังงา!I511"")"),0.0)</f>
        <v>0</v>
      </c>
      <c r="J616" s="232">
        <f>IFERROR(__xludf.DUMMYFUNCTION("IMPORTRANGE(""https://docs.google.com/spreadsheets/d/1IYY_tgx_IHuhSq3AJ5eI5OnqOPBNLWSHKh2a30DoXe8/edit?usp=sharing"",""พังงา!J511"")"),0.0)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IFERROR(__xludf.DUMMYFUNCTION("IMPORTRANGE(""https://docs.google.com/spreadsheets/d/1IYY_tgx_IHuhSq3AJ5eI5OnqOPBNLWSHKh2a30DoXe8/edit?usp=sharing"",""พังงา!I512"")"),0.0)</f>
        <v>0</v>
      </c>
      <c r="J617" s="222">
        <f>IFERROR(__xludf.DUMMYFUNCTION("IMPORTRANGE(""https://docs.google.com/spreadsheets/d/1IYY_tgx_IHuhSq3AJ5eI5OnqOPBNLWSHKh2a30DoXe8/edit?usp=sharing"",""พังงา!J512"")"),0.0)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IFERROR(__xludf.DUMMYFUNCTION("IMPORTRANGE(""https://docs.google.com/spreadsheets/d/1IYY_tgx_IHuhSq3AJ5eI5OnqOPBNLWSHKh2a30DoXe8/edit?usp=sharing"",""พังงา!I513"")"),0.0)</f>
        <v>0</v>
      </c>
      <c r="J618" s="223">
        <f>IFERROR(__xludf.DUMMYFUNCTION("IMPORTRANGE(""https://docs.google.com/spreadsheets/d/1IYY_tgx_IHuhSq3AJ5eI5OnqOPBNLWSHKh2a30DoXe8/edit?usp=sharing"",""พังงา!J513"")"),0.0)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IFERROR(__xludf.DUMMYFUNCTION("IMPORTRANGE(""https://docs.google.com/spreadsheets/d/1IYY_tgx_IHuhSq3AJ5eI5OnqOPBNLWSHKh2a30DoXe8/edit?usp=sharing"",""พังงา!I514"")"),0.0)</f>
        <v>0</v>
      </c>
      <c r="J619" s="223">
        <f>IFERROR(__xludf.DUMMYFUNCTION("IMPORTRANGE(""https://docs.google.com/spreadsheets/d/1IYY_tgx_IHuhSq3AJ5eI5OnqOPBNLWSHKh2a30DoXe8/edit?usp=sharing"",""พังงา!J514"")"),0.0)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IFERROR(__xludf.DUMMYFUNCTION("IMPORTRANGE(""https://docs.google.com/spreadsheets/d/1IYY_tgx_IHuhSq3AJ5eI5OnqOPBNLWSHKh2a30DoXe8/edit?usp=sharing"",""พังงา!I515"")"),0.0)</f>
        <v>0</v>
      </c>
      <c r="J620" s="237">
        <f>IFERROR(__xludf.DUMMYFUNCTION("IMPORTRANGE(""https://docs.google.com/spreadsheets/d/1IYY_tgx_IHuhSq3AJ5eI5OnqOPBNLWSHKh2a30DoXe8/edit?usp=sharing"",""พังงา!J515"")"),0.0)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IFERROR(__xludf.DUMMYFUNCTION("IMPORTRANGE(""https://docs.google.com/spreadsheets/d/1IYY_tgx_IHuhSq3AJ5eI5OnqOPBNLWSHKh2a30DoXe8/edit?usp=sharing"",""พังงา!I516"")"),0.0)</f>
        <v>0</v>
      </c>
      <c r="J621" s="237">
        <f>IFERROR(__xludf.DUMMYFUNCTION("IMPORTRANGE(""https://docs.google.com/spreadsheets/d/1IYY_tgx_IHuhSq3AJ5eI5OnqOPBNLWSHKh2a30DoXe8/edit?usp=sharing"",""พังงา!J516"")"),0.0)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IFERROR(__xludf.DUMMYFUNCTION("IMPORTRANGE(""https://docs.google.com/spreadsheets/d/1IYY_tgx_IHuhSq3AJ5eI5OnqOPBNLWSHKh2a30DoXe8/edit?usp=sharing"",""พังงา!I517"")"),0.0)</f>
        <v>0</v>
      </c>
      <c r="J622" s="223">
        <f>IFERROR(__xludf.DUMMYFUNCTION("IMPORTRANGE(""https://docs.google.com/spreadsheets/d/1IYY_tgx_IHuhSq3AJ5eI5OnqOPBNLWSHKh2a30DoXe8/edit?usp=sharing"",""พังงา!J517"")"),0.0)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IFERROR(__xludf.DUMMYFUNCTION("IMPORTRANGE(""https://docs.google.com/spreadsheets/d/1IYY_tgx_IHuhSq3AJ5eI5OnqOPBNLWSHKh2a30DoXe8/edit?usp=sharing"",""พังงา!I518"")"),0.0)</f>
        <v>0</v>
      </c>
      <c r="J623" s="223">
        <f>IFERROR(__xludf.DUMMYFUNCTION("IMPORTRANGE(""https://docs.google.com/spreadsheets/d/1IYY_tgx_IHuhSq3AJ5eI5OnqOPBNLWSHKh2a30DoXe8/edit?usp=sharing"",""พังงา!J518"")"),0.0)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IFERROR(__xludf.DUMMYFUNCTION("IMPORTRANGE(""https://docs.google.com/spreadsheets/d/1IYY_tgx_IHuhSq3AJ5eI5OnqOPBNLWSHKh2a30DoXe8/edit?usp=sharing"",""พังงา!I519"")"),0.0)</f>
        <v>0</v>
      </c>
      <c r="J624" s="222">
        <f>IFERROR(__xludf.DUMMYFUNCTION("IMPORTRANGE(""https://docs.google.com/spreadsheets/d/1IYY_tgx_IHuhSq3AJ5eI5OnqOPBNLWSHKh2a30DoXe8/edit?usp=sharing"",""พังงา!J519"")"),0.0)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IFERROR(__xludf.DUMMYFUNCTION("IMPORTRANGE(""https://docs.google.com/spreadsheets/d/1IYY_tgx_IHuhSq3AJ5eI5OnqOPBNLWSHKh2a30DoXe8/edit?usp=sharing"",""พังงา!I520"")"),0.0)</f>
        <v>0</v>
      </c>
      <c r="J625" s="223">
        <f>IFERROR(__xludf.DUMMYFUNCTION("IMPORTRANGE(""https://docs.google.com/spreadsheets/d/1IYY_tgx_IHuhSq3AJ5eI5OnqOPBNLWSHKh2a30DoXe8/edit?usp=sharing"",""พังงา!J520"")"),0.0)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IFERROR(__xludf.DUMMYFUNCTION("IMPORTRANGE(""https://docs.google.com/spreadsheets/d/1IYY_tgx_IHuhSq3AJ5eI5OnqOPBNLWSHKh2a30DoXe8/edit?usp=sharing"",""พังงา!I521"")"),0.0)</f>
        <v>0</v>
      </c>
      <c r="J626" s="223">
        <f>IFERROR(__xludf.DUMMYFUNCTION("IMPORTRANGE(""https://docs.google.com/spreadsheets/d/1IYY_tgx_IHuhSq3AJ5eI5OnqOPBNLWSHKh2a30DoXe8/edit?usp=sharing"",""พังงา!J521"")"),0.0)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IFERROR(__xludf.DUMMYFUNCTION("IMPORTRANGE(""https://docs.google.com/spreadsheets/d/1IYY_tgx_IHuhSq3AJ5eI5OnqOPBNLWSHKh2a30DoXe8/edit?usp=sharing"",""พังงา!I523"")"),1201269.01)</f>
        <v>1201269.01</v>
      </c>
      <c r="J628" s="374">
        <f>IFERROR(__xludf.DUMMYFUNCTION("IMPORTRANGE(""https://docs.google.com/spreadsheets/d/1IYY_tgx_IHuhSq3AJ5eI5OnqOPBNLWSHKh2a30DoXe8/edit?usp=sharing"",""พังงา!J523"")"),500811.6)</f>
        <v>500811.6</v>
      </c>
      <c r="K628" s="375">
        <f t="shared" ref="K628:K635" si="130">IF(I628&gt;0,J628*100/I628,0)</f>
        <v>41.69021225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IFERROR(__xludf.DUMMYFUNCTION("IMPORTRANGE(""https://docs.google.com/spreadsheets/d/1IYY_tgx_IHuhSq3AJ5eI5OnqOPBNLWSHKh2a30DoXe8/edit?usp=sharing"",""พังงา!I524"")"),91.0)</f>
        <v>91</v>
      </c>
      <c r="J629" s="374">
        <f>IFERROR(__xludf.DUMMYFUNCTION("IMPORTRANGE(""https://docs.google.com/spreadsheets/d/1IYY_tgx_IHuhSq3AJ5eI5OnqOPBNLWSHKh2a30DoXe8/edit?usp=sharing"",""พังงา!J524"")"),37.0)</f>
        <v>37</v>
      </c>
      <c r="K629" s="375">
        <f t="shared" si="130"/>
        <v>40.65934066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IFERROR(__xludf.DUMMYFUNCTION("IMPORTRANGE(""https://docs.google.com/spreadsheets/d/1IYY_tgx_IHuhSq3AJ5eI5OnqOPBNLWSHKh2a30DoXe8/edit?usp=sharing"",""พังงา!I525"")"),363408.27)</f>
        <v>363408.27</v>
      </c>
      <c r="J630" s="374">
        <f>IFERROR(__xludf.DUMMYFUNCTION("IMPORTRANGE(""https://docs.google.com/spreadsheets/d/1IYY_tgx_IHuhSq3AJ5eI5OnqOPBNLWSHKh2a30DoXe8/edit?usp=sharing"",""พังงา!J525"")"),54731.35)</f>
        <v>54731.35</v>
      </c>
      <c r="K630" s="375">
        <f t="shared" si="130"/>
        <v>15.0605681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IFERROR(__xludf.DUMMYFUNCTION("IMPORTRANGE(""https://docs.google.com/spreadsheets/d/1IYY_tgx_IHuhSq3AJ5eI5OnqOPBNLWSHKh2a30DoXe8/edit?usp=sharing"",""พังงา!I526"")"),15.0)</f>
        <v>15</v>
      </c>
      <c r="J631" s="374">
        <f>IFERROR(__xludf.DUMMYFUNCTION("IMPORTRANGE(""https://docs.google.com/spreadsheets/d/1IYY_tgx_IHuhSq3AJ5eI5OnqOPBNLWSHKh2a30DoXe8/edit?usp=sharing"",""พังงา!J526"")"),13.0)</f>
        <v>13</v>
      </c>
      <c r="K631" s="375">
        <f t="shared" si="130"/>
        <v>86.66666667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IFERROR(__xludf.DUMMYFUNCTION("IMPORTRANGE(""https://docs.google.com/spreadsheets/d/1IYY_tgx_IHuhSq3AJ5eI5OnqOPBNLWSHKh2a30DoXe8/edit?usp=sharing"",""พังงา!I527"")"),17992.36)</f>
        <v>17992.36</v>
      </c>
      <c r="J632" s="374">
        <f>IFERROR(__xludf.DUMMYFUNCTION("IMPORTRANGE(""https://docs.google.com/spreadsheets/d/1IYY_tgx_IHuhSq3AJ5eI5OnqOPBNLWSHKh2a30DoXe8/edit?usp=sharing"",""พังงา!J527"")"),0.0)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IFERROR(__xludf.DUMMYFUNCTION("IMPORTRANGE(""https://docs.google.com/spreadsheets/d/1IYY_tgx_IHuhSq3AJ5eI5OnqOPBNLWSHKh2a30DoXe8/edit?usp=sharing"",""พังงา!I528"")"),49.0)</f>
        <v>49</v>
      </c>
      <c r="J633" s="374">
        <f>IFERROR(__xludf.DUMMYFUNCTION("IMPORTRANGE(""https://docs.google.com/spreadsheets/d/1IYY_tgx_IHuhSq3AJ5eI5OnqOPBNLWSHKh2a30DoXe8/edit?usp=sharing"",""พังงา!J528"")"),0.0)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IFERROR(__xludf.DUMMYFUNCTION("IMPORTRANGE(""https://docs.google.com/spreadsheets/d/1IYY_tgx_IHuhSq3AJ5eI5OnqOPBNLWSHKh2a30DoXe8/edit?usp=sharing"",""พังงา!I529"")"),600000.0)</f>
        <v>600000</v>
      </c>
      <c r="J634" s="374">
        <f>IFERROR(__xludf.DUMMYFUNCTION("IMPORTRANGE(""https://docs.google.com/spreadsheets/d/1IYY_tgx_IHuhSq3AJ5eI5OnqOPBNLWSHKh2a30DoXe8/edit?usp=sharing"",""พังงา!J529"")"),0.0)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IFERROR(__xludf.DUMMYFUNCTION("IMPORTRANGE(""https://docs.google.com/spreadsheets/d/1IYY_tgx_IHuhSq3AJ5eI5OnqOPBNLWSHKh2a30DoXe8/edit?usp=sharing"",""พังงา!I530"")"),15.0)</f>
        <v>15</v>
      </c>
      <c r="J635" s="544">
        <f>IFERROR(__xludf.DUMMYFUNCTION("IMPORTRANGE(""https://docs.google.com/spreadsheets/d/1IYY_tgx_IHuhSq3AJ5eI5OnqOPBNLWSHKh2a30DoXe8/edit?usp=sharing"",""พังงา!J530"")"),0.0)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254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4564662</v>
      </c>
      <c r="M8" s="41">
        <f t="shared" si="1"/>
        <v>1483915</v>
      </c>
      <c r="N8" s="41">
        <f t="shared" si="1"/>
        <v>1480726.27</v>
      </c>
      <c r="O8" s="40">
        <f t="shared" ref="O8:O16" si="3">IF(L8&gt;0,N8*100/L8,0)</f>
        <v>32.43890281</v>
      </c>
      <c r="P8" s="40">
        <f t="shared" ref="P8:P16" si="4">IF(M8&gt;0,N8*100/M8,0)</f>
        <v>99.7851137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4564662</v>
      </c>
      <c r="M10" s="48">
        <f t="shared" si="5"/>
        <v>1483915</v>
      </c>
      <c r="N10" s="48">
        <f t="shared" si="5"/>
        <v>1480726.27</v>
      </c>
      <c r="O10" s="47">
        <f t="shared" si="3"/>
        <v>32.43890281</v>
      </c>
      <c r="P10" s="47">
        <f t="shared" si="4"/>
        <v>99.7851137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4325262</v>
      </c>
      <c r="M12" s="58">
        <f t="shared" si="7"/>
        <v>1483915</v>
      </c>
      <c r="N12" s="58">
        <f t="shared" si="7"/>
        <v>1249326.27</v>
      </c>
      <c r="O12" s="58">
        <f t="shared" si="3"/>
        <v>28.88440677</v>
      </c>
      <c r="P12" s="58">
        <f t="shared" si="4"/>
        <v>84.19122861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1742900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2479362</v>
      </c>
      <c r="M14" s="58">
        <f t="shared" si="9"/>
        <v>0</v>
      </c>
      <c r="N14" s="58">
        <f t="shared" si="9"/>
        <v>271182.27</v>
      </c>
      <c r="O14" s="61">
        <f t="shared" si="3"/>
        <v>10.93758273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239400</v>
      </c>
      <c r="M16" s="58">
        <f t="shared" si="11"/>
        <v>0</v>
      </c>
      <c r="N16" s="58">
        <f t="shared" si="11"/>
        <v>231400</v>
      </c>
      <c r="O16" s="70">
        <f t="shared" si="3"/>
        <v>96.65831245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2904715</v>
      </c>
      <c r="M18" s="41">
        <f t="shared" si="12"/>
        <v>1483915</v>
      </c>
      <c r="N18" s="41">
        <f t="shared" si="12"/>
        <v>1209544</v>
      </c>
      <c r="O18" s="40">
        <f t="shared" ref="O18:O20" si="14">IF(L18&gt;0,N18*100/L18,0)</f>
        <v>41.64071174</v>
      </c>
      <c r="P18" s="40">
        <f t="shared" ref="P18:P26" si="15">IF(M18&gt;0,N18*100/M18,0)</f>
        <v>81.5103291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2904715</v>
      </c>
      <c r="M20" s="48">
        <f t="shared" si="16"/>
        <v>1483915</v>
      </c>
      <c r="N20" s="48">
        <f t="shared" si="16"/>
        <v>1209544</v>
      </c>
      <c r="O20" s="47">
        <f t="shared" si="14"/>
        <v>41.64071174</v>
      </c>
      <c r="P20" s="47">
        <f t="shared" si="15"/>
        <v>81.5103291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2665315</v>
      </c>
      <c r="M22" s="62">
        <f t="shared" si="18"/>
        <v>1483915</v>
      </c>
      <c r="N22" s="61">
        <f t="shared" si="18"/>
        <v>978144</v>
      </c>
      <c r="O22" s="61">
        <f t="shared" si="19"/>
        <v>36.69900181</v>
      </c>
      <c r="P22" s="61">
        <f t="shared" si="15"/>
        <v>65.916444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1742900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922415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239400</v>
      </c>
      <c r="M26" s="70">
        <f t="shared" si="23"/>
        <v>0</v>
      </c>
      <c r="N26" s="70">
        <f t="shared" si="23"/>
        <v>231400</v>
      </c>
      <c r="O26" s="70">
        <f t="shared" si="19"/>
        <v>96.65831245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1659947</v>
      </c>
      <c r="M28" s="41">
        <f t="shared" si="24"/>
        <v>0</v>
      </c>
      <c r="N28" s="41">
        <f t="shared" si="24"/>
        <v>271182.27</v>
      </c>
      <c r="O28" s="40">
        <f t="shared" ref="O28:O30" si="26">IF(L28&gt;0,N28*100/L28,0)</f>
        <v>16.33680292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1659947</v>
      </c>
      <c r="M30" s="48">
        <f t="shared" si="28"/>
        <v>0</v>
      </c>
      <c r="N30" s="48">
        <f t="shared" si="28"/>
        <v>271182.27</v>
      </c>
      <c r="O30" s="47">
        <f t="shared" si="26"/>
        <v>16.33680292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1659947</v>
      </c>
      <c r="M32" s="61">
        <f t="shared" si="30"/>
        <v>0</v>
      </c>
      <c r="N32" s="61">
        <f t="shared" si="30"/>
        <v>271182.27</v>
      </c>
      <c r="O32" s="61">
        <f t="shared" si="31"/>
        <v>16.33680292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1556947</v>
      </c>
      <c r="M34" s="61">
        <f t="shared" si="33"/>
        <v>0</v>
      </c>
      <c r="N34" s="61">
        <f t="shared" si="33"/>
        <v>271182.27</v>
      </c>
      <c r="O34" s="61">
        <f t="shared" si="31"/>
        <v>17.41756592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2904715</v>
      </c>
      <c r="M37" s="75">
        <f t="shared" si="34"/>
        <v>1483915</v>
      </c>
      <c r="N37" s="75">
        <f t="shared" si="34"/>
        <v>1209544</v>
      </c>
      <c r="O37" s="76">
        <f t="shared" si="31"/>
        <v>41.64071174</v>
      </c>
      <c r="P37" s="76">
        <f t="shared" si="27"/>
        <v>81.5103291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604100</v>
      </c>
      <c r="M41" s="102">
        <f t="shared" si="35"/>
        <v>302000</v>
      </c>
      <c r="N41" s="102">
        <f t="shared" si="35"/>
        <v>243759</v>
      </c>
      <c r="O41" s="101">
        <f t="shared" ref="O41:O43" si="37">IF(L41&gt;0,N41*100/L41,0)</f>
        <v>40.35076974</v>
      </c>
      <c r="P41" s="101">
        <f t="shared" ref="P41:P43" si="38">IF(M41&gt;0,N41*100/M41,0)</f>
        <v>80.71490066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604100</v>
      </c>
      <c r="M43" s="102">
        <f t="shared" si="39"/>
        <v>302000</v>
      </c>
      <c r="N43" s="102">
        <f t="shared" si="39"/>
        <v>243759</v>
      </c>
      <c r="O43" s="101">
        <f t="shared" si="37"/>
        <v>40.35076974</v>
      </c>
      <c r="P43" s="101">
        <f t="shared" si="38"/>
        <v>80.71490066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604100</v>
      </c>
      <c r="M45" s="115">
        <f>IFERROR(__xludf.DUMMYFUNCTION("IMPORTRANGE(""https://docs.google.com/spreadsheets/d/1Yj_ptqi66GCucihVvJfMjLAmec39IyEx_6qawtMGysU/edit?usp=sharing"",""สบก!Q88"")"),302000.0)</f>
        <v>302000</v>
      </c>
      <c r="N45" s="115">
        <f>IFERROR(__xludf.DUMMYFUNCTION("IMPORTRANGE(""https://docs.google.com/spreadsheets/d/1Yj_ptqi66GCucihVvJfMjLAmec39IyEx_6qawtMGysU/edit?usp=sharing"",""สบก!R88"")"),243759.0)</f>
        <v>243759</v>
      </c>
      <c r="O45" s="116">
        <f>IF(L45&gt;0,N45*100/L45,0)</f>
        <v>40.35076974</v>
      </c>
      <c r="P45" s="116">
        <f>IF(M45&gt;0,N45*100/M45,0)</f>
        <v>80.71490066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IFERROR(__xludf.DUMMYFUNCTION("IMPORTRANGE(""https://docs.google.com/spreadsheets/d/1Yj_ptqi66GCucihVvJfMjLAmec39IyEx_6qawtMGysU/edit?usp=sharing"",""สบก!M88"")"),604100.0)</f>
        <v>604100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IFERROR(__xludf.DUMMYFUNCTION("IMPORTRANGE(""https://docs.google.com/spreadsheets/d/1Yj_ptqi66GCucihVvJfMjLAmec39IyEx_6qawtMGysU/edit?usp=sharing"",""สบก!N88"")"),0.0)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IFERROR(__xludf.DUMMYFUNCTION("IMPORTRANGE(""https://docs.google.com/spreadsheets/d/1Yj_ptqi66GCucihVvJfMjLAmec39IyEx_6qawtMGysU/edit?usp=sharing"",""สบก!O88"")"),0.0)</f>
        <v>0</v>
      </c>
      <c r="M49" s="125"/>
      <c r="N49" s="115">
        <f>IFERROR(__xludf.DUMMYFUNCTION("IMPORTRANGE(""https://docs.google.com/spreadsheets/d/1Yj_ptqi66GCucihVvJfMjLAmec39IyEx_6qawtMGysU/edit?usp=sharing"",""สบก!S88"")"),0.0)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512600</v>
      </c>
      <c r="M53" s="151">
        <f t="shared" si="40"/>
        <v>265300</v>
      </c>
      <c r="N53" s="151">
        <f t="shared" si="40"/>
        <v>185578</v>
      </c>
      <c r="O53" s="150">
        <f t="shared" ref="O53:O55" si="42">IF(L53&gt;0,N53*100/L53,0)</f>
        <v>36.20327741</v>
      </c>
      <c r="P53" s="150">
        <f t="shared" ref="P53:P55" si="43">IF(M53&gt;0,N53*100/M53,0)</f>
        <v>69.95024501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512600</v>
      </c>
      <c r="M55" s="151">
        <f t="shared" si="44"/>
        <v>265300</v>
      </c>
      <c r="N55" s="151">
        <f t="shared" si="44"/>
        <v>185578</v>
      </c>
      <c r="O55" s="150">
        <f t="shared" si="42"/>
        <v>36.20327741</v>
      </c>
      <c r="P55" s="150">
        <f t="shared" si="43"/>
        <v>69.95024501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512600</v>
      </c>
      <c r="M57" s="115">
        <f>IFERROR(__xludf.DUMMYFUNCTION("IMPORTRANGE(""https://docs.google.com/spreadsheets/d/1Yj_ptqi66GCucihVvJfMjLAmec39IyEx_6qawtMGysU/edit?usp=sharing"",""สบก!Z88"")"),265300.0)</f>
        <v>265300</v>
      </c>
      <c r="N57" s="115">
        <f>IFERROR(__xludf.DUMMYFUNCTION("IMPORTRANGE(""https://docs.google.com/spreadsheets/d/1Yj_ptqi66GCucihVvJfMjLAmec39IyEx_6qawtMGysU/edit?usp=sharing"",""สบก!AA88"")"),185578.0)</f>
        <v>185578</v>
      </c>
      <c r="O57" s="116">
        <f>IF(L57&gt;0,N57*100/L57,0)</f>
        <v>36.20327741</v>
      </c>
      <c r="P57" s="116">
        <f>IF(M57&gt;0,N57*100/M57,0)</f>
        <v>69.95024501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IFERROR(__xludf.DUMMYFUNCTION("IMPORTRANGE(""https://docs.google.com/spreadsheets/d/1Yj_ptqi66GCucihVvJfMjLAmec39IyEx_6qawtMGysU/edit?usp=sharing"",""สบก!V88"")"),512600.0)</f>
        <v>512600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IFERROR(__xludf.DUMMYFUNCTION("IMPORTRANGE(""https://docs.google.com/spreadsheets/d/1Yj_ptqi66GCucihVvJfMjLAmec39IyEx_6qawtMGysU/edit?usp=sharing"",""สบก!W88"")"),0.0)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IFERROR(__xludf.DUMMYFUNCTION("IMPORTRANGE(""https://docs.google.com/spreadsheets/d/1Yj_ptqi66GCucihVvJfMjLAmec39IyEx_6qawtMGysU/edit?usp=sharing"",""สบก!X88"")"),0.0)</f>
        <v>0</v>
      </c>
      <c r="M61" s="125"/>
      <c r="N61" s="115">
        <f>IFERROR(__xludf.DUMMYFUNCTION("IMPORTRANGE(""https://docs.google.com/spreadsheets/d/1Yj_ptqi66GCucihVvJfMjLAmec39IyEx_6qawtMGysU/edit?usp=sharing"",""สบก!AB88"")"),0.0)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IFERROR(__xludf.DUMMYFUNCTION("IMPORTRANGE(""https://docs.google.com/spreadsheets/d/1IYY_tgx_IHuhSq3AJ5eI5OnqOPBNLWSHKh2a30DoXe8/edit?usp=sharing"",""พัทลุง!I9"")"),1.0)</f>
        <v>1</v>
      </c>
      <c r="J64" s="172">
        <f>IFERROR(__xludf.DUMMYFUNCTION("IMPORTRANGE(""https://docs.google.com/spreadsheets/d/1IYY_tgx_IHuhSq3AJ5eI5OnqOPBNLWSHKh2a30DoXe8/edit?usp=sharing"",""พัทลุง!J9"")"),1.0)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IFERROR(__xludf.DUMMYFUNCTION("IMPORTRANGE(""https://docs.google.com/spreadsheets/d/1IYY_tgx_IHuhSq3AJ5eI5OnqOPBNLWSHKh2a30DoXe8/edit?usp=sharing"",""พัทลุง!I10"")"),30.0)</f>
        <v>30</v>
      </c>
      <c r="J65" s="172">
        <f>IFERROR(__xludf.DUMMYFUNCTION("IMPORTRANGE(""https://docs.google.com/spreadsheets/d/1IYY_tgx_IHuhSq3AJ5eI5OnqOPBNLWSHKh2a30DoXe8/edit?usp=sharing"",""พัทลุง!J10"")"),30.0)</f>
        <v>30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580200</v>
      </c>
      <c r="M66" s="183">
        <f t="shared" si="46"/>
        <v>326720</v>
      </c>
      <c r="N66" s="183">
        <f t="shared" si="46"/>
        <v>218937</v>
      </c>
      <c r="O66" s="182">
        <f t="shared" ref="O66:O68" si="48">IF(L66&gt;0,N66*100/L66,0)</f>
        <v>37.73474664</v>
      </c>
      <c r="P66" s="182">
        <f t="shared" ref="P66:P68" si="49">IF(M66&gt;0,N66*100/M66,0)</f>
        <v>67.01059011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580200</v>
      </c>
      <c r="M68" s="188">
        <f t="shared" si="50"/>
        <v>326720</v>
      </c>
      <c r="N68" s="188">
        <f t="shared" si="50"/>
        <v>218937</v>
      </c>
      <c r="O68" s="187">
        <f t="shared" si="48"/>
        <v>37.73474664</v>
      </c>
      <c r="P68" s="187">
        <f t="shared" si="49"/>
        <v>67.01059011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580200</v>
      </c>
      <c r="M70" s="201">
        <f>IFERROR(__xludf.DUMMYFUNCTION("IMPORTRANGE(""https://docs.google.com/spreadsheets/d/1Yj_ptqi66GCucihVvJfMjLAmec39IyEx_6qawtMGysU/edit?usp=sharing"",""สบก!AI88"")"),326720.0)</f>
        <v>326720</v>
      </c>
      <c r="N70" s="202">
        <f>IFERROR(__xludf.DUMMYFUNCTION("IMPORTRANGE(""https://docs.google.com/spreadsheets/d/1Yj_ptqi66GCucihVvJfMjLAmec39IyEx_6qawtMGysU/edit?usp=sharing"",""สบก!AJ88"")"),218937.0)</f>
        <v>218937</v>
      </c>
      <c r="O70" s="203">
        <f>IF(L70&gt;0,N70*100/L70,0)</f>
        <v>37.73474664</v>
      </c>
      <c r="P70" s="203">
        <f>IF(M70&gt;0,N70*100/M70,0)</f>
        <v>67.01059011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IFERROR(__xludf.DUMMYFUNCTION("IMPORTRANGE(""https://docs.google.com/spreadsheets/d/1Yj_ptqi66GCucihVvJfMjLAmec39IyEx_6qawtMGysU/edit?usp=sharing"",""สบก!AE88"")"),188200.0)</f>
        <v>188200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IFERROR(__xludf.DUMMYFUNCTION("IMPORTRANGE(""https://docs.google.com/spreadsheets/d/1Yj_ptqi66GCucihVvJfMjLAmec39IyEx_6qawtMGysU/edit?usp=sharing"",""สบก!AF88"")"),392000.0)</f>
        <v>392000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IFERROR(__xludf.DUMMYFUNCTION("IMPORTRANGE(""https://docs.google.com/spreadsheets/d/1Yj_ptqi66GCucihVvJfMjLAmec39IyEx_6qawtMGysU/edit?usp=sharing"",""สบก!AG88"")"),0.0)</f>
        <v>0</v>
      </c>
      <c r="M74" s="125"/>
      <c r="N74" s="115">
        <f>IFERROR(__xludf.DUMMYFUNCTION("IMPORTRANGE(""https://docs.google.com/spreadsheets/d/1Yj_ptqi66GCucihVvJfMjLAmec39IyEx_6qawtMGysU/edit?usp=sharing"",""สบก!AK88"")"),0.0)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IFERROR(__xludf.DUMMYFUNCTION("IMPORTRANGE(""https://docs.google.com/spreadsheets/d/1IYY_tgx_IHuhSq3AJ5eI5OnqOPBNLWSHKh2a30DoXe8/edit?usp=sharing"",""พัทลุง!J16"")"),0.0)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IFERROR(__xludf.DUMMYFUNCTION("IMPORTRANGE(""https://docs.google.com/spreadsheets/d/1IYY_tgx_IHuhSq3AJ5eI5OnqOPBNLWSHKh2a30DoXe8/edit?usp=sharing"",""พัทลุง!J17"")"),1.0)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IFERROR(__xludf.DUMMYFUNCTION("IMPORTRANGE(""https://docs.google.com/spreadsheets/d/1IYY_tgx_IHuhSq3AJ5eI5OnqOPBNLWSHKh2a30DoXe8/edit?usp=sharing"",""พัทลุง!J18"")"),1.0)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IFERROR(__xludf.DUMMYFUNCTION("IMPORTRANGE(""https://docs.google.com/spreadsheets/d/1IYY_tgx_IHuhSq3AJ5eI5OnqOPBNLWSHKh2a30DoXe8/edit?usp=sharing"",""พัทลุง!J19"")"),1.0)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IFERROR(__xludf.DUMMYFUNCTION("IMPORTRANGE(""https://docs.google.com/spreadsheets/d/1IYY_tgx_IHuhSq3AJ5eI5OnqOPBNLWSHKh2a30DoXe8/edit?usp=sharing"",""พัทลุง!I20"")"),1.0)</f>
        <v>1</v>
      </c>
      <c r="J80" s="235">
        <f>IFERROR(__xludf.DUMMYFUNCTION("IMPORTRANGE(""https://docs.google.com/spreadsheets/d/1IYY_tgx_IHuhSq3AJ5eI5OnqOPBNLWSHKh2a30DoXe8/edit?usp=sharing"",""พัทลุง!J20"")"),1.0)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IFERROR(__xludf.DUMMYFUNCTION("IMPORTRANGE(""https://docs.google.com/spreadsheets/d/1IYY_tgx_IHuhSq3AJ5eI5OnqOPBNLWSHKh2a30DoXe8/edit?usp=sharing"",""พัทลุง!I21"")"),30.0)</f>
        <v>30</v>
      </c>
      <c r="J81" s="235">
        <f>IFERROR(__xludf.DUMMYFUNCTION("IMPORTRANGE(""https://docs.google.com/spreadsheets/d/1IYY_tgx_IHuhSq3AJ5eI5OnqOPBNLWSHKh2a30DoXe8/edit?usp=sharing"",""พัทลุง!J21"")"),30.0)</f>
        <v>30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IFERROR(__xludf.DUMMYFUNCTION("IMPORTRANGE(""https://docs.google.com/spreadsheets/d/1IYY_tgx_IHuhSq3AJ5eI5OnqOPBNLWSHKh2a30DoXe8/edit?usp=sharing"",""พัทลุง!I22"")"),1.0)</f>
        <v>1</v>
      </c>
      <c r="J82" s="238">
        <f>IFERROR(__xludf.DUMMYFUNCTION("IMPORTRANGE(""https://docs.google.com/spreadsheets/d/1IYY_tgx_IHuhSq3AJ5eI5OnqOPBNLWSHKh2a30DoXe8/edit?usp=sharing"",""พัทลุง!J22"")"),1.0)</f>
        <v>1</v>
      </c>
      <c r="K82" s="196">
        <f t="shared" si="51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IFERROR(__xludf.DUMMYFUNCTION("IMPORTRANGE(""https://docs.google.com/spreadsheets/d/1IYY_tgx_IHuhSq3AJ5eI5OnqOPBNLWSHKh2a30DoXe8/edit?usp=sharing"",""พัทลุง!I23"")"),30.0)</f>
        <v>30</v>
      </c>
      <c r="J83" s="238">
        <f>IFERROR(__xludf.DUMMYFUNCTION("IMPORTRANGE(""https://docs.google.com/spreadsheets/d/1IYY_tgx_IHuhSq3AJ5eI5OnqOPBNLWSHKh2a30DoXe8/edit?usp=sharing"",""พัทลุง!J23"")"),30.0)</f>
        <v>30</v>
      </c>
      <c r="K83" s="196">
        <f t="shared" si="51"/>
        <v>100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IFERROR(__xludf.DUMMYFUNCTION("IMPORTRANGE(""https://docs.google.com/spreadsheets/d/1IYY_tgx_IHuhSq3AJ5eI5OnqOPBNLWSHKh2a30DoXe8/edit?usp=sharing"",""พัทลุง!I24"")"),0.0)</f>
        <v>0</v>
      </c>
      <c r="J84" s="223">
        <f>IFERROR(__xludf.DUMMYFUNCTION("IMPORTRANGE(""https://docs.google.com/spreadsheets/d/1IYY_tgx_IHuhSq3AJ5eI5OnqOPBNLWSHKh2a30DoXe8/edit?usp=sharing"",""พัทลุง!J24"")"),0.0)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IFERROR(__xludf.DUMMYFUNCTION("IMPORTRANGE(""https://docs.google.com/spreadsheets/d/1IYY_tgx_IHuhSq3AJ5eI5OnqOPBNLWSHKh2a30DoXe8/edit?usp=sharing"",""พัทลุง!I25"")"),0.0)</f>
        <v>0</v>
      </c>
      <c r="J85" s="223">
        <f>IFERROR(__xludf.DUMMYFUNCTION("IMPORTRANGE(""https://docs.google.com/spreadsheets/d/1IYY_tgx_IHuhSq3AJ5eI5OnqOPBNLWSHKh2a30DoXe8/edit?usp=sharing"",""พัทลุง!J25"")"),0.0)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IFERROR(__xludf.DUMMYFUNCTION("IMPORTRANGE(""https://docs.google.com/spreadsheets/d/1IYY_tgx_IHuhSq3AJ5eI5OnqOPBNLWSHKh2a30DoXe8/edit?usp=sharing"",""พัทลุง!I26"")"),0.0)</f>
        <v>0</v>
      </c>
      <c r="J86" s="238">
        <f>IFERROR(__xludf.DUMMYFUNCTION("IMPORTRANGE(""https://docs.google.com/spreadsheets/d/1IYY_tgx_IHuhSq3AJ5eI5OnqOPBNLWSHKh2a30DoXe8/edit?usp=sharing"",""พัทลุง!J26"")"),0.0)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IFERROR(__xludf.DUMMYFUNCTION("IMPORTRANGE(""https://docs.google.com/spreadsheets/d/1IYY_tgx_IHuhSq3AJ5eI5OnqOPBNLWSHKh2a30DoXe8/edit?usp=sharing"",""พัทลุง!I27"")"),0.0)</f>
        <v>0</v>
      </c>
      <c r="J87" s="238">
        <f>IFERROR(__xludf.DUMMYFUNCTION("IMPORTRANGE(""https://docs.google.com/spreadsheets/d/1IYY_tgx_IHuhSq3AJ5eI5OnqOPBNLWSHKh2a30DoXe8/edit?usp=sharing"",""พัทลุง!J27"")"),0.0)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IFERROR(__xludf.DUMMYFUNCTION("IMPORTRANGE(""https://docs.google.com/spreadsheets/d/1IYY_tgx_IHuhSq3AJ5eI5OnqOPBNLWSHKh2a30DoXe8/edit?usp=sharing"",""พัทลุง!I28"")"),30.0)</f>
        <v>30</v>
      </c>
      <c r="J88" s="238">
        <f>IFERROR(__xludf.DUMMYFUNCTION("IMPORTRANGE(""https://docs.google.com/spreadsheets/d/1IYY_tgx_IHuhSq3AJ5eI5OnqOPBNLWSHKh2a30DoXe8/edit?usp=sharing"",""พัทลุง!J28"")"),0.0)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IFERROR(__xludf.DUMMYFUNCTION("IMPORTRANGE(""https://docs.google.com/spreadsheets/d/1IYY_tgx_IHuhSq3AJ5eI5OnqOPBNLWSHKh2a30DoXe8/edit?usp=sharing"",""พัทลุง!J29"")"),0.0)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IFERROR(__xludf.DUMMYFUNCTION("IMPORTRANGE(""https://docs.google.com/spreadsheets/d/1IYY_tgx_IHuhSq3AJ5eI5OnqOPBNLWSHKh2a30DoXe8/edit?usp=sharing"",""พัทลุง!J30"")"),0.0)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IFERROR(__xludf.DUMMYFUNCTION("IMPORTRANGE(""https://docs.google.com/spreadsheets/d/1IYY_tgx_IHuhSq3AJ5eI5OnqOPBNLWSHKh2a30DoXe8/edit?usp=sharing"",""พัทลุง!I32"")"),4.0)</f>
        <v>4</v>
      </c>
      <c r="J92" s="172">
        <f>IFERROR(__xludf.DUMMYFUNCTION("IMPORTRANGE(""https://docs.google.com/spreadsheets/d/1IYY_tgx_IHuhSq3AJ5eI5OnqOPBNLWSHKh2a30DoXe8/edit?usp=sharing"",""พัทลุง!J32"")"),0.0)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IFERROR(__xludf.DUMMYFUNCTION("IMPORTRANGE(""https://docs.google.com/spreadsheets/d/1IYY_tgx_IHuhSq3AJ5eI5OnqOPBNLWSHKh2a30DoXe8/edit?usp=sharing"",""พัทลุง!I33"")"),1.0)</f>
        <v>1</v>
      </c>
      <c r="J93" s="172">
        <f>IFERROR(__xludf.DUMMYFUNCTION("IMPORTRANGE(""https://docs.google.com/spreadsheets/d/1IYY_tgx_IHuhSq3AJ5eI5OnqOPBNLWSHKh2a30DoXe8/edit?usp=sharing"",""พัทลุง!J33"")"),1.0)</f>
        <v>1</v>
      </c>
      <c r="K93" s="173">
        <f t="shared" si="52"/>
        <v>100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103840</v>
      </c>
      <c r="O94" s="182">
        <f t="shared" ref="O94:O96" si="55">IF(L94&gt;0,N94*100/L94,0)</f>
        <v>48.41025641</v>
      </c>
      <c r="P94" s="182">
        <f t="shared" ref="P94:P96" si="56">IF(M94&gt;0,N94*100/M94,0)</f>
        <v>151.0839517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103840</v>
      </c>
      <c r="O96" s="187">
        <f t="shared" si="55"/>
        <v>48.41025641</v>
      </c>
      <c r="P96" s="187">
        <f t="shared" si="56"/>
        <v>151.0839517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IFERROR(__xludf.DUMMYFUNCTION("IMPORTRANGE(""https://docs.google.com/spreadsheets/d/1Yj_ptqi66GCucihVvJfMjLAmec39IyEx_6qawtMGysU/edit?usp=sharing"",""สบก!AR88"")"),68730.0)</f>
        <v>68730</v>
      </c>
      <c r="N98" s="202">
        <f>IFERROR(__xludf.DUMMYFUNCTION("IMPORTRANGE(""https://docs.google.com/spreadsheets/d/1Yj_ptqi66GCucihVvJfMjLAmec39IyEx_6qawtMGysU/edit?usp=sharing"",""สบก!AS88"")"),11440.0)</f>
        <v>11440</v>
      </c>
      <c r="O98" s="203">
        <f>IF(L98&gt;0,N98*100/L98,0)</f>
        <v>9.369369369</v>
      </c>
      <c r="P98" s="203">
        <f>IF(M98&gt;0,N98*100/M98,0)</f>
        <v>16.64484214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IFERROR(__xludf.DUMMYFUNCTION("IMPORTRANGE(""https://docs.google.com/spreadsheets/d/1Yj_ptqi66GCucihVvJfMjLAmec39IyEx_6qawtMGysU/edit?usp=sharing"",""สบก!AN88"")"),0.0)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IFERROR(__xludf.DUMMYFUNCTION("IMPORTRANGE(""https://docs.google.com/spreadsheets/d/1Yj_ptqi66GCucihVvJfMjLAmec39IyEx_6qawtMGysU/edit?usp=sharing"",""สบก!AO88"")"),122100.0)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IFERROR(__xludf.DUMMYFUNCTION("IMPORTRANGE(""https://docs.google.com/spreadsheets/d/1Yj_ptqi66GCucihVvJfMjLAmec39IyEx_6qawtMGysU/edit?usp=sharing"",""สบก!AP88"")"),92400.0)</f>
        <v>92400</v>
      </c>
      <c r="M102" s="125"/>
      <c r="N102" s="115">
        <f>IFERROR(__xludf.DUMMYFUNCTION("IMPORTRANGE(""https://docs.google.com/spreadsheets/d/1Yj_ptqi66GCucihVvJfMjLAmec39IyEx_6qawtMGysU/edit?usp=sharing"",""สบก!AT88"")"),92400.0)</f>
        <v>92400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IFERROR(__xludf.DUMMYFUNCTION("IMPORTRANGE(""https://docs.google.com/spreadsheets/d/1IYY_tgx_IHuhSq3AJ5eI5OnqOPBNLWSHKh2a30DoXe8/edit?usp=sharing"",""พัทลุง!J39"")"),0.0)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IFERROR(__xludf.DUMMYFUNCTION("IMPORTRANGE(""https://docs.google.com/spreadsheets/d/1IYY_tgx_IHuhSq3AJ5eI5OnqOPBNLWSHKh2a30DoXe8/edit?usp=sharing"",""พัทลุง!J40"")"),1.0)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IFERROR(__xludf.DUMMYFUNCTION("IMPORTRANGE(""https://docs.google.com/spreadsheets/d/1IYY_tgx_IHuhSq3AJ5eI5OnqOPBNLWSHKh2a30DoXe8/edit?usp=sharing"",""พัทลุง!J41"")"),1.0)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IFERROR(__xludf.DUMMYFUNCTION("IMPORTRANGE(""https://docs.google.com/spreadsheets/d/1IYY_tgx_IHuhSq3AJ5eI5OnqOPBNLWSHKh2a30DoXe8/edit?usp=sharing"",""พัทลุง!J42"")"),1.0)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IFERROR(__xludf.DUMMYFUNCTION("IMPORTRANGE(""https://docs.google.com/spreadsheets/d/1IYY_tgx_IHuhSq3AJ5eI5OnqOPBNLWSHKh2a30DoXe8/edit?usp=sharing"",""พัทลุง!I43"")"),1.0)</f>
        <v>1</v>
      </c>
      <c r="J108" s="238">
        <f>IFERROR(__xludf.DUMMYFUNCTION("IMPORTRANGE(""https://docs.google.com/spreadsheets/d/1IYY_tgx_IHuhSq3AJ5eI5OnqOPBNLWSHKh2a30DoXe8/edit?usp=sharing"",""พัทลุง!J43"")"),1.0)</f>
        <v>1</v>
      </c>
      <c r="K108" s="258">
        <f t="shared" ref="K108:K113" si="58">IF(I108&gt;0,J108*100/I108,0)</f>
        <v>100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IFERROR(__xludf.DUMMYFUNCTION("IMPORTRANGE(""https://docs.google.com/spreadsheets/d/1IYY_tgx_IHuhSq3AJ5eI5OnqOPBNLWSHKh2a30DoXe8/edit?usp=sharing"",""พัทลุง!I44"")"),4.0)</f>
        <v>4</v>
      </c>
      <c r="J109" s="238">
        <f>IFERROR(__xludf.DUMMYFUNCTION("IMPORTRANGE(""https://docs.google.com/spreadsheets/d/1IYY_tgx_IHuhSq3AJ5eI5OnqOPBNLWSHKh2a30DoXe8/edit?usp=sharing"",""พัทลุง!J44"")"),0.0)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IFERROR(__xludf.DUMMYFUNCTION("IMPORTRANGE(""https://docs.google.com/spreadsheets/d/1IYY_tgx_IHuhSq3AJ5eI5OnqOPBNLWSHKh2a30DoXe8/edit?usp=sharing"",""พัทลุง!I45"")"),4.0)</f>
        <v>4</v>
      </c>
      <c r="J110" s="238">
        <f>IFERROR(__xludf.DUMMYFUNCTION("IMPORTRANGE(""https://docs.google.com/spreadsheets/d/1IYY_tgx_IHuhSq3AJ5eI5OnqOPBNLWSHKh2a30DoXe8/edit?usp=sharing"",""พัทลุง!J45"")"),4.0)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IFERROR(__xludf.DUMMYFUNCTION("IMPORTRANGE(""https://docs.google.com/spreadsheets/d/1IYY_tgx_IHuhSq3AJ5eI5OnqOPBNLWSHKh2a30DoXe8/edit?usp=sharing"",""พัทลุง!I46"")"),4.0)</f>
        <v>4</v>
      </c>
      <c r="J111" s="238">
        <f>IFERROR(__xludf.DUMMYFUNCTION("IMPORTRANGE(""https://docs.google.com/spreadsheets/d/1IYY_tgx_IHuhSq3AJ5eI5OnqOPBNLWSHKh2a30DoXe8/edit?usp=sharing"",""พัทลุง!J46"")"),0.0)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IFERROR(__xludf.DUMMYFUNCTION("IMPORTRANGE(""https://docs.google.com/spreadsheets/d/1IYY_tgx_IHuhSq3AJ5eI5OnqOPBNLWSHKh2a30DoXe8/edit?usp=sharing"",""พัทลุง!I47"")"),4.0)</f>
        <v>4</v>
      </c>
      <c r="J112" s="238">
        <f>IFERROR(__xludf.DUMMYFUNCTION("IMPORTRANGE(""https://docs.google.com/spreadsheets/d/1IYY_tgx_IHuhSq3AJ5eI5OnqOPBNLWSHKh2a30DoXe8/edit?usp=sharing"",""พัทลุง!J47"")"),0.0)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IFERROR(__xludf.DUMMYFUNCTION("IMPORTRANGE(""https://docs.google.com/spreadsheets/d/1IYY_tgx_IHuhSq3AJ5eI5OnqOPBNLWSHKh2a30DoXe8/edit?usp=sharing"",""พัทลุง!I48"")"),1.0)</f>
        <v>1</v>
      </c>
      <c r="J113" s="238">
        <f>IFERROR(__xludf.DUMMYFUNCTION("IMPORTRANGE(""https://docs.google.com/spreadsheets/d/1IYY_tgx_IHuhSq3AJ5eI5OnqOPBNLWSHKh2a30DoXe8/edit?usp=sharing"",""พัทลุง!J48"")"),1.0)</f>
        <v>1</v>
      </c>
      <c r="K113" s="258">
        <f t="shared" si="58"/>
        <v>100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IFERROR(__xludf.DUMMYFUNCTION("IMPORTRANGE(""https://docs.google.com/spreadsheets/d/1IYY_tgx_IHuhSq3AJ5eI5OnqOPBNLWSHKh2a30DoXe8/edit?usp=sharing"",""พัทลุง!J49"")"),0.0)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IFERROR(__xludf.DUMMYFUNCTION("IMPORTRANGE(""https://docs.google.com/spreadsheets/d/1IYY_tgx_IHuhSq3AJ5eI5OnqOPBNLWSHKh2a30DoXe8/edit?usp=sharing"",""พัทลุง!J50"")"),0.0)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IFERROR(__xludf.DUMMYFUNCTION("IMPORTRANGE(""https://docs.google.com/spreadsheets/d/1IYY_tgx_IHuhSq3AJ5eI5OnqOPBNLWSHKh2a30DoXe8/edit?usp=sharing"",""พัทลุง!I52"")"),0.0)</f>
        <v>0</v>
      </c>
      <c r="J117" s="172">
        <f>IFERROR(__xludf.DUMMYFUNCTION("IMPORTRANGE(""https://docs.google.com/spreadsheets/d/1IYY_tgx_IHuhSq3AJ5eI5OnqOPBNLWSHKh2a30DoXe8/edit?usp=sharing"",""พัทลุง!J52"")"),0.0)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IFERROR(__xludf.DUMMYFUNCTION("IMPORTRANGE(""https://docs.google.com/spreadsheets/d/1Yj_ptqi66GCucihVvJfMjLAmec39IyEx_6qawtMGysU/edit?usp=sharing"",""สบก!BA88"")"),0.0)</f>
        <v>0</v>
      </c>
      <c r="N122" s="202">
        <f>IFERROR(__xludf.DUMMYFUNCTION("IMPORTRANGE(""https://docs.google.com/spreadsheets/d/1Yj_ptqi66GCucihVvJfMjLAmec39IyEx_6qawtMGysU/edit?usp=sharing"",""สบก!BB88"")"),0.0)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IFERROR(__xludf.DUMMYFUNCTION("IMPORTRANGE(""https://docs.google.com/spreadsheets/d/1Yj_ptqi66GCucihVvJfMjLAmec39IyEx_6qawtMGysU/edit?usp=sharing"",""สบก!AW88"")"),0.0)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IFERROR(__xludf.DUMMYFUNCTION("IMPORTRANGE(""https://docs.google.com/spreadsheets/d/1Yj_ptqi66GCucihVvJfMjLAmec39IyEx_6qawtMGysU/edit?usp=sharing"",""สบก!AX88"")"),0.0)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IFERROR(__xludf.DUMMYFUNCTION("IMPORTRANGE(""https://docs.google.com/spreadsheets/d/1Yj_ptqi66GCucihVvJfMjLAmec39IyEx_6qawtMGysU/edit?usp=sharing"",""สบก!AY88"")"),0.0)</f>
        <v>0</v>
      </c>
      <c r="M126" s="125"/>
      <c r="N126" s="115">
        <f>IFERROR(__xludf.DUMMYFUNCTION("IMPORTRANGE(""https://docs.google.com/spreadsheets/d/1Yj_ptqi66GCucihVvJfMjLAmec39IyEx_6qawtMGysU/edit?usp=sharing"",""สบก!BC88"")"),0.0)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255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IFERROR(__xludf.DUMMYFUNCTION("IMPORTRANGE(""https://docs.google.com/spreadsheets/d/1IYY_tgx_IHuhSq3AJ5eI5OnqOPBNLWSHKh2a30DoXe8/edit?usp=sharing"",""พัทลุง!J58"")"),0.0)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IFERROR(__xludf.DUMMYFUNCTION("IMPORTRANGE(""https://docs.google.com/spreadsheets/d/1IYY_tgx_IHuhSq3AJ5eI5OnqOPBNLWSHKh2a30DoXe8/edit?usp=sharing"",""พัทลุง!J59"")"),0.0)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IFERROR(__xludf.DUMMYFUNCTION("IMPORTRANGE(""https://docs.google.com/spreadsheets/d/1IYY_tgx_IHuhSq3AJ5eI5OnqOPBNLWSHKh2a30DoXe8/edit?usp=sharing"",""พัทลุง!J60"")"),0.0)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IFERROR(__xludf.DUMMYFUNCTION("IMPORTRANGE(""https://docs.google.com/spreadsheets/d/1IYY_tgx_IHuhSq3AJ5eI5OnqOPBNLWSHKh2a30DoXe8/edit?usp=sharing"",""พัทลุง!J61"")"),0.0)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IFERROR(__xludf.DUMMYFUNCTION("IMPORTRANGE(""https://docs.google.com/spreadsheets/d/1IYY_tgx_IHuhSq3AJ5eI5OnqOPBNLWSHKh2a30DoXe8/edit?usp=sharing"",""พัทลุง!I62"")"),0.0)</f>
        <v>0</v>
      </c>
      <c r="J132" s="238">
        <f>IFERROR(__xludf.DUMMYFUNCTION("IMPORTRANGE(""https://docs.google.com/spreadsheets/d/1IYY_tgx_IHuhSq3AJ5eI5OnqOPBNLWSHKh2a30DoXe8/edit?usp=sharing"",""พัทลุง!J62"")"),0.0)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IFERROR(__xludf.DUMMYFUNCTION("IMPORTRANGE(""https://docs.google.com/spreadsheets/d/1IYY_tgx_IHuhSq3AJ5eI5OnqOPBNLWSHKh2a30DoXe8/edit?usp=sharing"",""พัทลุง!I63"")"),0.0)</f>
        <v>0</v>
      </c>
      <c r="J133" s="238">
        <f>IFERROR(__xludf.DUMMYFUNCTION("IMPORTRANGE(""https://docs.google.com/spreadsheets/d/1IYY_tgx_IHuhSq3AJ5eI5OnqOPBNLWSHKh2a30DoXe8/edit?usp=sharing"",""พัทลุง!J63"")"),0.0)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IFERROR(__xludf.DUMMYFUNCTION("IMPORTRANGE(""https://docs.google.com/spreadsheets/d/1IYY_tgx_IHuhSq3AJ5eI5OnqOPBNLWSHKh2a30DoXe8/edit?usp=sharing"",""พัทลุง!J64"")"),0.0)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IFERROR(__xludf.DUMMYFUNCTION("IMPORTRANGE(""https://docs.google.com/spreadsheets/d/1IYY_tgx_IHuhSq3AJ5eI5OnqOPBNLWSHKh2a30DoXe8/edit?usp=sharing"",""พัทลุง!J65"")"),0.0)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IFERROR(__xludf.DUMMYFUNCTION("IMPORTRANGE(""https://docs.google.com/spreadsheets/d/1IYY_tgx_IHuhSq3AJ5eI5OnqOPBNLWSHKh2a30DoXe8/edit?usp=sharing"",""พัทลุง!I68"")"),0.0)</f>
        <v>0</v>
      </c>
      <c r="J138" s="301">
        <f>IFERROR(__xludf.DUMMYFUNCTION("IMPORTRANGE(""https://docs.google.com/spreadsheets/d/1IYY_tgx_IHuhSq3AJ5eI5OnqOPBNLWSHKh2a30DoXe8/edit?usp=sharing"",""พัทลุง!J68"")"),0.0)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43000</v>
      </c>
      <c r="M140" s="183">
        <f t="shared" si="65"/>
        <v>95450</v>
      </c>
      <c r="N140" s="183">
        <f t="shared" si="65"/>
        <v>23430</v>
      </c>
      <c r="O140" s="182">
        <f t="shared" ref="O140:O142" si="67">IF(L140&gt;0,N140*100/L140,0)</f>
        <v>54.48837209</v>
      </c>
      <c r="P140" s="182">
        <f t="shared" ref="P140:P142" si="68">IF(M140&gt;0,N140*100/M140,0)</f>
        <v>24.54688318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43000</v>
      </c>
      <c r="M142" s="188">
        <f t="shared" si="69"/>
        <v>95450</v>
      </c>
      <c r="N142" s="188">
        <f t="shared" si="69"/>
        <v>23430</v>
      </c>
      <c r="O142" s="187">
        <f t="shared" si="67"/>
        <v>54.48837209</v>
      </c>
      <c r="P142" s="187">
        <f t="shared" si="68"/>
        <v>24.54688318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43000</v>
      </c>
      <c r="M144" s="201">
        <f>IFERROR(__xludf.DUMMYFUNCTION("IMPORTRANGE(""https://docs.google.com/spreadsheets/d/1Yj_ptqi66GCucihVvJfMjLAmec39IyEx_6qawtMGysU/edit?usp=sharing"",""สบก!BJ88"")"),95450.0)</f>
        <v>95450</v>
      </c>
      <c r="N144" s="202">
        <f>IFERROR(__xludf.DUMMYFUNCTION("IMPORTRANGE(""https://docs.google.com/spreadsheets/d/1Yj_ptqi66GCucihVvJfMjLAmec39IyEx_6qawtMGysU/edit?usp=sharing"",""สบก!BK88"")"),23430.0)</f>
        <v>23430</v>
      </c>
      <c r="O144" s="203">
        <f>IF(L144&gt;0,N144*100/L144,0)</f>
        <v>54.48837209</v>
      </c>
      <c r="P144" s="203">
        <f>IF(M144&gt;0,N144*100/M144,0)</f>
        <v>24.54688318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IFERROR(__xludf.DUMMYFUNCTION("IMPORTRANGE(""https://docs.google.com/spreadsheets/d/1Yj_ptqi66GCucihVvJfMjLAmec39IyEx_6qawtMGysU/edit?usp=sharing"",""สบก!BF88"")"),0.0)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IFERROR(__xludf.DUMMYFUNCTION("IMPORTRANGE(""https://docs.google.com/spreadsheets/d/1Yj_ptqi66GCucihVvJfMjLAmec39IyEx_6qawtMGysU/edit?usp=sharing"",""สบก!BG88"")"),43000.0)</f>
        <v>43000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IFERROR(__xludf.DUMMYFUNCTION("IMPORTRANGE(""https://docs.google.com/spreadsheets/d/1Yj_ptqi66GCucihVvJfMjLAmec39IyEx_6qawtMGysU/edit?usp=sharing"",""สบก!BH88"")"),0.0)</f>
        <v>0</v>
      </c>
      <c r="M148" s="125"/>
      <c r="N148" s="115">
        <f>IFERROR(__xludf.DUMMYFUNCTION("IMPORTRANGE(""https://docs.google.com/spreadsheets/d/1Yj_ptqi66GCucihVvJfMjLAmec39IyEx_6qawtMGysU/edit?usp=sharing"",""สบก!BL88"")"),0.0)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IFERROR(__xludf.DUMMYFUNCTION("IMPORTRANGE(""https://docs.google.com/spreadsheets/d/1IYY_tgx_IHuhSq3AJ5eI5OnqOPBNLWSHKh2a30DoXe8/edit?usp=sharing"",""พัทลุง!I74"")"),4.0)</f>
        <v>4</v>
      </c>
      <c r="J149" s="309">
        <f>IFERROR(__xludf.DUMMYFUNCTION("IMPORTRANGE(""https://docs.google.com/spreadsheets/d/1IYY_tgx_IHuhSq3AJ5eI5OnqOPBNLWSHKh2a30DoXe8/edit?usp=sharing"",""พัทลุง!J74"")"),1.0)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IFERROR(__xludf.DUMMYFUNCTION("IMPORTRANGE(""https://docs.google.com/spreadsheets/d/1IYY_tgx_IHuhSq3AJ5eI5OnqOPBNLWSHKh2a30DoXe8/edit?usp=sharing"",""พัทลุง!J79"")"),0.0)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IFERROR(__xludf.DUMMYFUNCTION("IMPORTRANGE(""https://docs.google.com/spreadsheets/d/1IYY_tgx_IHuhSq3AJ5eI5OnqOPBNLWSHKh2a30DoXe8/edit?usp=sharing"",""พัทลุง!J80"")"),1.0)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IFERROR(__xludf.DUMMYFUNCTION("IMPORTRANGE(""https://docs.google.com/spreadsheets/d/1IYY_tgx_IHuhSq3AJ5eI5OnqOPBNLWSHKh2a30DoXe8/edit?usp=sharing"",""พัทลุง!J81"")"),1.0)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IFERROR(__xludf.DUMMYFUNCTION("IMPORTRANGE(""https://docs.google.com/spreadsheets/d/1IYY_tgx_IHuhSq3AJ5eI5OnqOPBNLWSHKh2a30DoXe8/edit?usp=sharing"",""พัทลุง!J82"")"),1.0)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IFERROR(__xludf.DUMMYFUNCTION("IMPORTRANGE(""https://docs.google.com/spreadsheets/d/1IYY_tgx_IHuhSq3AJ5eI5OnqOPBNLWSHKh2a30DoXe8/edit?usp=sharing"",""พัทลุง!I83"")"),4.0)</f>
        <v>4</v>
      </c>
      <c r="J158" s="223">
        <f>IFERROR(__xludf.DUMMYFUNCTION("IMPORTRANGE(""https://docs.google.com/spreadsheets/d/1IYY_tgx_IHuhSq3AJ5eI5OnqOPBNLWSHKh2a30DoXe8/edit?usp=sharing"",""พัทลุง!J83"")"),1.0)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IFERROR(__xludf.DUMMYFUNCTION("IMPORTRANGE(""https://docs.google.com/spreadsheets/d/1IYY_tgx_IHuhSq3AJ5eI5OnqOPBNLWSHKh2a30DoXe8/edit?usp=sharing"",""พัทลุง!J84"")"),15.0)</f>
        <v>15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IFERROR(__xludf.DUMMYFUNCTION("IMPORTRANGE(""https://docs.google.com/spreadsheets/d/1IYY_tgx_IHuhSq3AJ5eI5OnqOPBNLWSHKh2a30DoXe8/edit?usp=sharing"",""พัทลุง!J85"")"),15.0)</f>
        <v>15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IFERROR(__xludf.DUMMYFUNCTION("IMPORTRANGE(""https://docs.google.com/spreadsheets/d/1IYY_tgx_IHuhSq3AJ5eI5OnqOPBNLWSHKh2a30DoXe8/edit?usp=sharing"",""พัทลุง!J86"")"),0.0)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IFERROR(__xludf.DUMMYFUNCTION("IMPORTRANGE(""https://docs.google.com/spreadsheets/d/1IYY_tgx_IHuhSq3AJ5eI5OnqOPBNLWSHKh2a30DoXe8/edit?usp=sharing"",""พัทลุง!J87"")"),0.0)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IFERROR(__xludf.DUMMYFUNCTION("IMPORTRANGE(""https://docs.google.com/spreadsheets/d/1IYY_tgx_IHuhSq3AJ5eI5OnqOPBNLWSHKh2a30DoXe8/edit?usp=sharing"",""พัทลุง!J88"")"),0.0)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IFERROR(__xludf.DUMMYFUNCTION("IMPORTRANGE(""https://docs.google.com/spreadsheets/d/1IYY_tgx_IHuhSq3AJ5eI5OnqOPBNLWSHKh2a30DoXe8/edit?usp=sharing"",""พัทลุง!I89"")"),2.0)</f>
        <v>2</v>
      </c>
      <c r="J164" s="317">
        <f>IFERROR(__xludf.DUMMYFUNCTION("IMPORTRANGE(""https://docs.google.com/spreadsheets/d/1IYY_tgx_IHuhSq3AJ5eI5OnqOPBNLWSHKh2a30DoXe8/edit?usp=sharing"",""พัทลุง!J89"")"),2.0)</f>
        <v>2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IFERROR(__xludf.DUMMYFUNCTION("IMPORTRANGE(""https://docs.google.com/spreadsheets/d/1IYY_tgx_IHuhSq3AJ5eI5OnqOPBNLWSHKh2a30DoXe8/edit?usp=sharing"",""พัทลุง!J94"")"),0.0)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IFERROR(__xludf.DUMMYFUNCTION("IMPORTRANGE(""https://docs.google.com/spreadsheets/d/1IYY_tgx_IHuhSq3AJ5eI5OnqOPBNLWSHKh2a30DoXe8/edit?usp=sharing"",""พัทลุง!J95"")"),1.0)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IFERROR(__xludf.DUMMYFUNCTION("IMPORTRANGE(""https://docs.google.com/spreadsheets/d/1IYY_tgx_IHuhSq3AJ5eI5OnqOPBNLWSHKh2a30DoXe8/edit?usp=sharing"",""พัทลุง!J96"")"),1.0)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IFERROR(__xludf.DUMMYFUNCTION("IMPORTRANGE(""https://docs.google.com/spreadsheets/d/1IYY_tgx_IHuhSq3AJ5eI5OnqOPBNLWSHKh2a30DoXe8/edit?usp=sharing"",""พัทลุง!J97"")"),1.0)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IFERROR(__xludf.DUMMYFUNCTION("IMPORTRANGE(""https://docs.google.com/spreadsheets/d/1IYY_tgx_IHuhSq3AJ5eI5OnqOPBNLWSHKh2a30DoXe8/edit?usp=sharing"",""พัทลุง!I98"")"),2.0)</f>
        <v>2</v>
      </c>
      <c r="J173" s="223">
        <f>IFERROR(__xludf.DUMMYFUNCTION("IMPORTRANGE(""https://docs.google.com/spreadsheets/d/1IYY_tgx_IHuhSq3AJ5eI5OnqOPBNLWSHKh2a30DoXe8/edit?usp=sharing"",""พัทลุง!J98"")"),2.0)</f>
        <v>2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IFERROR(__xludf.DUMMYFUNCTION("IMPORTRANGE(""https://docs.google.com/spreadsheets/d/1IYY_tgx_IHuhSq3AJ5eI5OnqOPBNLWSHKh2a30DoXe8/edit?usp=sharing"",""พัทลุง!J99"")"),0.0)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IFERROR(__xludf.DUMMYFUNCTION("IMPORTRANGE(""https://docs.google.com/spreadsheets/d/1IYY_tgx_IHuhSq3AJ5eI5OnqOPBNLWSHKh2a30DoXe8/edit?usp=sharing"",""พัทลุง!J100"")"),0.0)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IFERROR(__xludf.DUMMYFUNCTION("IMPORTRANGE(""https://docs.google.com/spreadsheets/d/1IYY_tgx_IHuhSq3AJ5eI5OnqOPBNLWSHKh2a30DoXe8/edit?usp=sharing"",""พัทลุง!I101"")"),0.0)</f>
        <v>0</v>
      </c>
      <c r="J176" s="317">
        <f>IFERROR(__xludf.DUMMYFUNCTION("IMPORTRANGE(""https://docs.google.com/spreadsheets/d/1IYY_tgx_IHuhSq3AJ5eI5OnqOPBNLWSHKh2a30DoXe8/edit?usp=sharing"",""พัทลุง!J101"")"),0.0)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IFERROR(__xludf.DUMMYFUNCTION("IMPORTRANGE(""https://docs.google.com/spreadsheets/d/1IYY_tgx_IHuhSq3AJ5eI5OnqOPBNLWSHKh2a30DoXe8/edit?usp=sharing"",""พัทลุง!J106"")"),0.0)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IFERROR(__xludf.DUMMYFUNCTION("IMPORTRANGE(""https://docs.google.com/spreadsheets/d/1IYY_tgx_IHuhSq3AJ5eI5OnqOPBNLWSHKh2a30DoXe8/edit?usp=sharing"",""พัทลุง!J107"")"),0.0)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IFERROR(__xludf.DUMMYFUNCTION("IMPORTRANGE(""https://docs.google.com/spreadsheets/d/1IYY_tgx_IHuhSq3AJ5eI5OnqOPBNLWSHKh2a30DoXe8/edit?usp=sharing"",""พัทลุง!J108"")"),0.0)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IFERROR(__xludf.DUMMYFUNCTION("IMPORTRANGE(""https://docs.google.com/spreadsheets/d/1IYY_tgx_IHuhSq3AJ5eI5OnqOPBNLWSHKh2a30DoXe8/edit?usp=sharing"",""พัทลุง!J109"")"),0.0)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IFERROR(__xludf.DUMMYFUNCTION("IMPORTRANGE(""https://docs.google.com/spreadsheets/d/1IYY_tgx_IHuhSq3AJ5eI5OnqOPBNLWSHKh2a30DoXe8/edit?usp=sharing"",""พัทลุง!I110"")"),0.0)</f>
        <v>0</v>
      </c>
      <c r="J185" s="238">
        <f>IFERROR(__xludf.DUMMYFUNCTION("IMPORTRANGE(""https://docs.google.com/spreadsheets/d/1IYY_tgx_IHuhSq3AJ5eI5OnqOPBNLWSHKh2a30DoXe8/edit?usp=sharing"",""พัทลุง!J110"")"),0.0)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IFERROR(__xludf.DUMMYFUNCTION("IMPORTRANGE(""https://docs.google.com/spreadsheets/d/1IYY_tgx_IHuhSq3AJ5eI5OnqOPBNLWSHKh2a30DoXe8/edit?usp=sharing"",""พัทลุง!I111"")"),0.0)</f>
        <v>0</v>
      </c>
      <c r="J186" s="238">
        <f>IFERROR(__xludf.DUMMYFUNCTION("IMPORTRANGE(""https://docs.google.com/spreadsheets/d/1IYY_tgx_IHuhSq3AJ5eI5OnqOPBNLWSHKh2a30DoXe8/edit?usp=sharing"",""พัทลุง!J111"")"),0.0)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IFERROR(__xludf.DUMMYFUNCTION("IMPORTRANGE(""https://docs.google.com/spreadsheets/d/1IYY_tgx_IHuhSq3AJ5eI5OnqOPBNLWSHKh2a30DoXe8/edit?usp=sharing"",""พัทลุง!J112"")"),0.0)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IFERROR(__xludf.DUMMYFUNCTION("IMPORTRANGE(""https://docs.google.com/spreadsheets/d/1IYY_tgx_IHuhSq3AJ5eI5OnqOPBNLWSHKh2a30DoXe8/edit?usp=sharing"",""พัทลุง!J113"")"),0.0)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IFERROR(__xludf.DUMMYFUNCTION("IMPORTRANGE(""https://docs.google.com/spreadsheets/d/1IYY_tgx_IHuhSq3AJ5eI5OnqOPBNLWSHKh2a30DoXe8/edit?usp=sharing"",""พัทลุง!I114"")"),10000.0)</f>
        <v>10000</v>
      </c>
      <c r="J189" s="317">
        <f>IFERROR(__xludf.DUMMYFUNCTION("IMPORTRANGE(""https://docs.google.com/spreadsheets/d/1IYY_tgx_IHuhSq3AJ5eI5OnqOPBNLWSHKh2a30DoXe8/edit?usp=sharing"",""พัทลุง!J114"")"),0.0)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IFERROR(__xludf.DUMMYFUNCTION("IMPORTRANGE(""https://docs.google.com/spreadsheets/d/1IYY_tgx_IHuhSq3AJ5eI5OnqOPBNLWSHKh2a30DoXe8/edit?usp=sharing"",""พัทลุง!J119"")"),0.0)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IFERROR(__xludf.DUMMYFUNCTION("IMPORTRANGE(""https://docs.google.com/spreadsheets/d/1IYY_tgx_IHuhSq3AJ5eI5OnqOPBNLWSHKh2a30DoXe8/edit?usp=sharing"",""พัทลุง!J120"")"),1.0)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IFERROR(__xludf.DUMMYFUNCTION("IMPORTRANGE(""https://docs.google.com/spreadsheets/d/1IYY_tgx_IHuhSq3AJ5eI5OnqOPBNLWSHKh2a30DoXe8/edit?usp=sharing"",""พัทลุง!J121"")"),1.0)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IFERROR(__xludf.DUMMYFUNCTION("IMPORTRANGE(""https://docs.google.com/spreadsheets/d/1IYY_tgx_IHuhSq3AJ5eI5OnqOPBNLWSHKh2a30DoXe8/edit?usp=sharing"",""พัทลุง!J122"")"),0.0)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IFERROR(__xludf.DUMMYFUNCTION("IMPORTRANGE(""https://docs.google.com/spreadsheets/d/1IYY_tgx_IHuhSq3AJ5eI5OnqOPBNLWSHKh2a30DoXe8/edit?usp=sharing"",""พัทลุง!I124"")"),10000.0)</f>
        <v>10000</v>
      </c>
      <c r="J199" s="223">
        <f>IFERROR(__xludf.DUMMYFUNCTION("IMPORTRANGE(""https://docs.google.com/spreadsheets/d/1IYY_tgx_IHuhSq3AJ5eI5OnqOPBNLWSHKh2a30DoXe8/edit?usp=sharing"",""พัทลุง!J124"")"),0.0)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IFERROR(__xludf.DUMMYFUNCTION("IMPORTRANGE(""https://docs.google.com/spreadsheets/d/1IYY_tgx_IHuhSq3AJ5eI5OnqOPBNLWSHKh2a30DoXe8/edit?usp=sharing"",""พัทลุง!I125"")"),10000.0)</f>
        <v>10000</v>
      </c>
      <c r="J200" s="223">
        <f>IFERROR(__xludf.DUMMYFUNCTION("IMPORTRANGE(""https://docs.google.com/spreadsheets/d/1IYY_tgx_IHuhSq3AJ5eI5OnqOPBNLWSHKh2a30DoXe8/edit?usp=sharing"",""พัทลุง!J125"")"),0.0)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IFERROR(__xludf.DUMMYFUNCTION("IMPORTRANGE(""https://docs.google.com/spreadsheets/d/1IYY_tgx_IHuhSq3AJ5eI5OnqOPBNLWSHKh2a30DoXe8/edit?usp=sharing"",""พัทลุง!I126"")"),0.0)</f>
        <v>0</v>
      </c>
      <c r="J201" s="223">
        <f>IFERROR(__xludf.DUMMYFUNCTION("IMPORTRANGE(""https://docs.google.com/spreadsheets/d/1IYY_tgx_IHuhSq3AJ5eI5OnqOPBNLWSHKh2a30DoXe8/edit?usp=sharing"",""พัทลุง!J126"")"),0.0)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IFERROR(__xludf.DUMMYFUNCTION("IMPORTRANGE(""https://docs.google.com/spreadsheets/d/1IYY_tgx_IHuhSq3AJ5eI5OnqOPBNLWSHKh2a30DoXe8/edit?usp=sharing"",""พัทลุง!J127"")"),0.0)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IFERROR(__xludf.DUMMYFUNCTION("IMPORTRANGE(""https://docs.google.com/spreadsheets/d/1IYY_tgx_IHuhSq3AJ5eI5OnqOPBNLWSHKh2a30DoXe8/edit?usp=sharing"",""พัทลุง!J128"")"),0.0)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IFERROR(__xludf.DUMMYFUNCTION("IMPORTRANGE(""https://docs.google.com/spreadsheets/d/1IYY_tgx_IHuhSq3AJ5eI5OnqOPBNLWSHKh2a30DoXe8/edit?usp=sharing"",""พัทลุง!I129"")"),0.0)</f>
        <v>0</v>
      </c>
      <c r="J204" s="317">
        <f>IFERROR(__xludf.DUMMYFUNCTION("IMPORTRANGE(""https://docs.google.com/spreadsheets/d/1IYY_tgx_IHuhSq3AJ5eI5OnqOPBNLWSHKh2a30DoXe8/edit?usp=sharing"",""พัทลุง!J129"")"),0.0)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IFERROR(__xludf.DUMMYFUNCTION("IMPORTRANGE(""https://docs.google.com/spreadsheets/d/1IYY_tgx_IHuhSq3AJ5eI5OnqOPBNLWSHKh2a30DoXe8/edit?usp=sharing"",""พัทลุง!J134"")"),0.0)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IFERROR(__xludf.DUMMYFUNCTION("IMPORTRANGE(""https://docs.google.com/spreadsheets/d/1IYY_tgx_IHuhSq3AJ5eI5OnqOPBNLWSHKh2a30DoXe8/edit?usp=sharing"",""พัทลุง!J135"")"),0.0)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IFERROR(__xludf.DUMMYFUNCTION("IMPORTRANGE(""https://docs.google.com/spreadsheets/d/1IYY_tgx_IHuhSq3AJ5eI5OnqOPBNLWSHKh2a30DoXe8/edit?usp=sharing"",""พัทลุง!J136"")"),0.0)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IFERROR(__xludf.DUMMYFUNCTION("IMPORTRANGE(""https://docs.google.com/spreadsheets/d/1IYY_tgx_IHuhSq3AJ5eI5OnqOPBNLWSHKh2a30DoXe8/edit?usp=sharing"",""พัทลุง!J137"")"),0.0)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IFERROR(__xludf.DUMMYFUNCTION("IMPORTRANGE(""https://docs.google.com/spreadsheets/d/1IYY_tgx_IHuhSq3AJ5eI5OnqOPBNLWSHKh2a30DoXe8/edit?usp=sharing"",""พัทลุง!I138"")"),0.0)</f>
        <v>0</v>
      </c>
      <c r="J213" s="238">
        <f>IFERROR(__xludf.DUMMYFUNCTION("IMPORTRANGE(""https://docs.google.com/spreadsheets/d/1IYY_tgx_IHuhSq3AJ5eI5OnqOPBNLWSHKh2a30DoXe8/edit?usp=sharing"",""พัทลุง!J138"")"),0.0)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IFERROR(__xludf.DUMMYFUNCTION("IMPORTRANGE(""https://docs.google.com/spreadsheets/d/1IYY_tgx_IHuhSq3AJ5eI5OnqOPBNLWSHKh2a30DoXe8/edit?usp=sharing"",""พัทลุง!I140"")"),0.0)</f>
        <v>0</v>
      </c>
      <c r="J215" s="238">
        <f>IFERROR(__xludf.DUMMYFUNCTION("IMPORTRANGE(""https://docs.google.com/spreadsheets/d/1IYY_tgx_IHuhSq3AJ5eI5OnqOPBNLWSHKh2a30DoXe8/edit?usp=sharing"",""พัทลุง!J140"")"),0.0)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IFERROR(__xludf.DUMMYFUNCTION("IMPORTRANGE(""https://docs.google.com/spreadsheets/d/1IYY_tgx_IHuhSq3AJ5eI5OnqOPBNLWSHKh2a30DoXe8/edit?usp=sharing"",""พัทลุง!I141"")"),0.0)</f>
        <v>0</v>
      </c>
      <c r="J216" s="238">
        <f>IFERROR(__xludf.DUMMYFUNCTION("IMPORTRANGE(""https://docs.google.com/spreadsheets/d/1IYY_tgx_IHuhSq3AJ5eI5OnqOPBNLWSHKh2a30DoXe8/edit?usp=sharing"",""พัทลุง!J141"")"),0.0)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IFERROR(__xludf.DUMMYFUNCTION("IMPORTRANGE(""https://docs.google.com/spreadsheets/d/1IYY_tgx_IHuhSq3AJ5eI5OnqOPBNLWSHKh2a30DoXe8/edit?usp=sharing"",""พัทลุง!J142"")"),0.0)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IFERROR(__xludf.DUMMYFUNCTION("IMPORTRANGE(""https://docs.google.com/spreadsheets/d/1IYY_tgx_IHuhSq3AJ5eI5OnqOPBNLWSHKh2a30DoXe8/edit?usp=sharing"",""พัทลุง!J143"")"),0.0)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IFERROR(__xludf.DUMMYFUNCTION("IMPORTRANGE(""https://docs.google.com/spreadsheets/d/1IYY_tgx_IHuhSq3AJ5eI5OnqOPBNLWSHKh2a30DoXe8/edit?usp=sharing"",""พัทลุง!I144"")"),13.0)</f>
        <v>13</v>
      </c>
      <c r="J219" s="301">
        <f>IFERROR(__xludf.DUMMYFUNCTION("IMPORTRANGE(""https://docs.google.com/spreadsheets/d/1IYY_tgx_IHuhSq3AJ5eI5OnqOPBNLWSHKh2a30DoXe8/edit?usp=sharing"",""พัทลุง!J144"")"),13.0)</f>
        <v>13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17295</v>
      </c>
      <c r="O220" s="182">
        <f t="shared" ref="O220:O222" si="75">IF(L220&gt;0,N220*100/L220,0)</f>
        <v>89.63462037</v>
      </c>
      <c r="P220" s="182">
        <f t="shared" ref="P220:P222" si="76">IF(M220&gt;0,N220*100/M220,0)</f>
        <v>89.63462037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17295</v>
      </c>
      <c r="O222" s="187">
        <f t="shared" si="75"/>
        <v>89.63462037</v>
      </c>
      <c r="P222" s="187">
        <f t="shared" si="76"/>
        <v>89.63462037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1">
        <f>IFERROR(__xludf.DUMMYFUNCTION("IMPORTRANGE(""https://docs.google.com/spreadsheets/d/1Yj_ptqi66GCucihVvJfMjLAmec39IyEx_6qawtMGysU/edit?usp=sharing"",""สบก!BS88"")"),19295.0)</f>
        <v>19295</v>
      </c>
      <c r="N224" s="202">
        <f>IFERROR(__xludf.DUMMYFUNCTION("IMPORTRANGE(""https://docs.google.com/spreadsheets/d/1Yj_ptqi66GCucihVvJfMjLAmec39IyEx_6qawtMGysU/edit?usp=sharing"",""สบก!BT88"")"),17295.0)</f>
        <v>17295</v>
      </c>
      <c r="O224" s="203">
        <f>IF(L224&gt;0,N224*100/L224,0)</f>
        <v>89.63462037</v>
      </c>
      <c r="P224" s="203">
        <f>IF(M224&gt;0,N224*100/M224,0)</f>
        <v>89.63462037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IFERROR(__xludf.DUMMYFUNCTION("IMPORTRANGE(""https://docs.google.com/spreadsheets/d/1Yj_ptqi66GCucihVvJfMjLAmec39IyEx_6qawtMGysU/edit?usp=sharing"",""สบก!BO88"")"),0.0)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IFERROR(__xludf.DUMMYFUNCTION("IMPORTRANGE(""https://docs.google.com/spreadsheets/d/1Yj_ptqi66GCucihVvJfMjLAmec39IyEx_6qawtMGysU/edit?usp=sharing"",""สบก!BP88"")"),19295.0)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IFERROR(__xludf.DUMMYFUNCTION("IMPORTRANGE(""https://docs.google.com/spreadsheets/d/1Yj_ptqi66GCucihVvJfMjLAmec39IyEx_6qawtMGysU/edit?usp=sharing"",""สบก!BQ88"")"),0.0)</f>
        <v>0</v>
      </c>
      <c r="M228" s="125"/>
      <c r="N228" s="115">
        <f>IFERROR(__xludf.DUMMYFUNCTION("IMPORTRANGE(""https://docs.google.com/spreadsheets/d/1Yj_ptqi66GCucihVvJfMjLAmec39IyEx_6qawtMGysU/edit?usp=sharing"",""สบก!BU88"")"),0.0)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IFERROR(__xludf.DUMMYFUNCTION("IMPORTRANGE(""https://docs.google.com/spreadsheets/d/1IYY_tgx_IHuhSq3AJ5eI5OnqOPBNLWSHKh2a30DoXe8/edit?usp=sharing"",""พัทลุง!I149"")"),13.0)</f>
        <v>13</v>
      </c>
      <c r="J229" s="301">
        <f>IFERROR(__xludf.DUMMYFUNCTION("IMPORTRANGE(""https://docs.google.com/spreadsheets/d/1IYY_tgx_IHuhSq3AJ5eI5OnqOPBNLWSHKh2a30DoXe8/edit?usp=sharing"",""พัทลุง!J149"")"),13.0)</f>
        <v>13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IFERROR(__xludf.DUMMYFUNCTION("IMPORTRANGE(""https://docs.google.com/spreadsheets/d/1IYY_tgx_IHuhSq3AJ5eI5OnqOPBNLWSHKh2a30DoXe8/edit?usp=sharing"",""พัทลุง!J151"")"),0.0)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IFERROR(__xludf.DUMMYFUNCTION("IMPORTRANGE(""https://docs.google.com/spreadsheets/d/1IYY_tgx_IHuhSq3AJ5eI5OnqOPBNLWSHKh2a30DoXe8/edit?usp=sharing"",""พัทลุง!J152"")"),1.0)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IFERROR(__xludf.DUMMYFUNCTION("IMPORTRANGE(""https://docs.google.com/spreadsheets/d/1IYY_tgx_IHuhSq3AJ5eI5OnqOPBNLWSHKh2a30DoXe8/edit?usp=sharing"",""พัทลุง!J153"")"),1.0)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IFERROR(__xludf.DUMMYFUNCTION("IMPORTRANGE(""https://docs.google.com/spreadsheets/d/1IYY_tgx_IHuhSq3AJ5eI5OnqOPBNLWSHKh2a30DoXe8/edit?usp=sharing"",""พัทลุง!J154"")"),1.0)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IFERROR(__xludf.DUMMYFUNCTION("IMPORTRANGE(""https://docs.google.com/spreadsheets/d/1IYY_tgx_IHuhSq3AJ5eI5OnqOPBNLWSHKh2a30DoXe8/edit?usp=sharing"",""พัทลุง!I155"")"),13.0)</f>
        <v>13</v>
      </c>
      <c r="J235" s="223">
        <f>IFERROR(__xludf.DUMMYFUNCTION("IMPORTRANGE(""https://docs.google.com/spreadsheets/d/1IYY_tgx_IHuhSq3AJ5eI5OnqOPBNLWSHKh2a30DoXe8/edit?usp=sharing"",""พัทลุง!J155"")"),13.0)</f>
        <v>13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IFERROR(__xludf.DUMMYFUNCTION("IMPORTRANGE(""https://docs.google.com/spreadsheets/d/1IYY_tgx_IHuhSq3AJ5eI5OnqOPBNLWSHKh2a30DoXe8/edit?usp=sharing"",""พัทลุง!J156"")"),0.0)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IFERROR(__xludf.DUMMYFUNCTION("IMPORTRANGE(""https://docs.google.com/spreadsheets/d/1IYY_tgx_IHuhSq3AJ5eI5OnqOPBNLWSHKh2a30DoXe8/edit?usp=sharing"",""พัทลุง!J157"")"),0.0)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IFERROR(__xludf.DUMMYFUNCTION("IMPORTRANGE(""https://docs.google.com/spreadsheets/d/1IYY_tgx_IHuhSq3AJ5eI5OnqOPBNLWSHKh2a30DoXe8/edit?usp=sharing"",""พัทลุง!I158"")"),0.0)</f>
        <v>0</v>
      </c>
      <c r="J238" s="301">
        <f>IFERROR(__xludf.DUMMYFUNCTION("IMPORTRANGE(""https://docs.google.com/spreadsheets/d/1IYY_tgx_IHuhSq3AJ5eI5OnqOPBNLWSHKh2a30DoXe8/edit?usp=sharing"",""พัทลุง!J158"")"),0.0)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IFERROR(__xludf.DUMMYFUNCTION("IMPORTRANGE(""https://docs.google.com/spreadsheets/d/1IYY_tgx_IHuhSq3AJ5eI5OnqOPBNLWSHKh2a30DoXe8/edit?usp=sharing"",""พัทลุง!J159"")"),"")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IFERROR(__xludf.DUMMYFUNCTION("IMPORTRANGE(""https://docs.google.com/spreadsheets/d/1IYY_tgx_IHuhSq3AJ5eI5OnqOPBNLWSHKh2a30DoXe8/edit?usp=sharing"",""พัทลุง!J161"")"),0.0)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IFERROR(__xludf.DUMMYFUNCTION("IMPORTRANGE(""https://docs.google.com/spreadsheets/d/1IYY_tgx_IHuhSq3AJ5eI5OnqOPBNLWSHKh2a30DoXe8/edit?usp=sharing"",""พัทลุง!J162"")"),0.0)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IFERROR(__xludf.DUMMYFUNCTION("IMPORTRANGE(""https://docs.google.com/spreadsheets/d/1IYY_tgx_IHuhSq3AJ5eI5OnqOPBNLWSHKh2a30DoXe8/edit?usp=sharing"",""พัทลุง!J163"")"),0.0)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IFERROR(__xludf.DUMMYFUNCTION("IMPORTRANGE(""https://docs.google.com/spreadsheets/d/1IYY_tgx_IHuhSq3AJ5eI5OnqOPBNLWSHKh2a30DoXe8/edit?usp=sharing"",""พัทลุง!I164"")"),0.0)</f>
        <v>0</v>
      </c>
      <c r="J244" s="222">
        <f>IFERROR(__xludf.DUMMYFUNCTION("IMPORTRANGE(""https://docs.google.com/spreadsheets/d/1IYY_tgx_IHuhSq3AJ5eI5OnqOPBNLWSHKh2a30DoXe8/edit?usp=sharing"",""พัทลุง!J164"")"),0.0)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IFERROR(__xludf.DUMMYFUNCTION("IMPORTRANGE(""https://docs.google.com/spreadsheets/d/1IYY_tgx_IHuhSq3AJ5eI5OnqOPBNLWSHKh2a30DoXe8/edit?usp=sharing"",""พัทลุง!J165"")"),0.0)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IFERROR(__xludf.DUMMYFUNCTION("IMPORTRANGE(""https://docs.google.com/spreadsheets/d/1IYY_tgx_IHuhSq3AJ5eI5OnqOPBNLWSHKh2a30DoXe8/edit?usp=sharing"",""พัทลุง!J166"")"),0.0)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IFERROR(__xludf.DUMMYFUNCTION("IMPORTRANGE(""https://docs.google.com/spreadsheets/d/1IYY_tgx_IHuhSq3AJ5eI5OnqOPBNLWSHKh2a30DoXe8/edit?usp=sharing"",""พัทลุง!I169"")"),20.0)</f>
        <v>20</v>
      </c>
      <c r="J249" s="349">
        <f>IFERROR(__xludf.DUMMYFUNCTION("IMPORTRANGE(""https://docs.google.com/spreadsheets/d/1IYY_tgx_IHuhSq3AJ5eI5OnqOPBNLWSHKh2a30DoXe8/edit?usp=sharing"",""พัทลุง!J169"")"),20.0)</f>
        <v>20</v>
      </c>
      <c r="K249" s="350">
        <f>IF(I249&gt;0,J249*100/I249,0)</f>
        <v>100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203400</v>
      </c>
      <c r="M250" s="183">
        <f t="shared" si="78"/>
        <v>103000</v>
      </c>
      <c r="N250" s="183">
        <f t="shared" si="78"/>
        <v>60965</v>
      </c>
      <c r="O250" s="182">
        <f t="shared" ref="O250:O252" si="80">IF(L250&gt;0,N250*100/L250,0)</f>
        <v>29.97295969</v>
      </c>
      <c r="P250" s="182">
        <f t="shared" ref="P250:P252" si="81">IF(M250&gt;0,N250*100/M250,0)</f>
        <v>59.18932039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203400</v>
      </c>
      <c r="M252" s="188">
        <f t="shared" si="82"/>
        <v>103000</v>
      </c>
      <c r="N252" s="188">
        <f t="shared" si="82"/>
        <v>60965</v>
      </c>
      <c r="O252" s="187">
        <f t="shared" si="80"/>
        <v>29.97295969</v>
      </c>
      <c r="P252" s="187">
        <f t="shared" si="81"/>
        <v>59.18932039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203400</v>
      </c>
      <c r="M254" s="201">
        <f>IFERROR(__xludf.DUMMYFUNCTION("IMPORTRANGE(""https://docs.google.com/spreadsheets/d/1Yj_ptqi66GCucihVvJfMjLAmec39IyEx_6qawtMGysU/edit?usp=sharing"",""สบก!CB88"")"),103000.0)</f>
        <v>103000</v>
      </c>
      <c r="N254" s="202">
        <f>IFERROR(__xludf.DUMMYFUNCTION("IMPORTRANGE(""https://docs.google.com/spreadsheets/d/1Yj_ptqi66GCucihVvJfMjLAmec39IyEx_6qawtMGysU/edit?usp=sharing"",""สบก!CC88"")"),60965.0)</f>
        <v>60965</v>
      </c>
      <c r="O254" s="203">
        <f>IF(L254&gt;0,N254*100/L254,0)</f>
        <v>29.97295969</v>
      </c>
      <c r="P254" s="203">
        <f>IF(M254&gt;0,N254*100/M254,0)</f>
        <v>59.18932039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IFERROR(__xludf.DUMMYFUNCTION("IMPORTRANGE(""https://docs.google.com/spreadsheets/d/1Yj_ptqi66GCucihVvJfMjLAmec39IyEx_6qawtMGysU/edit?usp=sharing"",""สบก!BX88"")"),132000.0)</f>
        <v>132000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IFERROR(__xludf.DUMMYFUNCTION("IMPORTRANGE(""https://docs.google.com/spreadsheets/d/1Yj_ptqi66GCucihVvJfMjLAmec39IyEx_6qawtMGysU/edit?usp=sharing"",""สบก!BY88"")"),71400.0)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IFERROR(__xludf.DUMMYFUNCTION("IMPORTRANGE(""https://docs.google.com/spreadsheets/d/1Yj_ptqi66GCucihVvJfMjLAmec39IyEx_6qawtMGysU/edit?usp=sharing"",""สบก!BZ88"")"),0.0)</f>
        <v>0</v>
      </c>
      <c r="M258" s="125"/>
      <c r="N258" s="115">
        <f>IFERROR(__xludf.DUMMYFUNCTION("IMPORTRANGE(""https://docs.google.com/spreadsheets/d/1Yj_ptqi66GCucihVvJfMjLAmec39IyEx_6qawtMGysU/edit?usp=sharing"",""สบก!CD88"")"),0.0)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IFERROR(__xludf.DUMMYFUNCTION("IMPORTRANGE(""https://docs.google.com/spreadsheets/d/1IYY_tgx_IHuhSq3AJ5eI5OnqOPBNLWSHKh2a30DoXe8/edit?usp=sharing"",""พัทลุง!J175"")"),0.0)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IFERROR(__xludf.DUMMYFUNCTION("IMPORTRANGE(""https://docs.google.com/spreadsheets/d/1IYY_tgx_IHuhSq3AJ5eI5OnqOPBNLWSHKh2a30DoXe8/edit?usp=sharing"",""พัทลุง!J176"")"),1.0)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IFERROR(__xludf.DUMMYFUNCTION("IMPORTRANGE(""https://docs.google.com/spreadsheets/d/1IYY_tgx_IHuhSq3AJ5eI5OnqOPBNLWSHKh2a30DoXe8/edit?usp=sharing"",""พัทลุง!J177"")"),1.0)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IFERROR(__xludf.DUMMYFUNCTION("IMPORTRANGE(""https://docs.google.com/spreadsheets/d/1IYY_tgx_IHuhSq3AJ5eI5OnqOPBNLWSHKh2a30DoXe8/edit?usp=sharing"",""พัทลุง!J178"")"),1.0)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IFERROR(__xludf.DUMMYFUNCTION("IMPORTRANGE(""https://docs.google.com/spreadsheets/d/1IYY_tgx_IHuhSq3AJ5eI5OnqOPBNLWSHKh2a30DoXe8/edit?usp=sharing"",""พัทลุง!I179"")"),1.0)</f>
        <v>1</v>
      </c>
      <c r="J264" s="223">
        <f>IFERROR(__xludf.DUMMYFUNCTION("IMPORTRANGE(""https://docs.google.com/spreadsheets/d/1IYY_tgx_IHuhSq3AJ5eI5OnqOPBNLWSHKh2a30DoXe8/edit?usp=sharing"",""พัทลุง!J179"")"),1.0)</f>
        <v>1</v>
      </c>
      <c r="K264" s="196">
        <f t="shared" ref="K264:K267" si="83">IF(I264&gt;0,J264*100/I264,0)</f>
        <v>100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IFERROR(__xludf.DUMMYFUNCTION("IMPORTRANGE(""https://docs.google.com/spreadsheets/d/1IYY_tgx_IHuhSq3AJ5eI5OnqOPBNLWSHKh2a30DoXe8/edit?usp=sharing"",""พัทลุง!I180"")"),20.0)</f>
        <v>20</v>
      </c>
      <c r="J265" s="223">
        <f>IFERROR(__xludf.DUMMYFUNCTION("IMPORTRANGE(""https://docs.google.com/spreadsheets/d/1IYY_tgx_IHuhSq3AJ5eI5OnqOPBNLWSHKh2a30DoXe8/edit?usp=sharing"",""พัทลุง!J180"")"),20.0)</f>
        <v>20</v>
      </c>
      <c r="K265" s="196">
        <f t="shared" si="83"/>
        <v>100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IFERROR(__xludf.DUMMYFUNCTION("IMPORTRANGE(""https://docs.google.com/spreadsheets/d/1IYY_tgx_IHuhSq3AJ5eI5OnqOPBNLWSHKh2a30DoXe8/edit?usp=sharing"",""พัทลุง!I181"")"),20.0)</f>
        <v>20</v>
      </c>
      <c r="J266" s="223">
        <f>IFERROR(__xludf.DUMMYFUNCTION("IMPORTRANGE(""https://docs.google.com/spreadsheets/d/1IYY_tgx_IHuhSq3AJ5eI5OnqOPBNLWSHKh2a30DoXe8/edit?usp=sharing"",""พัทลุง!J181"")"),0.0)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IFERROR(__xludf.DUMMYFUNCTION("IMPORTRANGE(""https://docs.google.com/spreadsheets/d/1IYY_tgx_IHuhSq3AJ5eI5OnqOPBNLWSHKh2a30DoXe8/edit?usp=sharing"",""พัทลุง!I182"")"),1.0)</f>
        <v>1</v>
      </c>
      <c r="J267" s="223">
        <f>IFERROR(__xludf.DUMMYFUNCTION("IMPORTRANGE(""https://docs.google.com/spreadsheets/d/1IYY_tgx_IHuhSq3AJ5eI5OnqOPBNLWSHKh2a30DoXe8/edit?usp=sharing"",""พัทลุง!J182"")"),1.0)</f>
        <v>1</v>
      </c>
      <c r="K267" s="196">
        <f t="shared" si="83"/>
        <v>100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IFERROR(__xludf.DUMMYFUNCTION("IMPORTRANGE(""https://docs.google.com/spreadsheets/d/1IYY_tgx_IHuhSq3AJ5eI5OnqOPBNLWSHKh2a30DoXe8/edit?usp=sharing"",""พัทลุง!J183"")"),0.0)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IFERROR(__xludf.DUMMYFUNCTION("IMPORTRANGE(""https://docs.google.com/spreadsheets/d/1IYY_tgx_IHuhSq3AJ5eI5OnqOPBNLWSHKh2a30DoXe8/edit?usp=sharing"",""พัทลุง!J184"")"),0.0)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IFERROR(__xludf.DUMMYFUNCTION("IMPORTRANGE(""https://docs.google.com/spreadsheets/d/1IYY_tgx_IHuhSq3AJ5eI5OnqOPBNLWSHKh2a30DoXe8/edit?usp=sharing"",""พัทลุง!I185"")"),0.0)</f>
        <v>0</v>
      </c>
      <c r="J270" s="349">
        <f>IFERROR(__xludf.DUMMYFUNCTION("IMPORTRANGE(""https://docs.google.com/spreadsheets/d/1IYY_tgx_IHuhSq3AJ5eI5OnqOPBNLWSHKh2a30DoXe8/edit?usp=sharing"",""พัทลุง!J185"")"),0.0)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IFERROR(__xludf.DUMMYFUNCTION("IMPORTRANGE(""https://docs.google.com/spreadsheets/d/1Yj_ptqi66GCucihVvJfMjLAmec39IyEx_6qawtMGysU/edit?usp=sharing"",""สบก!CK88"")"),0.0)</f>
        <v>0</v>
      </c>
      <c r="N275" s="202">
        <f>IFERROR(__xludf.DUMMYFUNCTION("IMPORTRANGE(""https://docs.google.com/spreadsheets/d/1Yj_ptqi66GCucihVvJfMjLAmec39IyEx_6qawtMGysU/edit?usp=sharing"",""สบก!CL88"")"),0.0)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IFERROR(__xludf.DUMMYFUNCTION("IMPORTRANGE(""https://docs.google.com/spreadsheets/d/1Yj_ptqi66GCucihVvJfMjLAmec39IyEx_6qawtMGysU/edit?usp=sharing"",""สบก!CG88"")"),0.0)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IFERROR(__xludf.DUMMYFUNCTION("IMPORTRANGE(""https://docs.google.com/spreadsheets/d/1Yj_ptqi66GCucihVvJfMjLAmec39IyEx_6qawtMGysU/edit?usp=sharing"",""สบก!CH88"")"),0.0)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IFERROR(__xludf.DUMMYFUNCTION("IMPORTRANGE(""https://docs.google.com/spreadsheets/d/1Yj_ptqi66GCucihVvJfMjLAmec39IyEx_6qawtMGysU/edit?usp=sharing"",""สบก!CI88"")"),0.0)</f>
        <v>0</v>
      </c>
      <c r="M279" s="125"/>
      <c r="N279" s="115">
        <f>IFERROR(__xludf.DUMMYFUNCTION("IMPORTRANGE(""https://docs.google.com/spreadsheets/d/1Yj_ptqi66GCucihVvJfMjLAmec39IyEx_6qawtMGysU/edit?usp=sharing"",""สบก!CM88"")"),0.0)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IFERROR(__xludf.DUMMYFUNCTION("IMPORTRANGE(""https://docs.google.com/spreadsheets/d/1IYY_tgx_IHuhSq3AJ5eI5OnqOPBNLWSHKh2a30DoXe8/edit?usp=sharing"",""พัทลุง!J191"")"),0.0)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IFERROR(__xludf.DUMMYFUNCTION("IMPORTRANGE(""https://docs.google.com/spreadsheets/d/1IYY_tgx_IHuhSq3AJ5eI5OnqOPBNLWSHKh2a30DoXe8/edit?usp=sharing"",""พัทลุง!J192"")"),0.0)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IFERROR(__xludf.DUMMYFUNCTION("IMPORTRANGE(""https://docs.google.com/spreadsheets/d/1IYY_tgx_IHuhSq3AJ5eI5OnqOPBNLWSHKh2a30DoXe8/edit?usp=sharing"",""พัทลุง!J193"")"),0.0)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IFERROR(__xludf.DUMMYFUNCTION("IMPORTRANGE(""https://docs.google.com/spreadsheets/d/1IYY_tgx_IHuhSq3AJ5eI5OnqOPBNLWSHKh2a30DoXe8/edit?usp=sharing"",""พัทลุง!J194"")"),0.0)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IFERROR(__xludf.DUMMYFUNCTION("IMPORTRANGE(""https://docs.google.com/spreadsheets/d/1IYY_tgx_IHuhSq3AJ5eI5OnqOPBNLWSHKh2a30DoXe8/edit?usp=sharing"",""พัทลุง!I195"")"),0.0)</f>
        <v>0</v>
      </c>
      <c r="J285" s="223">
        <f>IFERROR(__xludf.DUMMYFUNCTION("IMPORTRANGE(""https://docs.google.com/spreadsheets/d/1IYY_tgx_IHuhSq3AJ5eI5OnqOPBNLWSHKh2a30DoXe8/edit?usp=sharing"",""พัทลุง!J195"")"),0.0)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IFERROR(__xludf.DUMMYFUNCTION("IMPORTRANGE(""https://docs.google.com/spreadsheets/d/1IYY_tgx_IHuhSq3AJ5eI5OnqOPBNLWSHKh2a30DoXe8/edit?usp=sharing"",""พัทลุง!J196"")"),0.0)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IFERROR(__xludf.DUMMYFUNCTION("IMPORTRANGE(""https://docs.google.com/spreadsheets/d/1IYY_tgx_IHuhSq3AJ5eI5OnqOPBNLWSHKh2a30DoXe8/edit?usp=sharing"",""พัทลุง!J197"")"),0.0)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IFERROR(__xludf.DUMMYFUNCTION("IMPORTRANGE(""https://docs.google.com/spreadsheets/d/1IYY_tgx_IHuhSq3AJ5eI5OnqOPBNLWSHKh2a30DoXe8/edit?usp=sharing"",""พัทลุง!I199"")"),0.0)</f>
        <v>0</v>
      </c>
      <c r="J289" s="349">
        <f>IFERROR(__xludf.DUMMYFUNCTION("IMPORTRANGE(""https://docs.google.com/spreadsheets/d/1IYY_tgx_IHuhSq3AJ5eI5OnqOPBNLWSHKh2a30DoXe8/edit?usp=sharing"",""พัทลุง!J199"")"),0.0)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IFERROR(__xludf.DUMMYFUNCTION("IMPORTRANGE(""https://docs.google.com/spreadsheets/d/1Yj_ptqi66GCucihVvJfMjLAmec39IyEx_6qawtMGysU/edit?usp=sharing"",""สบก!CT88"")"),0.0)</f>
        <v>0</v>
      </c>
      <c r="N294" s="202">
        <f>IFERROR(__xludf.DUMMYFUNCTION("IMPORTRANGE(""https://docs.google.com/spreadsheets/d/1Yj_ptqi66GCucihVvJfMjLAmec39IyEx_6qawtMGysU/edit?usp=sharing"",""สบก!CU88"")"),0.0)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IFERROR(__xludf.DUMMYFUNCTION("IMPORTRANGE(""https://docs.google.com/spreadsheets/d/1Yj_ptqi66GCucihVvJfMjLAmec39IyEx_6qawtMGysU/edit?usp=sharing"",""สบก!CP88"")"),0.0)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IFERROR(__xludf.DUMMYFUNCTION("IMPORTRANGE(""https://docs.google.com/spreadsheets/d/1Yj_ptqi66GCucihVvJfMjLAmec39IyEx_6qawtMGysU/edit?usp=sharing"",""สบก!CQ88"")"),0.0)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IFERROR(__xludf.DUMMYFUNCTION("IMPORTRANGE(""https://docs.google.com/spreadsheets/d/1Yj_ptqi66GCucihVvJfMjLAmec39IyEx_6qawtMGysU/edit?usp=sharing"",""สบก!CR88"")"),0.0)</f>
        <v>0</v>
      </c>
      <c r="M298" s="125"/>
      <c r="N298" s="115">
        <f>IFERROR(__xludf.DUMMYFUNCTION("IMPORTRANGE(""https://docs.google.com/spreadsheets/d/1Yj_ptqi66GCucihVvJfMjLAmec39IyEx_6qawtMGysU/edit?usp=sharing"",""สบก!CV88"")"),0.0)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IFERROR(__xludf.DUMMYFUNCTION("IMPORTRANGE(""https://docs.google.com/spreadsheets/d/1IYY_tgx_IHuhSq3AJ5eI5OnqOPBNLWSHKh2a30DoXe8/edit?usp=sharing"",""พัทลุง!J205"")"),0.0)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IFERROR(__xludf.DUMMYFUNCTION("IMPORTRANGE(""https://docs.google.com/spreadsheets/d/1IYY_tgx_IHuhSq3AJ5eI5OnqOPBNLWSHKh2a30DoXe8/edit?usp=sharing"",""พัทลุง!J206"")"),0.0)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IFERROR(__xludf.DUMMYFUNCTION("IMPORTRANGE(""https://docs.google.com/spreadsheets/d/1IYY_tgx_IHuhSq3AJ5eI5OnqOPBNLWSHKh2a30DoXe8/edit?usp=sharing"",""พัทลุง!J207"")"),0.0)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IFERROR(__xludf.DUMMYFUNCTION("IMPORTRANGE(""https://docs.google.com/spreadsheets/d/1IYY_tgx_IHuhSq3AJ5eI5OnqOPBNLWSHKh2a30DoXe8/edit?usp=sharing"",""พัทลุง!J208"")"),0.0)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IFERROR(__xludf.DUMMYFUNCTION("IMPORTRANGE(""https://docs.google.com/spreadsheets/d/1IYY_tgx_IHuhSq3AJ5eI5OnqOPBNLWSHKh2a30DoXe8/edit?usp=sharing"",""พัทลุง!I209"")"),0.0)</f>
        <v>0</v>
      </c>
      <c r="J304" s="238">
        <f>IFERROR(__xludf.DUMMYFUNCTION("IMPORTRANGE(""https://docs.google.com/spreadsheets/d/1IYY_tgx_IHuhSq3AJ5eI5OnqOPBNLWSHKh2a30DoXe8/edit?usp=sharing"",""พัทลุง!J209"")"),0.0)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IFERROR(__xludf.DUMMYFUNCTION("IMPORTRANGE(""https://docs.google.com/spreadsheets/d/1IYY_tgx_IHuhSq3AJ5eI5OnqOPBNLWSHKh2a30DoXe8/edit?usp=sharing"",""พัทลุง!I211"")"),0.0)</f>
        <v>0</v>
      </c>
      <c r="J306" s="238">
        <f>IFERROR(__xludf.DUMMYFUNCTION("IMPORTRANGE(""https://docs.google.com/spreadsheets/d/1IYY_tgx_IHuhSq3AJ5eI5OnqOPBNLWSHKh2a30DoXe8/edit?usp=sharing"",""พัทลุง!J211"")"),0.0)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IFERROR(__xludf.DUMMYFUNCTION("IMPORTRANGE(""https://docs.google.com/spreadsheets/d/1IYY_tgx_IHuhSq3AJ5eI5OnqOPBNLWSHKh2a30DoXe8/edit?usp=sharing"",""พัทลุง!J212"")"),0.0)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IFERROR(__xludf.DUMMYFUNCTION("IMPORTRANGE(""https://docs.google.com/spreadsheets/d/1IYY_tgx_IHuhSq3AJ5eI5OnqOPBNLWSHKh2a30DoXe8/edit?usp=sharing"",""พัทลุง!J213"")"),0.0)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IFERROR(__xludf.DUMMYFUNCTION("IMPORTRANGE(""https://docs.google.com/spreadsheets/d/1IYY_tgx_IHuhSq3AJ5eI5OnqOPBNLWSHKh2a30DoXe8/edit?usp=sharing"",""พัทลุง!I214"")"),0.0)</f>
        <v>0</v>
      </c>
      <c r="J309" s="366">
        <f>IFERROR(__xludf.DUMMYFUNCTION("IMPORTRANGE(""https://docs.google.com/spreadsheets/d/1IYY_tgx_IHuhSq3AJ5eI5OnqOPBNLWSHKh2a30DoXe8/edit?usp=sharing"",""พัทลุง!J214"")"),0.0)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IFERROR(__xludf.DUMMYFUNCTION("IMPORTRANGE(""https://docs.google.com/spreadsheets/d/1Yj_ptqi66GCucihVvJfMjLAmec39IyEx_6qawtMGysU/edit?usp=sharing"",""สบก!DC88"")"),0.0)</f>
        <v>0</v>
      </c>
      <c r="N314" s="202">
        <f>IFERROR(__xludf.DUMMYFUNCTION("IMPORTRANGE(""https://docs.google.com/spreadsheets/d/1Yj_ptqi66GCucihVvJfMjLAmec39IyEx_6qawtMGysU/edit?usp=sharing"",""สบก!DD88"")"),0.0)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IFERROR(__xludf.DUMMYFUNCTION("IMPORTRANGE(""https://docs.google.com/spreadsheets/d/1Yj_ptqi66GCucihVvJfMjLAmec39IyEx_6qawtMGysU/edit?usp=sharing"",""สบก!CY88"")"),0.0)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IFERROR(__xludf.DUMMYFUNCTION("IMPORTRANGE(""https://docs.google.com/spreadsheets/d/1Yj_ptqi66GCucihVvJfMjLAmec39IyEx_6qawtMGysU/edit?usp=sharing"",""สบก!CZ88"")"),0.0)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IFERROR(__xludf.DUMMYFUNCTION("IMPORTRANGE(""https://docs.google.com/spreadsheets/d/1Yj_ptqi66GCucihVvJfMjLAmec39IyEx_6qawtMGysU/edit?usp=sharing"",""สบก!DA88"")"),0.0)</f>
        <v>0</v>
      </c>
      <c r="M318" s="125"/>
      <c r="N318" s="115">
        <f>IFERROR(__xludf.DUMMYFUNCTION("IMPORTRANGE(""https://docs.google.com/spreadsheets/d/1Yj_ptqi66GCucihVvJfMjLAmec39IyEx_6qawtMGysU/edit?usp=sharing"",""สบก!DE88"")"),0.0)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IFERROR(__xludf.DUMMYFUNCTION("IMPORTRANGE(""https://docs.google.com/spreadsheets/d/1IYY_tgx_IHuhSq3AJ5eI5OnqOPBNLWSHKh2a30DoXe8/edit?usp=sharing"",""พัทลุง!J220"")"),0.0)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IFERROR(__xludf.DUMMYFUNCTION("IMPORTRANGE(""https://docs.google.com/spreadsheets/d/1IYY_tgx_IHuhSq3AJ5eI5OnqOPBNLWSHKh2a30DoXe8/edit?usp=sharing"",""พัทลุง!J221"")"),0.0)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IFERROR(__xludf.DUMMYFUNCTION("IMPORTRANGE(""https://docs.google.com/spreadsheets/d/1IYY_tgx_IHuhSq3AJ5eI5OnqOPBNLWSHKh2a30DoXe8/edit?usp=sharing"",""พัทลุง!J222"")"),0.0)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IFERROR(__xludf.DUMMYFUNCTION("IMPORTRANGE(""https://docs.google.com/spreadsheets/d/1IYY_tgx_IHuhSq3AJ5eI5OnqOPBNLWSHKh2a30DoXe8/edit?usp=sharing"",""พัทลุง!J223"")"),0.0)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IFERROR(__xludf.DUMMYFUNCTION("IMPORTRANGE(""https://docs.google.com/spreadsheets/d/1IYY_tgx_IHuhSq3AJ5eI5OnqOPBNLWSHKh2a30DoXe8/edit?usp=sharing"",""พัทลุง!I224"")"),0.0)</f>
        <v>0</v>
      </c>
      <c r="J324" s="238">
        <f>IFERROR(__xludf.DUMMYFUNCTION("IMPORTRANGE(""https://docs.google.com/spreadsheets/d/1IYY_tgx_IHuhSq3AJ5eI5OnqOPBNLWSHKh2a30DoXe8/edit?usp=sharing"",""พัทลุง!J224"")"),0.0)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IFERROR(__xludf.DUMMYFUNCTION("IMPORTRANGE(""https://docs.google.com/spreadsheets/d/1IYY_tgx_IHuhSq3AJ5eI5OnqOPBNLWSHKh2a30DoXe8/edit?usp=sharing"",""พัทลุง!J225"")"),0.0)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IFERROR(__xludf.DUMMYFUNCTION("IMPORTRANGE(""https://docs.google.com/spreadsheets/d/1IYY_tgx_IHuhSq3AJ5eI5OnqOPBNLWSHKh2a30DoXe8/edit?usp=sharing"",""พัทลุง!J226"")"),0.0)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IFERROR(__xludf.DUMMYFUNCTION("IMPORTRANGE(""https://docs.google.com/spreadsheets/d/1IYY_tgx_IHuhSq3AJ5eI5OnqOPBNLWSHKh2a30DoXe8/edit?usp=sharing"",""พัทลุง!I228"")"),165.0)</f>
        <v>165</v>
      </c>
      <c r="J328" s="372">
        <f>IFERROR(__xludf.DUMMYFUNCTION("IMPORTRANGE(""https://docs.google.com/spreadsheets/d/1IYY_tgx_IHuhSq3AJ5eI5OnqOPBNLWSHKh2a30DoXe8/edit?usp=sharing"",""พัทลุง!J228"")"),72.0)</f>
        <v>72</v>
      </c>
      <c r="K328" s="350">
        <f>IF(I328&gt;0,J328*100/I328,0)</f>
        <v>43.63636364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727620</v>
      </c>
      <c r="M329" s="183">
        <f t="shared" si="99"/>
        <v>303420</v>
      </c>
      <c r="N329" s="183">
        <f t="shared" si="99"/>
        <v>355740</v>
      </c>
      <c r="O329" s="182">
        <f t="shared" ref="O329:O331" si="101">IF(L329&gt;0,N329*100/L329,0)</f>
        <v>48.89090459</v>
      </c>
      <c r="P329" s="182">
        <f t="shared" ref="P329:P331" si="102">IF(M329&gt;0,N329*100/M329,0)</f>
        <v>117.243425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727620</v>
      </c>
      <c r="M331" s="188">
        <f t="shared" si="103"/>
        <v>303420</v>
      </c>
      <c r="N331" s="188">
        <f t="shared" si="103"/>
        <v>355740</v>
      </c>
      <c r="O331" s="187">
        <f t="shared" si="101"/>
        <v>48.89090459</v>
      </c>
      <c r="P331" s="187">
        <f t="shared" si="102"/>
        <v>117.243425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580620</v>
      </c>
      <c r="M333" s="201">
        <f>IFERROR(__xludf.DUMMYFUNCTION("IMPORTRANGE(""https://docs.google.com/spreadsheets/d/1Yj_ptqi66GCucihVvJfMjLAmec39IyEx_6qawtMGysU/edit?usp=sharing"",""สบก!DL88"")"),303420.0)</f>
        <v>303420</v>
      </c>
      <c r="N333" s="202">
        <f>IFERROR(__xludf.DUMMYFUNCTION("IMPORTRANGE(""https://docs.google.com/spreadsheets/d/1Yj_ptqi66GCucihVvJfMjLAmec39IyEx_6qawtMGysU/edit?usp=sharing"",""สบก!DM88"")"),216740.0)</f>
        <v>216740</v>
      </c>
      <c r="O333" s="203">
        <f>IF(L333&gt;0,N333*100/L333,0)</f>
        <v>37.32906204</v>
      </c>
      <c r="P333" s="203">
        <f>IF(M333&gt;0,N333*100/M333,0)</f>
        <v>71.43233801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IFERROR(__xludf.DUMMYFUNCTION("IMPORTRANGE(""https://docs.google.com/spreadsheets/d/1Yj_ptqi66GCucihVvJfMjLAmec39IyEx_6qawtMGysU/edit?usp=sharing"",""สบก!DH88"")"),306000.0)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IFERROR(__xludf.DUMMYFUNCTION("IMPORTRANGE(""https://docs.google.com/spreadsheets/d/1Yj_ptqi66GCucihVvJfMjLAmec39IyEx_6qawtMGysU/edit?usp=sharing"",""สบก!DI88"")"),274620.0)</f>
        <v>274620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IFERROR(__xludf.DUMMYFUNCTION("IMPORTRANGE(""https://docs.google.com/spreadsheets/d/1Yj_ptqi66GCucihVvJfMjLAmec39IyEx_6qawtMGysU/edit?usp=sharing"",""สบก!DJ88"")"),147000.0)</f>
        <v>147000</v>
      </c>
      <c r="M337" s="125"/>
      <c r="N337" s="115">
        <f>IFERROR(__xludf.DUMMYFUNCTION("IMPORTRANGE(""https://docs.google.com/spreadsheets/d/1Yj_ptqi66GCucihVvJfMjLAmec39IyEx_6qawtMGysU/edit?usp=sharing"",""สบก!DN88"")"),139000.0)</f>
        <v>139000</v>
      </c>
      <c r="O337" s="125">
        <f>IF(L337&gt;0,N337*100/L337,0)</f>
        <v>94.55782313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IFERROR(__xludf.DUMMYFUNCTION("IMPORTRANGE(""https://docs.google.com/spreadsheets/d/1IYY_tgx_IHuhSq3AJ5eI5OnqOPBNLWSHKh2a30DoXe8/edit?usp=sharing"",""พัทลุง!I234"")"),0.0)</f>
        <v>0</v>
      </c>
      <c r="J339" s="222">
        <f>IFERROR(__xludf.DUMMYFUNCTION("IMPORTRANGE(""https://docs.google.com/spreadsheets/d/1IYY_tgx_IHuhSq3AJ5eI5OnqOPBNLWSHKh2a30DoXe8/edit?usp=sharing"",""พัทลุง!J234"")"),87.0)</f>
        <v>87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IFERROR(__xludf.DUMMYFUNCTION("IMPORTRANGE(""https://docs.google.com/spreadsheets/d/1IYY_tgx_IHuhSq3AJ5eI5OnqOPBNLWSHKh2a30DoXe8/edit?usp=sharing"",""พัทลุง!I235"")"),700.0)</f>
        <v>700</v>
      </c>
      <c r="J340" s="222">
        <f>IFERROR(__xludf.DUMMYFUNCTION("IMPORTRANGE(""https://docs.google.com/spreadsheets/d/1IYY_tgx_IHuhSq3AJ5eI5OnqOPBNLWSHKh2a30DoXe8/edit?usp=sharing"",""พัทลุง!J235"")"),439.23)</f>
        <v>439.23</v>
      </c>
      <c r="K340" s="375">
        <f t="shared" si="104"/>
        <v>62.74714286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IFERROR(__xludf.DUMMYFUNCTION("IMPORTRANGE(""https://docs.google.com/spreadsheets/d/1IYY_tgx_IHuhSq3AJ5eI5OnqOPBNLWSHKh2a30DoXe8/edit?usp=sharing"",""พัทลุง!I236"")"),165.0)</f>
        <v>165</v>
      </c>
      <c r="J341" s="222">
        <f>IFERROR(__xludf.DUMMYFUNCTION("IMPORTRANGE(""https://docs.google.com/spreadsheets/d/1IYY_tgx_IHuhSq3AJ5eI5OnqOPBNLWSHKh2a30DoXe8/edit?usp=sharing"",""พัทลุง!J236"")"),105.0)</f>
        <v>105</v>
      </c>
      <c r="K341" s="375">
        <f t="shared" si="104"/>
        <v>63.63636364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IFERROR(__xludf.DUMMYFUNCTION("IMPORTRANGE(""https://docs.google.com/spreadsheets/d/1IYY_tgx_IHuhSq3AJ5eI5OnqOPBNLWSHKh2a30DoXe8/edit?usp=sharing"",""พัทลุง!I237"")"),0.0)</f>
        <v>0</v>
      </c>
      <c r="J342" s="222">
        <f>IFERROR(__xludf.DUMMYFUNCTION("IMPORTRANGE(""https://docs.google.com/spreadsheets/d/1IYY_tgx_IHuhSq3AJ5eI5OnqOPBNLWSHKh2a30DoXe8/edit?usp=sharing"",""พัทลุง!J237"")"),630.9)</f>
        <v>630.9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IFERROR(__xludf.DUMMYFUNCTION("IMPORTRANGE(""https://docs.google.com/spreadsheets/d/1IYY_tgx_IHuhSq3AJ5eI5OnqOPBNLWSHKh2a30DoXe8/edit?usp=sharing"",""พัทลุง!I238"")"),165.0)</f>
        <v>165</v>
      </c>
      <c r="J343" s="222">
        <f>IFERROR(__xludf.DUMMYFUNCTION("IMPORTRANGE(""https://docs.google.com/spreadsheets/d/1IYY_tgx_IHuhSq3AJ5eI5OnqOPBNLWSHKh2a30DoXe8/edit?usp=sharing"",""พัทลุง!J238"")"),0.0)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IFERROR(__xludf.DUMMYFUNCTION("IMPORTRANGE(""https://docs.google.com/spreadsheets/d/1IYY_tgx_IHuhSq3AJ5eI5OnqOPBNLWSHKh2a30DoXe8/edit?usp=sharing"",""พัทลุง!I239"")"),0.0)</f>
        <v>0</v>
      </c>
      <c r="J344" s="222">
        <f>IFERROR(__xludf.DUMMYFUNCTION("IMPORTRANGE(""https://docs.google.com/spreadsheets/d/1IYY_tgx_IHuhSq3AJ5eI5OnqOPBNLWSHKh2a30DoXe8/edit?usp=sharing"",""พัทลุง!J239"")"),0.0)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IFERROR(__xludf.DUMMYFUNCTION("IMPORTRANGE(""https://docs.google.com/spreadsheets/d/1IYY_tgx_IHuhSq3AJ5eI5OnqOPBNLWSHKh2a30DoXe8/edit?usp=sharing"",""พัทลุง!I240"")"),165.0)</f>
        <v>165</v>
      </c>
      <c r="J345" s="222">
        <f>IFERROR(__xludf.DUMMYFUNCTION("IMPORTRANGE(""https://docs.google.com/spreadsheets/d/1IYY_tgx_IHuhSq3AJ5eI5OnqOPBNLWSHKh2a30DoXe8/edit?usp=sharing"",""พัทลุง!J240"")"),72.0)</f>
        <v>72</v>
      </c>
      <c r="K345" s="375">
        <f t="shared" si="104"/>
        <v>43.63636364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IFERROR(__xludf.DUMMYFUNCTION("IMPORTRANGE(""https://docs.google.com/spreadsheets/d/1IYY_tgx_IHuhSq3AJ5eI5OnqOPBNLWSHKh2a30DoXe8/edit?usp=sharing"",""พัทลุง!I241"")"),0.0)</f>
        <v>0</v>
      </c>
      <c r="J346" s="222">
        <f>IFERROR(__xludf.DUMMYFUNCTION("IMPORTRANGE(""https://docs.google.com/spreadsheets/d/1IYY_tgx_IHuhSq3AJ5eI5OnqOPBNLWSHKh2a30DoXe8/edit?usp=sharing"",""พัทลุง!J241"")"),451.18)</f>
        <v>451.18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IFERROR(__xludf.DUMMYFUNCTION("IMPORTRANGE(""https://docs.google.com/spreadsheets/d/1IYY_tgx_IHuhSq3AJ5eI5OnqOPBNLWSHKh2a30DoXe8/edit?usp=sharing"",""พัทลุง!L242"")"),1556947.0)</f>
        <v>1556947</v>
      </c>
      <c r="M347" s="391"/>
      <c r="N347" s="391">
        <f>IFERROR(__xludf.DUMMYFUNCTION("IMPORTRANGE(""https://docs.google.com/spreadsheets/d/1IYY_tgx_IHuhSq3AJ5eI5OnqOPBNLWSHKh2a30DoXe8/edit?usp=sharing"",""พัทลุง!M242"")"),271182.27)</f>
        <v>271182.27</v>
      </c>
      <c r="O347" s="391">
        <f>+IF(L347&gt;0,N347*100/L347,0)</f>
        <v>17.41756592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IFERROR(__xludf.DUMMYFUNCTION("IMPORTRANGE(""https://docs.google.com/spreadsheets/d/1IYY_tgx_IHuhSq3AJ5eI5OnqOPBNLWSHKh2a30DoXe8/edit?usp=sharing"",""พัทลุง!I244"")"),128.0)</f>
        <v>128</v>
      </c>
      <c r="J349" s="404">
        <f>IFERROR(__xludf.DUMMYFUNCTION("IMPORTRANGE(""https://docs.google.com/spreadsheets/d/1IYY_tgx_IHuhSq3AJ5eI5OnqOPBNLWSHKh2a30DoXe8/edit?usp=sharing"",""พัทลุง!J244"")"),0.0)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IFERROR(__xludf.DUMMYFUNCTION("IMPORTRANGE(""https://docs.google.com/spreadsheets/d/1IYY_tgx_IHuhSq3AJ5eI5OnqOPBNLWSHKh2a30DoXe8/edit?usp=sharing"",""พัทลุง!L244"")"),334640.0)</f>
        <v>334640</v>
      </c>
      <c r="M349" s="406"/>
      <c r="N349" s="406">
        <f>IFERROR(__xludf.DUMMYFUNCTION("IMPORTRANGE(""https://docs.google.com/spreadsheets/d/1IYY_tgx_IHuhSq3AJ5eI5OnqOPBNLWSHKh2a30DoXe8/edit?usp=sharing"",""พัทลุง!M244"")"),82140.68)</f>
        <v>82140.68</v>
      </c>
      <c r="O349" s="406">
        <f>+IF(L349&gt;0,N349*100/L349,0)</f>
        <v>24.54598374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IFERROR(__xludf.DUMMYFUNCTION("IMPORTRANGE(""https://docs.google.com/spreadsheets/d/1IYY_tgx_IHuhSq3AJ5eI5OnqOPBNLWSHKh2a30DoXe8/edit?usp=sharing"",""พัทลุง!I245"")"),32.0)</f>
        <v>32</v>
      </c>
      <c r="J350" s="404">
        <f>IFERROR(__xludf.DUMMYFUNCTION("IMPORTRANGE(""https://docs.google.com/spreadsheets/d/1IYY_tgx_IHuhSq3AJ5eI5OnqOPBNLWSHKh2a30DoXe8/edit?usp=sharing"",""พัทลุง!J245"")"),32.0)</f>
        <v>32</v>
      </c>
      <c r="K350" s="405">
        <f t="shared" si="105"/>
        <v>100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IFERROR(__xludf.DUMMYFUNCTION("IMPORTRANGE(""https://docs.google.com/spreadsheets/d/1IYY_tgx_IHuhSq3AJ5eI5OnqOPBNLWSHKh2a30DoXe8/edit?usp=sharing"",""พัทลุง!L246"")"),0.0)</f>
        <v>0</v>
      </c>
      <c r="M351" s="197"/>
      <c r="N351" s="197">
        <f>IFERROR(__xludf.DUMMYFUNCTION("IMPORTRANGE(""https://docs.google.com/spreadsheets/d/1IYY_tgx_IHuhSq3AJ5eI5OnqOPBNLWSHKh2a30DoXe8/edit?usp=sharing"",""พัทลุง!M246"")"),0.0)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IFERROR(__xludf.DUMMYFUNCTION("IMPORTRANGE(""https://docs.google.com/spreadsheets/d/1IYY_tgx_IHuhSq3AJ5eI5OnqOPBNLWSHKh2a30DoXe8/edit?usp=sharing"",""พัทลุง!L247"")"),334640.0)</f>
        <v>334640</v>
      </c>
      <c r="M352" s="198"/>
      <c r="N352" s="197">
        <f>IFERROR(__xludf.DUMMYFUNCTION("IMPORTRANGE(""https://docs.google.com/spreadsheets/d/1IYY_tgx_IHuhSq3AJ5eI5OnqOPBNLWSHKh2a30DoXe8/edit?usp=sharing"",""พัทลุง!M247"")"),82140.68)</f>
        <v>82140.68</v>
      </c>
      <c r="O352" s="198">
        <f t="shared" si="106"/>
        <v>24.54598374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IFERROR(__xludf.DUMMYFUNCTION("IMPORTRANGE(""https://docs.google.com/spreadsheets/d/1IYY_tgx_IHuhSq3AJ5eI5OnqOPBNLWSHKh2a30DoXe8/edit?usp=sharing"",""พัทลุง!L248"")"),0.0)</f>
        <v>0</v>
      </c>
      <c r="M353" s="203"/>
      <c r="N353" s="203">
        <f>IFERROR(__xludf.DUMMYFUNCTION("IMPORTRANGE(""https://docs.google.com/spreadsheets/d/1IYY_tgx_IHuhSq3AJ5eI5OnqOPBNLWSHKh2a30DoXe8/edit?usp=sharing"",""พัทลุง!M248"")"),0.0)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IFERROR(__xludf.DUMMYFUNCTION("IMPORTRANGE(""https://docs.google.com/spreadsheets/d/1IYY_tgx_IHuhSq3AJ5eI5OnqOPBNLWSHKh2a30DoXe8/edit?usp=sharing"",""พัทลุง!L249"")"),334640.0)</f>
        <v>334640</v>
      </c>
      <c r="M354" s="203"/>
      <c r="N354" s="200">
        <f>IFERROR(__xludf.DUMMYFUNCTION("IMPORTRANGE(""https://docs.google.com/spreadsheets/d/1IYY_tgx_IHuhSq3AJ5eI5OnqOPBNLWSHKh2a30DoXe8/edit?usp=sharing"",""พัทลุง!M249"")"),82140.68)</f>
        <v>82140.68</v>
      </c>
      <c r="O354" s="203">
        <f t="shared" si="106"/>
        <v>24.54598374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IFERROR(__xludf.DUMMYFUNCTION("IMPORTRANGE(""https://docs.google.com/spreadsheets/d/1IYY_tgx_IHuhSq3AJ5eI5OnqOPBNLWSHKh2a30DoXe8/edit?usp=sharing"",""พัทลุง!M250"")"),41180.0)</f>
        <v>41180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IFERROR(__xludf.DUMMYFUNCTION("IMPORTRANGE(""https://docs.google.com/spreadsheets/d/1IYY_tgx_IHuhSq3AJ5eI5OnqOPBNLWSHKh2a30DoXe8/edit?usp=sharing"",""พัทลุง!M251"")"),0.0)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IFERROR(__xludf.DUMMYFUNCTION("IMPORTRANGE(""https://docs.google.com/spreadsheets/d/1IYY_tgx_IHuhSq3AJ5eI5OnqOPBNLWSHKh2a30DoXe8/edit?usp=sharing"",""พัทลุง!M252"")"),31580.68)</f>
        <v>31580.68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IFERROR(__xludf.DUMMYFUNCTION("IMPORTRANGE(""https://docs.google.com/spreadsheets/d/1IYY_tgx_IHuhSq3AJ5eI5OnqOPBNLWSHKh2a30DoXe8/edit?usp=sharing"",""พัทลุง!M253"")"),9380.0)</f>
        <v>9380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IFERROR(__xludf.DUMMYFUNCTION("IMPORTRANGE(""https://docs.google.com/spreadsheets/d/1IYY_tgx_IHuhSq3AJ5eI5OnqOPBNLWSHKh2a30DoXe8/edit?usp=sharing"",""พัทลุง!J255"")"),0.0)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IFERROR(__xludf.DUMMYFUNCTION("IMPORTRANGE(""https://docs.google.com/spreadsheets/d/1IYY_tgx_IHuhSq3AJ5eI5OnqOPBNLWSHKh2a30DoXe8/edit?usp=sharing"",""พัทลุง!J256"")"),1.0)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IFERROR(__xludf.DUMMYFUNCTION("IMPORTRANGE(""https://docs.google.com/spreadsheets/d/1IYY_tgx_IHuhSq3AJ5eI5OnqOPBNLWSHKh2a30DoXe8/edit?usp=sharing"",""พัทลุง!J257"")"),1.0)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IFERROR(__xludf.DUMMYFUNCTION("IMPORTRANGE(""https://docs.google.com/spreadsheets/d/1IYY_tgx_IHuhSq3AJ5eI5OnqOPBNLWSHKh2a30DoXe8/edit?usp=sharing"",""พัทลุง!J258"")"),1.0)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IFERROR(__xludf.DUMMYFUNCTION("IMPORTRANGE(""https://docs.google.com/spreadsheets/d/1IYY_tgx_IHuhSq3AJ5eI5OnqOPBNLWSHKh2a30DoXe8/edit?usp=sharing"",""พัทลุง!J166"")"),0.0)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IFERROR(__xludf.DUMMYFUNCTION("IMPORTRANGE(""https://docs.google.com/spreadsheets/d/1IYY_tgx_IHuhSq3AJ5eI5OnqOPBNLWSHKh2a30DoXe8/edit?usp=sharing"",""พัทลุง!J166"")"),0.0)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IFERROR(__xludf.DUMMYFUNCTION("IMPORTRANGE(""https://docs.google.com/spreadsheets/d/1IYY_tgx_IHuhSq3AJ5eI5OnqOPBNLWSHKh2a30DoXe8/edit?usp=sharing"",""พัทลุง!J166"")"),0.0)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IFERROR(__xludf.DUMMYFUNCTION("IMPORTRANGE(""https://docs.google.com/spreadsheets/d/1IYY_tgx_IHuhSq3AJ5eI5OnqOPBNLWSHKh2a30DoXe8/edit?usp=sharing"",""พัทลุง!J166"")"),0.0)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IFERROR(__xludf.DUMMYFUNCTION("IMPORTRANGE(""https://docs.google.com/spreadsheets/d/1IYY_tgx_IHuhSq3AJ5eI5OnqOPBNLWSHKh2a30DoXe8/edit?usp=sharing"",""พัทลุง!I263"")"),32.0)</f>
        <v>32</v>
      </c>
      <c r="J368" s="222">
        <f>IFERROR(__xludf.DUMMYFUNCTION("IMPORTRANGE(""https://docs.google.com/spreadsheets/d/1IYY_tgx_IHuhSq3AJ5eI5OnqOPBNLWSHKh2a30DoXe8/edit?usp=sharing"",""พัทลุง!J263"")"),32.0)</f>
        <v>32</v>
      </c>
      <c r="K368" s="196">
        <f t="shared" si="107"/>
        <v>100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IFERROR(__xludf.DUMMYFUNCTION("IMPORTRANGE(""https://docs.google.com/spreadsheets/d/1IYY_tgx_IHuhSq3AJ5eI5OnqOPBNLWSHKh2a30DoXe8/edit?usp=sharing"",""พัทลุง!I164"")"),0.0)</f>
        <v>0</v>
      </c>
      <c r="J369" s="238">
        <f>IFERROR(__xludf.DUMMYFUNCTION("IMPORTRANGE(""https://docs.google.com/spreadsheets/d/1IYY_tgx_IHuhSq3AJ5eI5OnqOPBNLWSHKh2a30DoXe8/edit?usp=sharing"",""พัทลุง!J164"")"),0.0)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IFERROR(__xludf.DUMMYFUNCTION("IMPORTRANGE(""https://docs.google.com/spreadsheets/d/1IYY_tgx_IHuhSq3AJ5eI5OnqOPBNLWSHKh2a30DoXe8/edit?usp=sharing"",""พัทลุง!I265"")"),32.0)</f>
        <v>32</v>
      </c>
      <c r="J370" s="238">
        <f>IFERROR(__xludf.DUMMYFUNCTION("IMPORTRANGE(""https://docs.google.com/spreadsheets/d/1IYY_tgx_IHuhSq3AJ5eI5OnqOPBNLWSHKh2a30DoXe8/edit?usp=sharing"",""พัทลุง!J265"")"),32.0)</f>
        <v>32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IFERROR(__xludf.DUMMYFUNCTION("IMPORTRANGE(""https://docs.google.com/spreadsheets/d/1IYY_tgx_IHuhSq3AJ5eI5OnqOPBNLWSHKh2a30DoXe8/edit?usp=sharing"",""พัทลุง!I164"")"),0.0)</f>
        <v>0</v>
      </c>
      <c r="J371" s="223">
        <f>IFERROR(__xludf.DUMMYFUNCTION("IMPORTRANGE(""https://docs.google.com/spreadsheets/d/1IYY_tgx_IHuhSq3AJ5eI5OnqOPBNLWSHKh2a30DoXe8/edit?usp=sharing"",""พัทลุง!J164"")"),0.0)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IFERROR(__xludf.DUMMYFUNCTION("IMPORTRANGE(""https://docs.google.com/spreadsheets/d/1IYY_tgx_IHuhSq3AJ5eI5OnqOPBNLWSHKh2a30DoXe8/edit?usp=sharing"",""พัทลุง!I267"")"),32.0)</f>
        <v>32</v>
      </c>
      <c r="J372" s="223">
        <f>IFERROR(__xludf.DUMMYFUNCTION("IMPORTRANGE(""https://docs.google.com/spreadsheets/d/1IYY_tgx_IHuhSq3AJ5eI5OnqOPBNLWSHKh2a30DoXe8/edit?usp=sharing"",""พัทลุง!J267"")"),32.0)</f>
        <v>32</v>
      </c>
      <c r="K372" s="196">
        <f t="shared" si="107"/>
        <v>100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IFERROR(__xludf.DUMMYFUNCTION("IMPORTRANGE(""https://docs.google.com/spreadsheets/d/1IYY_tgx_IHuhSq3AJ5eI5OnqOPBNLWSHKh2a30DoXe8/edit?usp=sharing"",""พัทลุง!I164"")"),0.0)</f>
        <v>0</v>
      </c>
      <c r="J373" s="238">
        <f>IFERROR(__xludf.DUMMYFUNCTION("IMPORTRANGE(""https://docs.google.com/spreadsheets/d/1IYY_tgx_IHuhSq3AJ5eI5OnqOPBNLWSHKh2a30DoXe8/edit?usp=sharing"",""พัทลุง!J164"")"),0.0)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IFERROR(__xludf.DUMMYFUNCTION("IMPORTRANGE(""https://docs.google.com/spreadsheets/d/1IYY_tgx_IHuhSq3AJ5eI5OnqOPBNLWSHKh2a30DoXe8/edit?usp=sharing"",""พัทลุง!I164"")"),0.0)</f>
        <v>0</v>
      </c>
      <c r="J374" s="222">
        <f>IFERROR(__xludf.DUMMYFUNCTION("IMPORTRANGE(""https://docs.google.com/spreadsheets/d/1IYY_tgx_IHuhSq3AJ5eI5OnqOPBNLWSHKh2a30DoXe8/edit?usp=sharing"",""พัทลุง!J164"")"),0.0)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IFERROR(__xludf.DUMMYFUNCTION("IMPORTRANGE(""https://docs.google.com/spreadsheets/d/1IYY_tgx_IHuhSq3AJ5eI5OnqOPBNLWSHKh2a30DoXe8/edit?usp=sharing"",""พัทลุง!I270"")"),128.0)</f>
        <v>128</v>
      </c>
      <c r="J375" s="222">
        <f>IFERROR(__xludf.DUMMYFUNCTION("IMPORTRANGE(""https://docs.google.com/spreadsheets/d/1IYY_tgx_IHuhSq3AJ5eI5OnqOPBNLWSHKh2a30DoXe8/edit?usp=sharing"",""พัทลุง!J270"")"),0.0)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IFERROR(__xludf.DUMMYFUNCTION("IMPORTRANGE(""https://docs.google.com/spreadsheets/d/1IYY_tgx_IHuhSq3AJ5eI5OnqOPBNLWSHKh2a30DoXe8/edit?usp=sharing"",""พัทลุง!I271"")"),40.0)</f>
        <v>40</v>
      </c>
      <c r="J376" s="223">
        <f>IFERROR(__xludf.DUMMYFUNCTION("IMPORTRANGE(""https://docs.google.com/spreadsheets/d/1IYY_tgx_IHuhSq3AJ5eI5OnqOPBNLWSHKh2a30DoXe8/edit?usp=sharing"",""พัทลุง!J271"")"),0.0)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IFERROR(__xludf.DUMMYFUNCTION("IMPORTRANGE(""https://docs.google.com/spreadsheets/d/1IYY_tgx_IHuhSq3AJ5eI5OnqOPBNLWSHKh2a30DoXe8/edit?usp=sharing"",""พัทลุง!I272"")"),88.0)</f>
        <v>88</v>
      </c>
      <c r="J377" s="238">
        <f>IFERROR(__xludf.DUMMYFUNCTION("IMPORTRANGE(""https://docs.google.com/spreadsheets/d/1IYY_tgx_IHuhSq3AJ5eI5OnqOPBNLWSHKh2a30DoXe8/edit?usp=sharing"",""พัทลุง!J272"")"),0.0)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IFERROR(__xludf.DUMMYFUNCTION("IMPORTRANGE(""https://docs.google.com/spreadsheets/d/1IYY_tgx_IHuhSq3AJ5eI5OnqOPBNLWSHKh2a30DoXe8/edit?usp=sharing"",""พัทลุง!J273"")"),0.0)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IFERROR(__xludf.DUMMYFUNCTION("IMPORTRANGE(""https://docs.google.com/spreadsheets/d/1IYY_tgx_IHuhSq3AJ5eI5OnqOPBNLWSHKh2a30DoXe8/edit?usp=sharing"",""พัทลุง!J274"")"),0.0)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IFERROR(__xludf.DUMMYFUNCTION("IMPORTRANGE(""https://docs.google.com/spreadsheets/d/1IYY_tgx_IHuhSq3AJ5eI5OnqOPBNLWSHKh2a30DoXe8/edit?usp=sharing"",""พัทลุง!I275"")"),300.0)</f>
        <v>300</v>
      </c>
      <c r="J380" s="404">
        <f>IFERROR(__xludf.DUMMYFUNCTION("IMPORTRANGE(""https://docs.google.com/spreadsheets/d/1IYY_tgx_IHuhSq3AJ5eI5OnqOPBNLWSHKh2a30DoXe8/edit?usp=sharing"",""พัทลุง!J275"")"),0.0)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IFERROR(__xludf.DUMMYFUNCTION("IMPORTRANGE(""https://docs.google.com/spreadsheets/d/1IYY_tgx_IHuhSq3AJ5eI5OnqOPBNLWSHKh2a30DoXe8/edit?usp=sharing"",""พัทลุง!L275"")"),293900.0)</f>
        <v>293900</v>
      </c>
      <c r="M380" s="406"/>
      <c r="N380" s="406">
        <f>IFERROR(__xludf.DUMMYFUNCTION("IMPORTRANGE(""https://docs.google.com/spreadsheets/d/1IYY_tgx_IHuhSq3AJ5eI5OnqOPBNLWSHKh2a30DoXe8/edit?usp=sharing"",""พัทลุง!M275"")"),31990.0)</f>
        <v>31990</v>
      </c>
      <c r="O380" s="406">
        <f>+IF(L380&gt;0,N380*100/L380,0)</f>
        <v>10.88465464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IFERROR(__xludf.DUMMYFUNCTION("IMPORTRANGE(""https://docs.google.com/spreadsheets/d/1IYY_tgx_IHuhSq3AJ5eI5OnqOPBNLWSHKh2a30DoXe8/edit?usp=sharing"",""พัทลุง!I276"")"),30.0)</f>
        <v>30</v>
      </c>
      <c r="J381" s="404">
        <f>IFERROR(__xludf.DUMMYFUNCTION("IMPORTRANGE(""https://docs.google.com/spreadsheets/d/1IYY_tgx_IHuhSq3AJ5eI5OnqOPBNLWSHKh2a30DoXe8/edit?usp=sharing"",""พัทลุง!J276"")"),30.0)</f>
        <v>30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IFERROR(__xludf.DUMMYFUNCTION("IMPORTRANGE(""https://docs.google.com/spreadsheets/d/1IYY_tgx_IHuhSq3AJ5eI5OnqOPBNLWSHKh2a30DoXe8/edit?usp=sharing"",""พัทลุง!L277"")"),0.0)</f>
        <v>0</v>
      </c>
      <c r="M382" s="197"/>
      <c r="N382" s="197">
        <f>IFERROR(__xludf.DUMMYFUNCTION("IMPORTRANGE(""https://docs.google.com/spreadsheets/d/1IYY_tgx_IHuhSq3AJ5eI5OnqOPBNLWSHKh2a30DoXe8/edit?usp=sharing"",""พัทลุง!M277"")"),0.0)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IFERROR(__xludf.DUMMYFUNCTION("IMPORTRANGE(""https://docs.google.com/spreadsheets/d/1IYY_tgx_IHuhSq3AJ5eI5OnqOPBNLWSHKh2a30DoXe8/edit?usp=sharing"",""พัทลุง!L278"")"),293900.0)</f>
        <v>293900</v>
      </c>
      <c r="M383" s="198"/>
      <c r="N383" s="198">
        <f>IFERROR(__xludf.DUMMYFUNCTION("IMPORTRANGE(""https://docs.google.com/spreadsheets/d/1IYY_tgx_IHuhSq3AJ5eI5OnqOPBNLWSHKh2a30DoXe8/edit?usp=sharing"",""พัทลุง!M278"")"),31990.0)</f>
        <v>31990</v>
      </c>
      <c r="O383" s="198">
        <f t="shared" si="110"/>
        <v>10.88465464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IFERROR(__xludf.DUMMYFUNCTION("IMPORTRANGE(""https://docs.google.com/spreadsheets/d/1IYY_tgx_IHuhSq3AJ5eI5OnqOPBNLWSHKh2a30DoXe8/edit?usp=sharing"",""พัทลุง!L279"")"),0.0)</f>
        <v>0</v>
      </c>
      <c r="M384" s="203"/>
      <c r="N384" s="203">
        <f>IFERROR(__xludf.DUMMYFUNCTION("IMPORTRANGE(""https://docs.google.com/spreadsheets/d/1IYY_tgx_IHuhSq3AJ5eI5OnqOPBNLWSHKh2a30DoXe8/edit?usp=sharing"",""พัทลุง!M279"")"),0.0)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IFERROR(__xludf.DUMMYFUNCTION("IMPORTRANGE(""https://docs.google.com/spreadsheets/d/1IYY_tgx_IHuhSq3AJ5eI5OnqOPBNLWSHKh2a30DoXe8/edit?usp=sharing"",""พัทลุง!L280"")"),293900.0)</f>
        <v>293900</v>
      </c>
      <c r="M385" s="203"/>
      <c r="N385" s="200">
        <f>IFERROR(__xludf.DUMMYFUNCTION("IMPORTRANGE(""https://docs.google.com/spreadsheets/d/1IYY_tgx_IHuhSq3AJ5eI5OnqOPBNLWSHKh2a30DoXe8/edit?usp=sharing"",""พัทลุง!M280"")"),31990.0)</f>
        <v>31990</v>
      </c>
      <c r="O385" s="203">
        <f t="shared" si="110"/>
        <v>10.88465464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IFERROR(__xludf.DUMMYFUNCTION("IMPORTRANGE(""https://docs.google.com/spreadsheets/d/1IYY_tgx_IHuhSq3AJ5eI5OnqOPBNLWSHKh2a30DoXe8/edit?usp=sharing"",""พัทลุง!M281"")"),28490.0)</f>
        <v>28490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IFERROR(__xludf.DUMMYFUNCTION("IMPORTRANGE(""https://docs.google.com/spreadsheets/d/1IYY_tgx_IHuhSq3AJ5eI5OnqOPBNLWSHKh2a30DoXe8/edit?usp=sharing"",""พัทลุง!M282"")"),0.0)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IFERROR(__xludf.DUMMYFUNCTION("IMPORTRANGE(""https://docs.google.com/spreadsheets/d/1IYY_tgx_IHuhSq3AJ5eI5OnqOPBNLWSHKh2a30DoXe8/edit?usp=sharing"",""พัทลุง!M283"")"),0.0)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IFERROR(__xludf.DUMMYFUNCTION("IMPORTRANGE(""https://docs.google.com/spreadsheets/d/1IYY_tgx_IHuhSq3AJ5eI5OnqOPBNLWSHKh2a30DoXe8/edit?usp=sharing"",""พัทลุง!M284"")"),3500.0)</f>
        <v>3500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IFERROR(__xludf.DUMMYFUNCTION("IMPORTRANGE(""https://docs.google.com/spreadsheets/d/1IYY_tgx_IHuhSq3AJ5eI5OnqOPBNLWSHKh2a30DoXe8/edit?usp=sharing"",""พัทลุง!J286"")"),0.0)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IFERROR(__xludf.DUMMYFUNCTION("IMPORTRANGE(""https://docs.google.com/spreadsheets/d/1IYY_tgx_IHuhSq3AJ5eI5OnqOPBNLWSHKh2a30DoXe8/edit?usp=sharing"",""พัทลุง!J287"")"),1.0)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IFERROR(__xludf.DUMMYFUNCTION("IMPORTRANGE(""https://docs.google.com/spreadsheets/d/1IYY_tgx_IHuhSq3AJ5eI5OnqOPBNLWSHKh2a30DoXe8/edit?usp=sharing"",""พัทลุง!J288"")"),1.0)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IFERROR(__xludf.DUMMYFUNCTION("IMPORTRANGE(""https://docs.google.com/spreadsheets/d/1IYY_tgx_IHuhSq3AJ5eI5OnqOPBNLWSHKh2a30DoXe8/edit?usp=sharing"",""พัทลุง!J289"")"),1.0)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IFERROR(__xludf.DUMMYFUNCTION("IMPORTRANGE(""https://docs.google.com/spreadsheets/d/1IYY_tgx_IHuhSq3AJ5eI5OnqOPBNLWSHKh2a30DoXe8/edit?usp=sharing"",""พัทลุง!I291"")"),30.0)</f>
        <v>30</v>
      </c>
      <c r="J396" s="232">
        <f>IFERROR(__xludf.DUMMYFUNCTION("IMPORTRANGE(""https://docs.google.com/spreadsheets/d/1IYY_tgx_IHuhSq3AJ5eI5OnqOPBNLWSHKh2a30DoXe8/edit?usp=sharing"",""พัทลุง!J291"")"),30.0)</f>
        <v>30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IFERROR(__xludf.DUMMYFUNCTION("IMPORTRANGE(""https://docs.google.com/spreadsheets/d/1IYY_tgx_IHuhSq3AJ5eI5OnqOPBNLWSHKh2a30DoXe8/edit?usp=sharing"",""พัทลุง!I292"")"),300.0)</f>
        <v>300</v>
      </c>
      <c r="J397" s="232">
        <f>IFERROR(__xludf.DUMMYFUNCTION("IMPORTRANGE(""https://docs.google.com/spreadsheets/d/1IYY_tgx_IHuhSq3AJ5eI5OnqOPBNLWSHKh2a30DoXe8/edit?usp=sharing"",""พัทลุง!J292"")"),0.0)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IFERROR(__xludf.DUMMYFUNCTION("IMPORTRANGE(""https://docs.google.com/spreadsheets/d/1IYY_tgx_IHuhSq3AJ5eI5OnqOPBNLWSHKh2a30DoXe8/edit?usp=sharing"",""พัทลุง!I293"")"),30.0)</f>
        <v>30</v>
      </c>
      <c r="J398" s="232">
        <f>IFERROR(__xludf.DUMMYFUNCTION("IMPORTRANGE(""https://docs.google.com/spreadsheets/d/1IYY_tgx_IHuhSq3AJ5eI5OnqOPBNLWSHKh2a30DoXe8/edit?usp=sharing"",""พัทลุง!J293"")"),0.0)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IFERROR(__xludf.DUMMYFUNCTION("IMPORTRANGE(""https://docs.google.com/spreadsheets/d/1IYY_tgx_IHuhSq3AJ5eI5OnqOPBNLWSHKh2a30DoXe8/edit?usp=sharing"",""พัทลุง!J294"")"),0.0)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IFERROR(__xludf.DUMMYFUNCTION("IMPORTRANGE(""https://docs.google.com/spreadsheets/d/1IYY_tgx_IHuhSq3AJ5eI5OnqOPBNLWSHKh2a30DoXe8/edit?usp=sharing"",""พัทลุง!J295"")"),0.0)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IFERROR(__xludf.DUMMYFUNCTION("IMPORTRANGE(""https://docs.google.com/spreadsheets/d/1IYY_tgx_IHuhSq3AJ5eI5OnqOPBNLWSHKh2a30DoXe8/edit?usp=sharing"",""พัทลุง!I296"")"),135.0)</f>
        <v>135</v>
      </c>
      <c r="J401" s="404">
        <f>IFERROR(__xludf.DUMMYFUNCTION("IMPORTRANGE(""https://docs.google.com/spreadsheets/d/1IYY_tgx_IHuhSq3AJ5eI5OnqOPBNLWSHKh2a30DoXe8/edit?usp=sharing"",""พัทลุง!J296"")"),0.0)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IFERROR(__xludf.DUMMYFUNCTION("IMPORTRANGE(""https://docs.google.com/spreadsheets/d/1IYY_tgx_IHuhSq3AJ5eI5OnqOPBNLWSHKh2a30DoXe8/edit?usp=sharing"",""พัทลุง!L296"")"),159950.0)</f>
        <v>159950</v>
      </c>
      <c r="M401" s="406"/>
      <c r="N401" s="406">
        <f>IFERROR(__xludf.DUMMYFUNCTION("IMPORTRANGE(""https://docs.google.com/spreadsheets/d/1IYY_tgx_IHuhSq3AJ5eI5OnqOPBNLWSHKh2a30DoXe8/edit?usp=sharing"",""พัทลุง!M296"")"),32540.0)</f>
        <v>32540</v>
      </c>
      <c r="O401" s="406">
        <f>+IF(L401&gt;0,N401*100/L401,0)</f>
        <v>20.34385746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IFERROR(__xludf.DUMMYFUNCTION("IMPORTRANGE(""https://docs.google.com/spreadsheets/d/1IYY_tgx_IHuhSq3AJ5eI5OnqOPBNLWSHKh2a30DoXe8/edit?usp=sharing"",""พัทลุง!I297"")"),45.0)</f>
        <v>45</v>
      </c>
      <c r="J402" s="404">
        <f>IFERROR(__xludf.DUMMYFUNCTION("IMPORTRANGE(""https://docs.google.com/spreadsheets/d/1IYY_tgx_IHuhSq3AJ5eI5OnqOPBNLWSHKh2a30DoXe8/edit?usp=sharing"",""พัทลุง!J297"")"),0.0)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IFERROR(__xludf.DUMMYFUNCTION("IMPORTRANGE(""https://docs.google.com/spreadsheets/d/1IYY_tgx_IHuhSq3AJ5eI5OnqOPBNLWSHKh2a30DoXe8/edit?usp=sharing"",""พัทลุง!L298"")"),0.0)</f>
        <v>0</v>
      </c>
      <c r="M403" s="197"/>
      <c r="N403" s="203">
        <f>IFERROR(__xludf.DUMMYFUNCTION("IMPORTRANGE(""https://docs.google.com/spreadsheets/d/1IYY_tgx_IHuhSq3AJ5eI5OnqOPBNLWSHKh2a30DoXe8/edit?usp=sharing"",""พัทลุง!M298"")"),0.0)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IFERROR(__xludf.DUMMYFUNCTION("IMPORTRANGE(""https://docs.google.com/spreadsheets/d/1IYY_tgx_IHuhSq3AJ5eI5OnqOPBNLWSHKh2a30DoXe8/edit?usp=sharing"",""พัทลุง!L299"")"),159950.0)</f>
        <v>159950</v>
      </c>
      <c r="M404" s="198"/>
      <c r="N404" s="203">
        <f>IFERROR(__xludf.DUMMYFUNCTION("IMPORTRANGE(""https://docs.google.com/spreadsheets/d/1IYY_tgx_IHuhSq3AJ5eI5OnqOPBNLWSHKh2a30DoXe8/edit?usp=sharing"",""พัทลุง!M299"")"),32540.0)</f>
        <v>32540</v>
      </c>
      <c r="O404" s="203">
        <f t="shared" si="113"/>
        <v>20.34385746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IFERROR(__xludf.DUMMYFUNCTION("IMPORTRANGE(""https://docs.google.com/spreadsheets/d/1IYY_tgx_IHuhSq3AJ5eI5OnqOPBNLWSHKh2a30DoXe8/edit?usp=sharing"",""พัทลุง!L300"")"),0.0)</f>
        <v>0</v>
      </c>
      <c r="M405" s="203"/>
      <c r="N405" s="203">
        <f>IFERROR(__xludf.DUMMYFUNCTION("IMPORTRANGE(""https://docs.google.com/spreadsheets/d/1IYY_tgx_IHuhSq3AJ5eI5OnqOPBNLWSHKh2a30DoXe8/edit?usp=sharing"",""พัทลุง!M300"")"),0.0)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IFERROR(__xludf.DUMMYFUNCTION("IMPORTRANGE(""https://docs.google.com/spreadsheets/d/1IYY_tgx_IHuhSq3AJ5eI5OnqOPBNLWSHKh2a30DoXe8/edit?usp=sharing"",""พัทลุง!L301"")"),159950.0)</f>
        <v>159950</v>
      </c>
      <c r="M406" s="203"/>
      <c r="N406" s="203">
        <f>IFERROR(__xludf.DUMMYFUNCTION("IMPORTRANGE(""https://docs.google.com/spreadsheets/d/1IYY_tgx_IHuhSq3AJ5eI5OnqOPBNLWSHKh2a30DoXe8/edit?usp=sharing"",""พัทลุง!M301"")"),32540.0)</f>
        <v>32540</v>
      </c>
      <c r="O406" s="203">
        <f t="shared" si="113"/>
        <v>20.34385746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IFERROR(__xludf.DUMMYFUNCTION("IMPORTRANGE(""https://docs.google.com/spreadsheets/d/1IYY_tgx_IHuhSq3AJ5eI5OnqOPBNLWSHKh2a30DoXe8/edit?usp=sharing"",""พัทลุง!M302"")"),21140.0)</f>
        <v>21140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IFERROR(__xludf.DUMMYFUNCTION("IMPORTRANGE(""https://docs.google.com/spreadsheets/d/1IYY_tgx_IHuhSq3AJ5eI5OnqOPBNLWSHKh2a30DoXe8/edit?usp=sharing"",""พัทลุง!M303"")"),0.0)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IFERROR(__xludf.DUMMYFUNCTION("IMPORTRANGE(""https://docs.google.com/spreadsheets/d/1IYY_tgx_IHuhSq3AJ5eI5OnqOPBNLWSHKh2a30DoXe8/edit?usp=sharing"",""พัทลุง!M304"")"),0.0)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IFERROR(__xludf.DUMMYFUNCTION("IMPORTRANGE(""https://docs.google.com/spreadsheets/d/1IYY_tgx_IHuhSq3AJ5eI5OnqOPBNLWSHKh2a30DoXe8/edit?usp=sharing"",""พัทลุง!M305"")"),11400.0)</f>
        <v>11400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IFERROR(__xludf.DUMMYFUNCTION("IMPORTRANGE(""https://docs.google.com/spreadsheets/d/1IYY_tgx_IHuhSq3AJ5eI5OnqOPBNLWSHKh2a30DoXe8/edit?usp=sharing"",""พัทลุง!J307"")"),0.0)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IFERROR(__xludf.DUMMYFUNCTION("IMPORTRANGE(""https://docs.google.com/spreadsheets/d/1IYY_tgx_IHuhSq3AJ5eI5OnqOPBNLWSHKh2a30DoXe8/edit?usp=sharing"",""พัทลุง!J308"")"),1.0)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IFERROR(__xludf.DUMMYFUNCTION("IMPORTRANGE(""https://docs.google.com/spreadsheets/d/1IYY_tgx_IHuhSq3AJ5eI5OnqOPBNLWSHKh2a30DoXe8/edit?usp=sharing"",""พัทลุง!J309"")"),1.0)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IFERROR(__xludf.DUMMYFUNCTION("IMPORTRANGE(""https://docs.google.com/spreadsheets/d/1IYY_tgx_IHuhSq3AJ5eI5OnqOPBNLWSHKh2a30DoXe8/edit?usp=sharing"",""พัทลุง!J310"")"),1.0)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IFERROR(__xludf.DUMMYFUNCTION("IMPORTRANGE(""https://docs.google.com/spreadsheets/d/1IYY_tgx_IHuhSq3AJ5eI5OnqOPBNLWSHKh2a30DoXe8/edit?usp=sharing"",""พัทลุง!I311"")"),45.0)</f>
        <v>45</v>
      </c>
      <c r="J416" s="235">
        <f>IFERROR(__xludf.DUMMYFUNCTION("IMPORTRANGE(""https://docs.google.com/spreadsheets/d/1IYY_tgx_IHuhSq3AJ5eI5OnqOPBNLWSHKh2a30DoXe8/edit?usp=sharing"",""พัทลุง!J311"")"),0.0)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IFERROR(__xludf.DUMMYFUNCTION("IMPORTRANGE(""https://docs.google.com/spreadsheets/d/1IYY_tgx_IHuhSq3AJ5eI5OnqOPBNLWSHKh2a30DoXe8/edit?usp=sharing"",""พัทลุง!I312"")"),10.0)</f>
        <v>10</v>
      </c>
      <c r="J417" s="425">
        <f>IFERROR(__xludf.DUMMYFUNCTION("IMPORTRANGE(""https://docs.google.com/spreadsheets/d/1IYY_tgx_IHuhSq3AJ5eI5OnqOPBNLWSHKh2a30DoXe8/edit?usp=sharing"",""พัทลุง!J312"")"),0.0)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IFERROR(__xludf.DUMMYFUNCTION("IMPORTRANGE(""https://docs.google.com/spreadsheets/d/1IYY_tgx_IHuhSq3AJ5eI5OnqOPBNLWSHKh2a30DoXe8/edit?usp=sharing"",""พัทลุง!I313"")"),30.0)</f>
        <v>30</v>
      </c>
      <c r="J418" s="426">
        <f>IFERROR(__xludf.DUMMYFUNCTION("IMPORTRANGE(""https://docs.google.com/spreadsheets/d/1IYY_tgx_IHuhSq3AJ5eI5OnqOPBNLWSHKh2a30DoXe8/edit?usp=sharing"",""พัทลุง!J313"")"),0.0)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IFERROR(__xludf.DUMMYFUNCTION("IMPORTRANGE(""https://docs.google.com/spreadsheets/d/1IYY_tgx_IHuhSq3AJ5eI5OnqOPBNLWSHKh2a30DoXe8/edit?usp=sharing"",""พัทลุง!I314"")"),10.0)</f>
        <v>10</v>
      </c>
      <c r="J419" s="427">
        <f>IFERROR(__xludf.DUMMYFUNCTION("IMPORTRANGE(""https://docs.google.com/spreadsheets/d/1IYY_tgx_IHuhSq3AJ5eI5OnqOPBNLWSHKh2a30DoXe8/edit?usp=sharing"",""พัทลุง!J314"")"),10.0)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IFERROR(__xludf.DUMMYFUNCTION("IMPORTRANGE(""https://docs.google.com/spreadsheets/d/1IYY_tgx_IHuhSq3AJ5eI5OnqOPBNLWSHKh2a30DoXe8/edit?usp=sharing"",""พัทลุง!I315"")"),10.0)</f>
        <v>10</v>
      </c>
      <c r="J420" s="427">
        <f>IFERROR(__xludf.DUMMYFUNCTION("IMPORTRANGE(""https://docs.google.com/spreadsheets/d/1IYY_tgx_IHuhSq3AJ5eI5OnqOPBNLWSHKh2a30DoXe8/edit?usp=sharing"",""พัทลุง!J315"")"),0.0)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IFERROR(__xludf.DUMMYFUNCTION("IMPORTRANGE(""https://docs.google.com/spreadsheets/d/1IYY_tgx_IHuhSq3AJ5eI5OnqOPBNLWSHKh2a30DoXe8/edit?usp=sharing"",""พัทลุง!I316"")"),25.0)</f>
        <v>25</v>
      </c>
      <c r="J421" s="425">
        <f>IFERROR(__xludf.DUMMYFUNCTION("IMPORTRANGE(""https://docs.google.com/spreadsheets/d/1IYY_tgx_IHuhSq3AJ5eI5OnqOPBNLWSHKh2a30DoXe8/edit?usp=sharing"",""พัทลุง!J316"")"),0.0)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IFERROR(__xludf.DUMMYFUNCTION("IMPORTRANGE(""https://docs.google.com/spreadsheets/d/1IYY_tgx_IHuhSq3AJ5eI5OnqOPBNLWSHKh2a30DoXe8/edit?usp=sharing"",""พัทลุง!I317"")"),75.0)</f>
        <v>75</v>
      </c>
      <c r="J422" s="426">
        <f>IFERROR(__xludf.DUMMYFUNCTION("IMPORTRANGE(""https://docs.google.com/spreadsheets/d/1IYY_tgx_IHuhSq3AJ5eI5OnqOPBNLWSHKh2a30DoXe8/edit?usp=sharing"",""พัทลุง!J317"")"),0.0)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IFERROR(__xludf.DUMMYFUNCTION("IMPORTRANGE(""https://docs.google.com/spreadsheets/d/1IYY_tgx_IHuhSq3AJ5eI5OnqOPBNLWSHKh2a30DoXe8/edit?usp=sharing"",""พัทลุง!I318"")"),25.0)</f>
        <v>25</v>
      </c>
      <c r="J423" s="427">
        <f>IFERROR(__xludf.DUMMYFUNCTION("IMPORTRANGE(""https://docs.google.com/spreadsheets/d/1IYY_tgx_IHuhSq3AJ5eI5OnqOPBNLWSHKh2a30DoXe8/edit?usp=sharing"",""พัทลุง!J318"")"),0.0)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IFERROR(__xludf.DUMMYFUNCTION("IMPORTRANGE(""https://docs.google.com/spreadsheets/d/1IYY_tgx_IHuhSq3AJ5eI5OnqOPBNLWSHKh2a30DoXe8/edit?usp=sharing"",""พัทลุง!I319"")"),25.0)</f>
        <v>25</v>
      </c>
      <c r="J424" s="427">
        <f>IFERROR(__xludf.DUMMYFUNCTION("IMPORTRANGE(""https://docs.google.com/spreadsheets/d/1IYY_tgx_IHuhSq3AJ5eI5OnqOPBNLWSHKh2a30DoXe8/edit?usp=sharing"",""พัทลุง!J319"")"),0.0)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IFERROR(__xludf.DUMMYFUNCTION("IMPORTRANGE(""https://docs.google.com/spreadsheets/d/1IYY_tgx_IHuhSq3AJ5eI5OnqOPBNLWSHKh2a30DoXe8/edit?usp=sharing"",""พัทลุง!I320"")"),25.0)</f>
        <v>25</v>
      </c>
      <c r="J425" s="427">
        <f>IFERROR(__xludf.DUMMYFUNCTION("IMPORTRANGE(""https://docs.google.com/spreadsheets/d/1IYY_tgx_IHuhSq3AJ5eI5OnqOPBNLWSHKh2a30DoXe8/edit?usp=sharing"",""พัทลุง!J320"")"),0.0)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IFERROR(__xludf.DUMMYFUNCTION("IMPORTRANGE(""https://docs.google.com/spreadsheets/d/1IYY_tgx_IHuhSq3AJ5eI5OnqOPBNLWSHKh2a30DoXe8/edit?usp=sharing"",""พัทลุง!I321"")"),10.0)</f>
        <v>10</v>
      </c>
      <c r="J426" s="425">
        <f>IFERROR(__xludf.DUMMYFUNCTION("IMPORTRANGE(""https://docs.google.com/spreadsheets/d/1IYY_tgx_IHuhSq3AJ5eI5OnqOPBNLWSHKh2a30DoXe8/edit?usp=sharing"",""พัทลุง!J321"")"),0.0)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IFERROR(__xludf.DUMMYFUNCTION("IMPORTRANGE(""https://docs.google.com/spreadsheets/d/1IYY_tgx_IHuhSq3AJ5eI5OnqOPBNLWSHKh2a30DoXe8/edit?usp=sharing"",""พัทลุง!I322"")"),30.0)</f>
        <v>30</v>
      </c>
      <c r="J427" s="426">
        <f>IFERROR(__xludf.DUMMYFUNCTION("IMPORTRANGE(""https://docs.google.com/spreadsheets/d/1IYY_tgx_IHuhSq3AJ5eI5OnqOPBNLWSHKh2a30DoXe8/edit?usp=sharing"",""พัทลุง!J322"")"),0.0)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IFERROR(__xludf.DUMMYFUNCTION("IMPORTRANGE(""https://docs.google.com/spreadsheets/d/1IYY_tgx_IHuhSq3AJ5eI5OnqOPBNLWSHKh2a30DoXe8/edit?usp=sharing"",""พัทลุง!I323"")"),10.0)</f>
        <v>10</v>
      </c>
      <c r="J428" s="427">
        <f>IFERROR(__xludf.DUMMYFUNCTION("IMPORTRANGE(""https://docs.google.com/spreadsheets/d/1IYY_tgx_IHuhSq3AJ5eI5OnqOPBNLWSHKh2a30DoXe8/edit?usp=sharing"",""พัทลุง!J323"")"),0.0)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IFERROR(__xludf.DUMMYFUNCTION("IMPORTRANGE(""https://docs.google.com/spreadsheets/d/1IYY_tgx_IHuhSq3AJ5eI5OnqOPBNLWSHKh2a30DoXe8/edit?usp=sharing"",""พัทลุง!I324"")"),10.0)</f>
        <v>10</v>
      </c>
      <c r="J429" s="427">
        <f>IFERROR(__xludf.DUMMYFUNCTION("IMPORTRANGE(""https://docs.google.com/spreadsheets/d/1IYY_tgx_IHuhSq3AJ5eI5OnqOPBNLWSHKh2a30DoXe8/edit?usp=sharing"",""พัทลุง!J324"")"),0.0)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IFERROR(__xludf.DUMMYFUNCTION("IMPORTRANGE(""https://docs.google.com/spreadsheets/d/1IYY_tgx_IHuhSq3AJ5eI5OnqOPBNLWSHKh2a30DoXe8/edit?usp=sharing"",""พัทลุง!I325"")"),35.0)</f>
        <v>35</v>
      </c>
      <c r="J430" s="425">
        <f>IFERROR(__xludf.DUMMYFUNCTION("IMPORTRANGE(""https://docs.google.com/spreadsheets/d/1IYY_tgx_IHuhSq3AJ5eI5OnqOPBNLWSHKh2a30DoXe8/edit?usp=sharing"",""พัทลุง!J325"")"),0.0)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IFERROR(__xludf.DUMMYFUNCTION("IMPORTRANGE(""https://docs.google.com/spreadsheets/d/1IYY_tgx_IHuhSq3AJ5eI5OnqOPBNLWSHKh2a30DoXe8/edit?usp=sharing"",""พัทลุง!I326"")"),10.0)</f>
        <v>10</v>
      </c>
      <c r="J431" s="427">
        <f>IFERROR(__xludf.DUMMYFUNCTION("IMPORTRANGE(""https://docs.google.com/spreadsheets/d/1IYY_tgx_IHuhSq3AJ5eI5OnqOPBNLWSHKh2a30DoXe8/edit?usp=sharing"",""พัทลุง!J326"")"),0.0)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IFERROR(__xludf.DUMMYFUNCTION("IMPORTRANGE(""https://docs.google.com/spreadsheets/d/1IYY_tgx_IHuhSq3AJ5eI5OnqOPBNLWSHKh2a30DoXe8/edit?usp=sharing"",""พัทลุง!I327"")"),25.0)</f>
        <v>25</v>
      </c>
      <c r="J432" s="427">
        <f>IFERROR(__xludf.DUMMYFUNCTION("IMPORTRANGE(""https://docs.google.com/spreadsheets/d/1IYY_tgx_IHuhSq3AJ5eI5OnqOPBNLWSHKh2a30DoXe8/edit?usp=sharing"",""พัทลุง!J327"")"),0.0)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IFERROR(__xludf.DUMMYFUNCTION("IMPORTRANGE(""https://docs.google.com/spreadsheets/d/1IYY_tgx_IHuhSq3AJ5eI5OnqOPBNLWSHKh2a30DoXe8/edit?usp=sharing"",""พัทลุง!J328"")"),0.0)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IFERROR(__xludf.DUMMYFUNCTION("IMPORTRANGE(""https://docs.google.com/spreadsheets/d/1IYY_tgx_IHuhSq3AJ5eI5OnqOPBNLWSHKh2a30DoXe8/edit?usp=sharing"",""พัทลุง!J329"")"),0.0)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IFERROR(__xludf.DUMMYFUNCTION("IMPORTRANGE(""https://docs.google.com/spreadsheets/d/1IYY_tgx_IHuhSq3AJ5eI5OnqOPBNLWSHKh2a30DoXe8/edit?usp=sharing"",""พัทลุง!I330"")"),25.0)</f>
        <v>25</v>
      </c>
      <c r="J435" s="443">
        <f>IFERROR(__xludf.DUMMYFUNCTION("IMPORTRANGE(""https://docs.google.com/spreadsheets/d/1IYY_tgx_IHuhSq3AJ5eI5OnqOPBNLWSHKh2a30DoXe8/edit?usp=sharing"",""พัทลุง!J330"")"),25.0)</f>
        <v>25</v>
      </c>
      <c r="K435" s="444">
        <f>IF(I435&gt;0,J435*100/I435,0)</f>
        <v>100</v>
      </c>
      <c r="L435" s="445">
        <f>IFERROR(__xludf.DUMMYFUNCTION("IMPORTRANGE(""https://docs.google.com/spreadsheets/d/1IYY_tgx_IHuhSq3AJ5eI5OnqOPBNLWSHKh2a30DoXe8/edit?usp=sharing"",""พัทลุง!L330"")"),105900.0)</f>
        <v>105900</v>
      </c>
      <c r="M435" s="445"/>
      <c r="N435" s="445">
        <f>IFERROR(__xludf.DUMMYFUNCTION("IMPORTRANGE(""https://docs.google.com/spreadsheets/d/1IYY_tgx_IHuhSq3AJ5eI5OnqOPBNLWSHKh2a30DoXe8/edit?usp=sharing"",""พัทลุง!M330"")"),15300.0)</f>
        <v>15300</v>
      </c>
      <c r="O435" s="445">
        <f t="shared" ref="O435:O439" si="115">+IF(L435&gt;0,N435*100/L435,0)</f>
        <v>14.44759207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IFERROR(__xludf.DUMMYFUNCTION("IMPORTRANGE(""https://docs.google.com/spreadsheets/d/1IYY_tgx_IHuhSq3AJ5eI5OnqOPBNLWSHKh2a30DoXe8/edit?usp=sharing"",""พัทลุง!L331"")"),0.0)</f>
        <v>0</v>
      </c>
      <c r="M436" s="197"/>
      <c r="N436" s="203">
        <f>IFERROR(__xludf.DUMMYFUNCTION("IMPORTRANGE(""https://docs.google.com/spreadsheets/d/1IYY_tgx_IHuhSq3AJ5eI5OnqOPBNLWSHKh2a30DoXe8/edit?usp=sharing"",""พัทลุง!M331"")"),0.0)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411" t="s">
        <v>256</v>
      </c>
      <c r="H437" s="194" t="s">
        <v>13</v>
      </c>
      <c r="I437" s="195"/>
      <c r="J437" s="195"/>
      <c r="K437" s="196"/>
      <c r="L437" s="553">
        <f>IFERROR(__xludf.DUMMYFUNCTION("IMPORTRANGE(""https://docs.google.com/spreadsheets/d/1IYY_tgx_IHuhSq3AJ5eI5OnqOPBNLWSHKh2a30DoXe8/edit?usp=sharing"",""พัทลุง!L332"")+103000"),208900.0)</f>
        <v>208900</v>
      </c>
      <c r="M437" s="198"/>
      <c r="N437" s="203">
        <f>IFERROR(__xludf.DUMMYFUNCTION("IMPORTRANGE(""https://docs.google.com/spreadsheets/d/1IYY_tgx_IHuhSq3AJ5eI5OnqOPBNLWSHKh2a30DoXe8/edit?usp=sharing"",""พัทลุง!M332"")"),15300.0)</f>
        <v>15300</v>
      </c>
      <c r="O437" s="203">
        <f t="shared" si="115"/>
        <v>7.324078506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IFERROR(__xludf.DUMMYFUNCTION("IMPORTRANGE(""https://docs.google.com/spreadsheets/d/1IYY_tgx_IHuhSq3AJ5eI5OnqOPBNLWSHKh2a30DoXe8/edit?usp=sharing"",""พัทลุง!L333"")"),0.0)</f>
        <v>0</v>
      </c>
      <c r="M438" s="203"/>
      <c r="N438" s="203">
        <f>IFERROR(__xludf.DUMMYFUNCTION("IMPORTRANGE(""https://docs.google.com/spreadsheets/d/1IYY_tgx_IHuhSq3AJ5eI5OnqOPBNLWSHKh2a30DoXe8/edit?usp=sharing"",""พัทลุง!M333"")"),0.0)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IFERROR(__xludf.DUMMYFUNCTION("IMPORTRANGE(""https://docs.google.com/spreadsheets/d/1IYY_tgx_IHuhSq3AJ5eI5OnqOPBNLWSHKh2a30DoXe8/edit?usp=sharing"",""พัทลุง!L334"")"),105900.0)</f>
        <v>105900</v>
      </c>
      <c r="M439" s="203"/>
      <c r="N439" s="203">
        <f>IFERROR(__xludf.DUMMYFUNCTION("IMPORTRANGE(""https://docs.google.com/spreadsheets/d/1IYY_tgx_IHuhSq3AJ5eI5OnqOPBNLWSHKh2a30DoXe8/edit?usp=sharing"",""พัทลุง!M334"")"),15300.0)</f>
        <v>15300</v>
      </c>
      <c r="O439" s="203">
        <f t="shared" si="115"/>
        <v>14.44759207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IFERROR(__xludf.DUMMYFUNCTION("IMPORTRANGE(""https://docs.google.com/spreadsheets/d/1IYY_tgx_IHuhSq3AJ5eI5OnqOPBNLWSHKh2a30DoXe8/edit?usp=sharing"",""พัทลุง!M335"")"),5500.0)</f>
        <v>5500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IFERROR(__xludf.DUMMYFUNCTION("IMPORTRANGE(""https://docs.google.com/spreadsheets/d/1IYY_tgx_IHuhSq3AJ5eI5OnqOPBNLWSHKh2a30DoXe8/edit?usp=sharing"",""พัทลุง!M336"")"),0.0)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IFERROR(__xludf.DUMMYFUNCTION("IMPORTRANGE(""https://docs.google.com/spreadsheets/d/1IYY_tgx_IHuhSq3AJ5eI5OnqOPBNLWSHKh2a30DoXe8/edit?usp=sharing"",""พัทลุง!M337"")"),4900.0)</f>
        <v>4900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IFERROR(__xludf.DUMMYFUNCTION("IMPORTRANGE(""https://docs.google.com/spreadsheets/d/1IYY_tgx_IHuhSq3AJ5eI5OnqOPBNLWSHKh2a30DoXe8/edit?usp=sharing"",""พัทลุง!M338"")"),4900.0)</f>
        <v>4900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IFERROR(__xludf.DUMMYFUNCTION("IMPORTRANGE(""https://docs.google.com/spreadsheets/d/1IYY_tgx_IHuhSq3AJ5eI5OnqOPBNLWSHKh2a30DoXe8/edit?usp=sharing"",""พัทลุง!J340"")"),0.0)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IFERROR(__xludf.DUMMYFUNCTION("IMPORTRANGE(""https://docs.google.com/spreadsheets/d/1IYY_tgx_IHuhSq3AJ5eI5OnqOPBNLWSHKh2a30DoXe8/edit?usp=sharing"",""พัทลุง!J341"")"),1.0)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IFERROR(__xludf.DUMMYFUNCTION("IMPORTRANGE(""https://docs.google.com/spreadsheets/d/1IYY_tgx_IHuhSq3AJ5eI5OnqOPBNLWSHKh2a30DoXe8/edit?usp=sharing"",""พัทลุง!J342"")"),1.0)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IFERROR(__xludf.DUMMYFUNCTION("IMPORTRANGE(""https://docs.google.com/spreadsheets/d/1IYY_tgx_IHuhSq3AJ5eI5OnqOPBNLWSHKh2a30DoXe8/edit?usp=sharing"",""พัทลุง!J343"")"),1.0)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IFERROR(__xludf.DUMMYFUNCTION("IMPORTRANGE(""https://docs.google.com/spreadsheets/d/1IYY_tgx_IHuhSq3AJ5eI5OnqOPBNLWSHKh2a30DoXe8/edit?usp=sharing"",""พัทลุง!I344"")"),25.0)</f>
        <v>25</v>
      </c>
      <c r="J449" s="235">
        <f>IFERROR(__xludf.DUMMYFUNCTION("IMPORTRANGE(""https://docs.google.com/spreadsheets/d/1IYY_tgx_IHuhSq3AJ5eI5OnqOPBNLWSHKh2a30DoXe8/edit?usp=sharing"",""พัทลุง!J344"")"),25.0)</f>
        <v>25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IFERROR(__xludf.DUMMYFUNCTION("IMPORTRANGE(""https://docs.google.com/spreadsheets/d/1IYY_tgx_IHuhSq3AJ5eI5OnqOPBNLWSHKh2a30DoXe8/edit?usp=sharing"",""พัทลุง!I345"")"),25.0)</f>
        <v>25</v>
      </c>
      <c r="J450" s="223">
        <f>IFERROR(__xludf.DUMMYFUNCTION("IMPORTRANGE(""https://docs.google.com/spreadsheets/d/1IYY_tgx_IHuhSq3AJ5eI5OnqOPBNLWSHKh2a30DoXe8/edit?usp=sharing"",""พัทลุง!J345"")"),25.0)</f>
        <v>25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IFERROR(__xludf.DUMMYFUNCTION("IMPORTRANGE(""https://docs.google.com/spreadsheets/d/1IYY_tgx_IHuhSq3AJ5eI5OnqOPBNLWSHKh2a30DoXe8/edit?usp=sharing"",""พัทลุง!I346"")"),0.0)</f>
        <v>0</v>
      </c>
      <c r="J451" s="222">
        <f>IFERROR(__xludf.DUMMYFUNCTION("IMPORTRANGE(""https://docs.google.com/spreadsheets/d/1IYY_tgx_IHuhSq3AJ5eI5OnqOPBNLWSHKh2a30DoXe8/edit?usp=sharing"",""พัทลุง!J346"")"),0.0)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IFERROR(__xludf.DUMMYFUNCTION("IMPORTRANGE(""https://docs.google.com/spreadsheets/d/1IYY_tgx_IHuhSq3AJ5eI5OnqOPBNLWSHKh2a30DoXe8/edit?usp=sharing"",""พัทลุง!I347"")"),0.0)</f>
        <v>0</v>
      </c>
      <c r="J452" s="222">
        <f>IFERROR(__xludf.DUMMYFUNCTION("IMPORTRANGE(""https://docs.google.com/spreadsheets/d/1IYY_tgx_IHuhSq3AJ5eI5OnqOPBNLWSHKh2a30DoXe8/edit?usp=sharing"",""พัทลุง!J347"")"),0.0)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IFERROR(__xludf.DUMMYFUNCTION("IMPORTRANGE(""https://docs.google.com/spreadsheets/d/1IYY_tgx_IHuhSq3AJ5eI5OnqOPBNLWSHKh2a30DoXe8/edit?usp=sharing"",""พัทลุง!J348"")"),0.0)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IFERROR(__xludf.DUMMYFUNCTION("IMPORTRANGE(""https://docs.google.com/spreadsheets/d/1IYY_tgx_IHuhSq3AJ5eI5OnqOPBNLWSHKh2a30DoXe8/edit?usp=sharing"",""พัทลุง!J349"")"),0.0)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IFERROR(__xludf.DUMMYFUNCTION("IMPORTRANGE(""https://docs.google.com/spreadsheets/d/1IYY_tgx_IHuhSq3AJ5eI5OnqOPBNLWSHKh2a30DoXe8/edit?usp=sharing"",""พัทลุง!I350"")"),27057.0)</f>
        <v>27057</v>
      </c>
      <c r="J455" s="404">
        <f>IFERROR(__xludf.DUMMYFUNCTION("IMPORTRANGE(""https://docs.google.com/spreadsheets/d/1IYY_tgx_IHuhSq3AJ5eI5OnqOPBNLWSHKh2a30DoXe8/edit?usp=sharing"",""พัทลุง!J350"")"),0.0)</f>
        <v>0</v>
      </c>
      <c r="K455" s="405">
        <f>IF(I455&gt;0,J455*100/I455,0)</f>
        <v>0</v>
      </c>
      <c r="L455" s="406">
        <f>IFERROR(__xludf.DUMMYFUNCTION("IMPORTRANGE(""https://docs.google.com/spreadsheets/d/1IYY_tgx_IHuhSq3AJ5eI5OnqOPBNLWSHKh2a30DoXe8/edit?usp=sharing"",""พัทลุง!L350"")"),361252.0)</f>
        <v>361252</v>
      </c>
      <c r="M455" s="406"/>
      <c r="N455" s="406">
        <f>IFERROR(__xludf.DUMMYFUNCTION("IMPORTRANGE(""https://docs.google.com/spreadsheets/d/1IYY_tgx_IHuhSq3AJ5eI5OnqOPBNLWSHKh2a30DoXe8/edit?usp=sharing"",""พัทลุง!M350"")"),42468.95)</f>
        <v>42468.95</v>
      </c>
      <c r="O455" s="406">
        <f t="shared" ref="O455:O459" si="117">+IF(L455&gt;0,N455*100/L455,0)</f>
        <v>11.75604564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IFERROR(__xludf.DUMMYFUNCTION("IMPORTRANGE(""https://docs.google.com/spreadsheets/d/1IYY_tgx_IHuhSq3AJ5eI5OnqOPBNLWSHKh2a30DoXe8/edit?usp=sharing"",""พัทลุง!L351"")"),0.0)</f>
        <v>0</v>
      </c>
      <c r="M456" s="197"/>
      <c r="N456" s="203">
        <f>IFERROR(__xludf.DUMMYFUNCTION("IMPORTRANGE(""https://docs.google.com/spreadsheets/d/1IYY_tgx_IHuhSq3AJ5eI5OnqOPBNLWSHKh2a30DoXe8/edit?usp=sharing"",""พัทลุง!M351"")"),0.0)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IFERROR(__xludf.DUMMYFUNCTION("IMPORTRANGE(""https://docs.google.com/spreadsheets/d/1IYY_tgx_IHuhSq3AJ5eI5OnqOPBNLWSHKh2a30DoXe8/edit?usp=sharing"",""พัทลุง!L352"")"),361252.0)</f>
        <v>361252</v>
      </c>
      <c r="M457" s="198"/>
      <c r="N457" s="203">
        <f>IFERROR(__xludf.DUMMYFUNCTION("IMPORTRANGE(""https://docs.google.com/spreadsheets/d/1IYY_tgx_IHuhSq3AJ5eI5OnqOPBNLWSHKh2a30DoXe8/edit?usp=sharing"",""พัทลุง!M352"")"),42468.95)</f>
        <v>42468.95</v>
      </c>
      <c r="O457" s="203">
        <f t="shared" si="117"/>
        <v>11.75604564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IFERROR(__xludf.DUMMYFUNCTION("IMPORTRANGE(""https://docs.google.com/spreadsheets/d/1IYY_tgx_IHuhSq3AJ5eI5OnqOPBNLWSHKh2a30DoXe8/edit?usp=sharing"",""พัทลุง!L353"")"),0.0)</f>
        <v>0</v>
      </c>
      <c r="M458" s="203"/>
      <c r="N458" s="203">
        <f>IFERROR(__xludf.DUMMYFUNCTION("IMPORTRANGE(""https://docs.google.com/spreadsheets/d/1IYY_tgx_IHuhSq3AJ5eI5OnqOPBNLWSHKh2a30DoXe8/edit?usp=sharing"",""พัทลุง!M353"")"),0.0)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IFERROR(__xludf.DUMMYFUNCTION("IMPORTRANGE(""https://docs.google.com/spreadsheets/d/1IYY_tgx_IHuhSq3AJ5eI5OnqOPBNLWSHKh2a30DoXe8/edit?usp=sharing"",""พัทลุง!L354"")"),361252.0)</f>
        <v>361252</v>
      </c>
      <c r="M459" s="203"/>
      <c r="N459" s="203">
        <f>IFERROR(__xludf.DUMMYFUNCTION("IMPORTRANGE(""https://docs.google.com/spreadsheets/d/1IYY_tgx_IHuhSq3AJ5eI5OnqOPBNLWSHKh2a30DoXe8/edit?usp=sharing"",""พัทลุง!M354"")"),42468.95)</f>
        <v>42468.95</v>
      </c>
      <c r="O459" s="203">
        <f t="shared" si="117"/>
        <v>11.75604564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IFERROR(__xludf.DUMMYFUNCTION("IMPORTRANGE(""https://docs.google.com/spreadsheets/d/1IYY_tgx_IHuhSq3AJ5eI5OnqOPBNLWSHKh2a30DoXe8/edit?usp=sharing"",""พัทลุง!M355"")"),0.0)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IFERROR(__xludf.DUMMYFUNCTION("IMPORTRANGE(""https://docs.google.com/spreadsheets/d/1IYY_tgx_IHuhSq3AJ5eI5OnqOPBNLWSHKh2a30DoXe8/edit?usp=sharing"",""พัทลุง!M356"")"),0.0)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IFERROR(__xludf.DUMMYFUNCTION("IMPORTRANGE(""https://docs.google.com/spreadsheets/d/1IYY_tgx_IHuhSq3AJ5eI5OnqOPBNLWSHKh2a30DoXe8/edit?usp=sharing"",""พัทลุง!M357"")"),31568.95)</f>
        <v>31568.95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IFERROR(__xludf.DUMMYFUNCTION("IMPORTRANGE(""https://docs.google.com/spreadsheets/d/1IYY_tgx_IHuhSq3AJ5eI5OnqOPBNLWSHKh2a30DoXe8/edit?usp=sharing"",""พัทลุง!M358"")"),10900.0)</f>
        <v>10900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IFERROR(__xludf.DUMMYFUNCTION("IMPORTRANGE(""https://docs.google.com/spreadsheets/d/1IYY_tgx_IHuhSq3AJ5eI5OnqOPBNLWSHKh2a30DoXe8/edit?usp=sharing"",""พัทลุง!I359"")"),27057.0)</f>
        <v>27057</v>
      </c>
      <c r="J464" s="301">
        <f>IFERROR(__xludf.DUMMYFUNCTION("IMPORTRANGE(""https://docs.google.com/spreadsheets/d/1IYY_tgx_IHuhSq3AJ5eI5OnqOPBNLWSHKh2a30DoXe8/edit?usp=sharing"",""พัทลุง!J359"")"),0.0)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IFERROR(__xludf.DUMMYFUNCTION("IMPORTRANGE(""https://docs.google.com/spreadsheets/d/1IYY_tgx_IHuhSq3AJ5eI5OnqOPBNLWSHKh2a30DoXe8/edit?usp=sharing"",""พัทลุง!I360"")"),27057.0)</f>
        <v>27057</v>
      </c>
      <c r="J465" s="453">
        <f>IFERROR(__xludf.DUMMYFUNCTION("IMPORTRANGE(""https://docs.google.com/spreadsheets/d/1IYY_tgx_IHuhSq3AJ5eI5OnqOPBNLWSHKh2a30DoXe8/edit?usp=sharing"",""พัทลุง!J360"")"),29776.0)</f>
        <v>29776</v>
      </c>
      <c r="K465" s="236">
        <f t="shared" si="118"/>
        <v>110.0491555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IFERROR(__xludf.DUMMYFUNCTION("IMPORTRANGE(""https://docs.google.com/spreadsheets/d/1IYY_tgx_IHuhSq3AJ5eI5OnqOPBNLWSHKh2a30DoXe8/edit?usp=sharing"",""พัทลุง!I361"")"),5540.0)</f>
        <v>5540</v>
      </c>
      <c r="J466" s="453">
        <f>IFERROR(__xludf.DUMMYFUNCTION("IMPORTRANGE(""https://docs.google.com/spreadsheets/d/1IYY_tgx_IHuhSq3AJ5eI5OnqOPBNLWSHKh2a30DoXe8/edit?usp=sharing"",""พัทลุง!J361"")"),5540.0)</f>
        <v>5540</v>
      </c>
      <c r="K466" s="236">
        <f t="shared" si="118"/>
        <v>100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IFERROR(__xludf.DUMMYFUNCTION("IMPORTRANGE(""https://docs.google.com/spreadsheets/d/1IYY_tgx_IHuhSq3AJ5eI5OnqOPBNLWSHKh2a30DoXe8/edit?usp=sharing"",""พัทลุง!I362"")"),0.0)</f>
        <v>0</v>
      </c>
      <c r="J467" s="223">
        <f>IFERROR(__xludf.DUMMYFUNCTION("IMPORTRANGE(""https://docs.google.com/spreadsheets/d/1IYY_tgx_IHuhSq3AJ5eI5OnqOPBNLWSHKh2a30DoXe8/edit?usp=sharing"",""พัทลุง!J362"")"),25982.0)</f>
        <v>25982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IFERROR(__xludf.DUMMYFUNCTION("IMPORTRANGE(""https://docs.google.com/spreadsheets/d/1IYY_tgx_IHuhSq3AJ5eI5OnqOPBNLWSHKh2a30DoXe8/edit?usp=sharing"",""พัทลุง!I363"")"),0.0)</f>
        <v>0</v>
      </c>
      <c r="J468" s="223">
        <f>IFERROR(__xludf.DUMMYFUNCTION("IMPORTRANGE(""https://docs.google.com/spreadsheets/d/1IYY_tgx_IHuhSq3AJ5eI5OnqOPBNLWSHKh2a30DoXe8/edit?usp=sharing"",""พัทลุง!J363"")"),4969.0)</f>
        <v>4969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IFERROR(__xludf.DUMMYFUNCTION("IMPORTRANGE(""https://docs.google.com/spreadsheets/d/1IYY_tgx_IHuhSq3AJ5eI5OnqOPBNLWSHKh2a30DoXe8/edit?usp=sharing"",""พัทลุง!I364"")"),0.0)</f>
        <v>0</v>
      </c>
      <c r="J469" s="223">
        <f>IFERROR(__xludf.DUMMYFUNCTION("IMPORTRANGE(""https://docs.google.com/spreadsheets/d/1IYY_tgx_IHuhSq3AJ5eI5OnqOPBNLWSHKh2a30DoXe8/edit?usp=sharing"",""พัทลุง!J364"")"),3524.0)</f>
        <v>3524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IFERROR(__xludf.DUMMYFUNCTION("IMPORTRANGE(""https://docs.google.com/spreadsheets/d/1IYY_tgx_IHuhSq3AJ5eI5OnqOPBNLWSHKh2a30DoXe8/edit?usp=sharing"",""พัทลุง!I365"")"),0.0)</f>
        <v>0</v>
      </c>
      <c r="J470" s="223">
        <f>IFERROR(__xludf.DUMMYFUNCTION("IMPORTRANGE(""https://docs.google.com/spreadsheets/d/1IYY_tgx_IHuhSq3AJ5eI5OnqOPBNLWSHKh2a30DoXe8/edit?usp=sharing"",""พัทลุง!J365"")"),521.0)</f>
        <v>521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IFERROR(__xludf.DUMMYFUNCTION("IMPORTRANGE(""https://docs.google.com/spreadsheets/d/1IYY_tgx_IHuhSq3AJ5eI5OnqOPBNLWSHKh2a30DoXe8/edit?usp=sharing"",""พัทลุง!I366"")"),0.0)</f>
        <v>0</v>
      </c>
      <c r="J471" s="223">
        <f>IFERROR(__xludf.DUMMYFUNCTION("IMPORTRANGE(""https://docs.google.com/spreadsheets/d/1IYY_tgx_IHuhSq3AJ5eI5OnqOPBNLWSHKh2a30DoXe8/edit?usp=sharing"",""พัทลุง!J366"")"),270.0)</f>
        <v>270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IFERROR(__xludf.DUMMYFUNCTION("IMPORTRANGE(""https://docs.google.com/spreadsheets/d/1IYY_tgx_IHuhSq3AJ5eI5OnqOPBNLWSHKh2a30DoXe8/edit?usp=sharing"",""พัทลุง!I367"")"),0.0)</f>
        <v>0</v>
      </c>
      <c r="J472" s="223">
        <f>IFERROR(__xludf.DUMMYFUNCTION("IMPORTRANGE(""https://docs.google.com/spreadsheets/d/1IYY_tgx_IHuhSq3AJ5eI5OnqOPBNLWSHKh2a30DoXe8/edit?usp=sharing"",""พัทลุง!J367"")"),50.0)</f>
        <v>50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IFERROR(__xludf.DUMMYFUNCTION("IMPORTRANGE(""https://docs.google.com/spreadsheets/d/1IYY_tgx_IHuhSq3AJ5eI5OnqOPBNLWSHKh2a30DoXe8/edit?usp=sharing"",""พัทลุง!I368"")"),27057.0)</f>
        <v>27057</v>
      </c>
      <c r="J473" s="453">
        <f>IFERROR(__xludf.DUMMYFUNCTION("IMPORTRANGE(""https://docs.google.com/spreadsheets/d/1IYY_tgx_IHuhSq3AJ5eI5OnqOPBNLWSHKh2a30DoXe8/edit?usp=sharing"",""พัทลุง!J368"")"),0.0)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IFERROR(__xludf.DUMMYFUNCTION("IMPORTRANGE(""https://docs.google.com/spreadsheets/d/1IYY_tgx_IHuhSq3AJ5eI5OnqOPBNLWSHKh2a30DoXe8/edit?usp=sharing"",""พัทลุง!I369"")"),5540.0)</f>
        <v>5540</v>
      </c>
      <c r="J474" s="453">
        <f>IFERROR(__xludf.DUMMYFUNCTION("IMPORTRANGE(""https://docs.google.com/spreadsheets/d/1IYY_tgx_IHuhSq3AJ5eI5OnqOPBNLWSHKh2a30DoXe8/edit?usp=sharing"",""พัทลุง!J369"")"),0.0)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IFERROR(__xludf.DUMMYFUNCTION("IMPORTRANGE(""https://docs.google.com/spreadsheets/d/1IYY_tgx_IHuhSq3AJ5eI5OnqOPBNLWSHKh2a30DoXe8/edit?usp=sharing"",""พัทลุง!I370"")"),0.0)</f>
        <v>0</v>
      </c>
      <c r="J475" s="223">
        <f>IFERROR(__xludf.DUMMYFUNCTION("IMPORTRANGE(""https://docs.google.com/spreadsheets/d/1IYY_tgx_IHuhSq3AJ5eI5OnqOPBNLWSHKh2a30DoXe8/edit?usp=sharing"",""พัทลุง!J370"")"),0.0)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IFERROR(__xludf.DUMMYFUNCTION("IMPORTRANGE(""https://docs.google.com/spreadsheets/d/1IYY_tgx_IHuhSq3AJ5eI5OnqOPBNLWSHKh2a30DoXe8/edit?usp=sharing"",""พัทลุง!I371"")"),0.0)</f>
        <v>0</v>
      </c>
      <c r="J476" s="223">
        <f>IFERROR(__xludf.DUMMYFUNCTION("IMPORTRANGE(""https://docs.google.com/spreadsheets/d/1IYY_tgx_IHuhSq3AJ5eI5OnqOPBNLWSHKh2a30DoXe8/edit?usp=sharing"",""พัทลุง!J371"")"),0.0)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IFERROR(__xludf.DUMMYFUNCTION("IMPORTRANGE(""https://docs.google.com/spreadsheets/d/1IYY_tgx_IHuhSq3AJ5eI5OnqOPBNLWSHKh2a30DoXe8/edit?usp=sharing"",""พัทลุง!I372"")"),0.0)</f>
        <v>0</v>
      </c>
      <c r="J477" s="223">
        <f>IFERROR(__xludf.DUMMYFUNCTION("IMPORTRANGE(""https://docs.google.com/spreadsheets/d/1IYY_tgx_IHuhSq3AJ5eI5OnqOPBNLWSHKh2a30DoXe8/edit?usp=sharing"",""พัทลุง!J372"")"),0.0)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IFERROR(__xludf.DUMMYFUNCTION("IMPORTRANGE(""https://docs.google.com/spreadsheets/d/1IYY_tgx_IHuhSq3AJ5eI5OnqOPBNLWSHKh2a30DoXe8/edit?usp=sharing"",""พัทลุง!I373"")"),0.0)</f>
        <v>0</v>
      </c>
      <c r="J478" s="223">
        <f>IFERROR(__xludf.DUMMYFUNCTION("IMPORTRANGE(""https://docs.google.com/spreadsheets/d/1IYY_tgx_IHuhSq3AJ5eI5OnqOPBNLWSHKh2a30DoXe8/edit?usp=sharing"",""พัทลุง!J373"")"),0.0)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IFERROR(__xludf.DUMMYFUNCTION("IMPORTRANGE(""https://docs.google.com/spreadsheets/d/1IYY_tgx_IHuhSq3AJ5eI5OnqOPBNLWSHKh2a30DoXe8/edit?usp=sharing"",""พัทลุง!I374"")"),0.0)</f>
        <v>0</v>
      </c>
      <c r="J479" s="223">
        <f>IFERROR(__xludf.DUMMYFUNCTION("IMPORTRANGE(""https://docs.google.com/spreadsheets/d/1IYY_tgx_IHuhSq3AJ5eI5OnqOPBNLWSHKh2a30DoXe8/edit?usp=sharing"",""พัทลุง!J374"")"),0.0)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IFERROR(__xludf.DUMMYFUNCTION("IMPORTRANGE(""https://docs.google.com/spreadsheets/d/1IYY_tgx_IHuhSq3AJ5eI5OnqOPBNLWSHKh2a30DoXe8/edit?usp=sharing"",""พัทลุง!I375"")"),0.0)</f>
        <v>0</v>
      </c>
      <c r="J480" s="223">
        <f>IFERROR(__xludf.DUMMYFUNCTION("IMPORTRANGE(""https://docs.google.com/spreadsheets/d/1IYY_tgx_IHuhSq3AJ5eI5OnqOPBNLWSHKh2a30DoXe8/edit?usp=sharing"",""พัทลุง!J375"")"),0.0)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IFERROR(__xludf.DUMMYFUNCTION("IMPORTRANGE(""https://docs.google.com/spreadsheets/d/1IYY_tgx_IHuhSq3AJ5eI5OnqOPBNLWSHKh2a30DoXe8/edit?usp=sharing"",""พัทลุง!I376"")"),27057.0)</f>
        <v>27057</v>
      </c>
      <c r="J481" s="453">
        <f>IFERROR(__xludf.DUMMYFUNCTION("IMPORTRANGE(""https://docs.google.com/spreadsheets/d/1IYY_tgx_IHuhSq3AJ5eI5OnqOPBNLWSHKh2a30DoXe8/edit?usp=sharing"",""พัทลุง!J376"")"),0.0)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IFERROR(__xludf.DUMMYFUNCTION("IMPORTRANGE(""https://docs.google.com/spreadsheets/d/1IYY_tgx_IHuhSq3AJ5eI5OnqOPBNLWSHKh2a30DoXe8/edit?usp=sharing"",""พัทลุง!I377"")"),5540.0)</f>
        <v>5540</v>
      </c>
      <c r="J482" s="453">
        <f>IFERROR(__xludf.DUMMYFUNCTION("IMPORTRANGE(""https://docs.google.com/spreadsheets/d/1IYY_tgx_IHuhSq3AJ5eI5OnqOPBNLWSHKh2a30DoXe8/edit?usp=sharing"",""พัทลุง!J377"")"),0.0)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IFERROR(__xludf.DUMMYFUNCTION("IMPORTRANGE(""https://docs.google.com/spreadsheets/d/1IYY_tgx_IHuhSq3AJ5eI5OnqOPBNLWSHKh2a30DoXe8/edit?usp=sharing"",""พัทลุง!I378"")"),0.0)</f>
        <v>0</v>
      </c>
      <c r="J483" s="223">
        <f>IFERROR(__xludf.DUMMYFUNCTION("IMPORTRANGE(""https://docs.google.com/spreadsheets/d/1IYY_tgx_IHuhSq3AJ5eI5OnqOPBNLWSHKh2a30DoXe8/edit?usp=sharing"",""พัทลุง!J378"")"),0.0)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IFERROR(__xludf.DUMMYFUNCTION("IMPORTRANGE(""https://docs.google.com/spreadsheets/d/1IYY_tgx_IHuhSq3AJ5eI5OnqOPBNLWSHKh2a30DoXe8/edit?usp=sharing"",""พัทลุง!I379"")"),0.0)</f>
        <v>0</v>
      </c>
      <c r="J484" s="223">
        <f>IFERROR(__xludf.DUMMYFUNCTION("IMPORTRANGE(""https://docs.google.com/spreadsheets/d/1IYY_tgx_IHuhSq3AJ5eI5OnqOPBNLWSHKh2a30DoXe8/edit?usp=sharing"",""พัทลุง!J379"")"),0.0)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IFERROR(__xludf.DUMMYFUNCTION("IMPORTRANGE(""https://docs.google.com/spreadsheets/d/1IYY_tgx_IHuhSq3AJ5eI5OnqOPBNLWSHKh2a30DoXe8/edit?usp=sharing"",""พัทลุง!I380"")"),0.0)</f>
        <v>0</v>
      </c>
      <c r="J485" s="223">
        <f>IFERROR(__xludf.DUMMYFUNCTION("IMPORTRANGE(""https://docs.google.com/spreadsheets/d/1IYY_tgx_IHuhSq3AJ5eI5OnqOPBNLWSHKh2a30DoXe8/edit?usp=sharing"",""พัทลุง!J380"")"),0.0)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IFERROR(__xludf.DUMMYFUNCTION("IMPORTRANGE(""https://docs.google.com/spreadsheets/d/1IYY_tgx_IHuhSq3AJ5eI5OnqOPBNLWSHKh2a30DoXe8/edit?usp=sharing"",""พัทลุง!I381"")"),0.0)</f>
        <v>0</v>
      </c>
      <c r="J486" s="223">
        <f>IFERROR(__xludf.DUMMYFUNCTION("IMPORTRANGE(""https://docs.google.com/spreadsheets/d/1IYY_tgx_IHuhSq3AJ5eI5OnqOPBNLWSHKh2a30DoXe8/edit?usp=sharing"",""พัทลุง!J381"")"),0.0)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IFERROR(__xludf.DUMMYFUNCTION("IMPORTRANGE(""https://docs.google.com/spreadsheets/d/1IYY_tgx_IHuhSq3AJ5eI5OnqOPBNLWSHKh2a30DoXe8/edit?usp=sharing"",""พัทลุง!I382"")"),0.0)</f>
        <v>0</v>
      </c>
      <c r="J487" s="453">
        <f>IFERROR(__xludf.DUMMYFUNCTION("IMPORTRANGE(""https://docs.google.com/spreadsheets/d/1IYY_tgx_IHuhSq3AJ5eI5OnqOPBNLWSHKh2a30DoXe8/edit?usp=sharing"",""พัทลุง!J382"")"),0.0)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IFERROR(__xludf.DUMMYFUNCTION("IMPORTRANGE(""https://docs.google.com/spreadsheets/d/1IYY_tgx_IHuhSq3AJ5eI5OnqOPBNLWSHKh2a30DoXe8/edit?usp=sharing"",""พัทลุง!I383"")"),0.0)</f>
        <v>0</v>
      </c>
      <c r="J488" s="453">
        <f>IFERROR(__xludf.DUMMYFUNCTION("IMPORTRANGE(""https://docs.google.com/spreadsheets/d/1IYY_tgx_IHuhSq3AJ5eI5OnqOPBNLWSHKh2a30DoXe8/edit?usp=sharing"",""พัทลุง!J383"")"),0.0)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IFERROR(__xludf.DUMMYFUNCTION("IMPORTRANGE(""https://docs.google.com/spreadsheets/d/1IYY_tgx_IHuhSq3AJ5eI5OnqOPBNLWSHKh2a30DoXe8/edit?usp=sharing"",""พัทลุง!I384"")"),0.0)</f>
        <v>0</v>
      </c>
      <c r="J489" s="223">
        <f>IFERROR(__xludf.DUMMYFUNCTION("IMPORTRANGE(""https://docs.google.com/spreadsheets/d/1IYY_tgx_IHuhSq3AJ5eI5OnqOPBNLWSHKh2a30DoXe8/edit?usp=sharing"",""พัทลุง!J384"")"),0.0)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IFERROR(__xludf.DUMMYFUNCTION("IMPORTRANGE(""https://docs.google.com/spreadsheets/d/1IYY_tgx_IHuhSq3AJ5eI5OnqOPBNLWSHKh2a30DoXe8/edit?usp=sharing"",""พัทลุง!I385"")"),0.0)</f>
        <v>0</v>
      </c>
      <c r="J490" s="223">
        <f>IFERROR(__xludf.DUMMYFUNCTION("IMPORTRANGE(""https://docs.google.com/spreadsheets/d/1IYY_tgx_IHuhSq3AJ5eI5OnqOPBNLWSHKh2a30DoXe8/edit?usp=sharing"",""พัทลุง!J385"")"),0.0)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IFERROR(__xludf.DUMMYFUNCTION("IMPORTRANGE(""https://docs.google.com/spreadsheets/d/1IYY_tgx_IHuhSq3AJ5eI5OnqOPBNLWSHKh2a30DoXe8/edit?usp=sharing"",""พัทลุง!I386"")"),0.0)</f>
        <v>0</v>
      </c>
      <c r="J491" s="223">
        <f>IFERROR(__xludf.DUMMYFUNCTION("IMPORTRANGE(""https://docs.google.com/spreadsheets/d/1IYY_tgx_IHuhSq3AJ5eI5OnqOPBNLWSHKh2a30DoXe8/edit?usp=sharing"",""พัทลุง!J386"")"),0.0)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IFERROR(__xludf.DUMMYFUNCTION("IMPORTRANGE(""https://docs.google.com/spreadsheets/d/1IYY_tgx_IHuhSq3AJ5eI5OnqOPBNLWSHKh2a30DoXe8/edit?usp=sharing"",""พัทลุง!I387"")"),0.0)</f>
        <v>0</v>
      </c>
      <c r="J492" s="223">
        <f>IFERROR(__xludf.DUMMYFUNCTION("IMPORTRANGE(""https://docs.google.com/spreadsheets/d/1IYY_tgx_IHuhSq3AJ5eI5OnqOPBNLWSHKh2a30DoXe8/edit?usp=sharing"",""พัทลุง!J387"")"),0.0)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IFERROR(__xludf.DUMMYFUNCTION("IMPORTRANGE(""https://docs.google.com/spreadsheets/d/1IYY_tgx_IHuhSq3AJ5eI5OnqOPBNLWSHKh2a30DoXe8/edit?usp=sharing"",""พัทลุง!I388"")"),0.0)</f>
        <v>0</v>
      </c>
      <c r="J493" s="223">
        <f>IFERROR(__xludf.DUMMYFUNCTION("IMPORTRANGE(""https://docs.google.com/spreadsheets/d/1IYY_tgx_IHuhSq3AJ5eI5OnqOPBNLWSHKh2a30DoXe8/edit?usp=sharing"",""พัทลุง!J388"")"),0.0)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IFERROR(__xludf.DUMMYFUNCTION("IMPORTRANGE(""https://docs.google.com/spreadsheets/d/1IYY_tgx_IHuhSq3AJ5eI5OnqOPBNLWSHKh2a30DoXe8/edit?usp=sharing"",""พัทลุง!I389"")"),0.0)</f>
        <v>0</v>
      </c>
      <c r="J494" s="469">
        <f>IFERROR(__xludf.DUMMYFUNCTION("IMPORTRANGE(""https://docs.google.com/spreadsheets/d/1IYY_tgx_IHuhSq3AJ5eI5OnqOPBNLWSHKh2a30DoXe8/edit?usp=sharing"",""พัทลุง!J389"")"),0.0)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IFERROR(__xludf.DUMMYFUNCTION("IMPORTRANGE(""https://docs.google.com/spreadsheets/d/1IYY_tgx_IHuhSq3AJ5eI5OnqOPBNLWSHKh2a30DoXe8/edit?usp=sharing"",""พัทลุง!I390"")"),0.0)</f>
        <v>0</v>
      </c>
      <c r="J495" s="469">
        <f>IFERROR(__xludf.DUMMYFUNCTION("IMPORTRANGE(""https://docs.google.com/spreadsheets/d/1IYY_tgx_IHuhSq3AJ5eI5OnqOPBNLWSHKh2a30DoXe8/edit?usp=sharing"",""พัทลุง!J390"")"),0.0)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IFERROR(__xludf.DUMMYFUNCTION("IMPORTRANGE(""https://docs.google.com/spreadsheets/d/1IYY_tgx_IHuhSq3AJ5eI5OnqOPBNLWSHKh2a30DoXe8/edit?usp=sharing"",""พัทลุง!I391"")"),0.0)</f>
        <v>0</v>
      </c>
      <c r="J496" s="469">
        <f>IFERROR(__xludf.DUMMYFUNCTION("IMPORTRANGE(""https://docs.google.com/spreadsheets/d/1IYY_tgx_IHuhSq3AJ5eI5OnqOPBNLWSHKh2a30DoXe8/edit?usp=sharing"",""พัทลุง!J391"")"),0.0)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IFERROR(__xludf.DUMMYFUNCTION("IMPORTRANGE(""https://docs.google.com/spreadsheets/d/1IYY_tgx_IHuhSq3AJ5eI5OnqOPBNLWSHKh2a30DoXe8/edit?usp=sharing"",""พัทลุง!I392"")"),429.0)</f>
        <v>429</v>
      </c>
      <c r="J497" s="476">
        <f>IFERROR(__xludf.DUMMYFUNCTION("IMPORTRANGE(""https://docs.google.com/spreadsheets/d/1IYY_tgx_IHuhSq3AJ5eI5OnqOPBNLWSHKh2a30DoXe8/edit?usp=sharing"",""พัทลุง!J392"")"),0.0)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IFERROR(__xludf.DUMMYFUNCTION("IMPORTRANGE(""https://docs.google.com/spreadsheets/d/1IYY_tgx_IHuhSq3AJ5eI5OnqOPBNLWSHKh2a30DoXe8/edit?usp=sharing"",""พัทลุง!I393"")"),429.0)</f>
        <v>429</v>
      </c>
      <c r="J498" s="453">
        <f>IFERROR(__xludf.DUMMYFUNCTION("IMPORTRANGE(""https://docs.google.com/spreadsheets/d/1IYY_tgx_IHuhSq3AJ5eI5OnqOPBNLWSHKh2a30DoXe8/edit?usp=sharing"",""พัทลุง!J393"")"),0.0)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IFERROR(__xludf.DUMMYFUNCTION("IMPORTRANGE(""https://docs.google.com/spreadsheets/d/1IYY_tgx_IHuhSq3AJ5eI5OnqOPBNLWSHKh2a30DoXe8/edit?usp=sharing"",""พัทลุง!I394"")"),98.0)</f>
        <v>98</v>
      </c>
      <c r="J499" s="453">
        <f>IFERROR(__xludf.DUMMYFUNCTION("IMPORTRANGE(""https://docs.google.com/spreadsheets/d/1IYY_tgx_IHuhSq3AJ5eI5OnqOPBNLWSHKh2a30DoXe8/edit?usp=sharing"",""พัทลุง!J394"")"),0.0)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IFERROR(__xludf.DUMMYFUNCTION("IMPORTRANGE(""https://docs.google.com/spreadsheets/d/1IYY_tgx_IHuhSq3AJ5eI5OnqOPBNLWSHKh2a30DoXe8/edit?usp=sharing"",""พัทลุง!I395"")"),0.0)</f>
        <v>0</v>
      </c>
      <c r="J500" s="195">
        <f>IFERROR(__xludf.DUMMYFUNCTION("IMPORTRANGE(""https://docs.google.com/spreadsheets/d/1IYY_tgx_IHuhSq3AJ5eI5OnqOPBNLWSHKh2a30DoXe8/edit?usp=sharing"",""พัทลุง!J395"")"),0.0)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IFERROR(__xludf.DUMMYFUNCTION("IMPORTRANGE(""https://docs.google.com/spreadsheets/d/1IYY_tgx_IHuhSq3AJ5eI5OnqOPBNLWSHKh2a30DoXe8/edit?usp=sharing"",""พัทลุง!I396"")"),0.0)</f>
        <v>0</v>
      </c>
      <c r="J501" s="195">
        <f>IFERROR(__xludf.DUMMYFUNCTION("IMPORTRANGE(""https://docs.google.com/spreadsheets/d/1IYY_tgx_IHuhSq3AJ5eI5OnqOPBNLWSHKh2a30DoXe8/edit?usp=sharing"",""พัทลุง!J396"")"),0.0)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IFERROR(__xludf.DUMMYFUNCTION("IMPORTRANGE(""https://docs.google.com/spreadsheets/d/1IYY_tgx_IHuhSq3AJ5eI5OnqOPBNLWSHKh2a30DoXe8/edit?usp=sharing"",""พัทลุง!I397"")"),0.0)</f>
        <v>0</v>
      </c>
      <c r="J502" s="223">
        <f>IFERROR(__xludf.DUMMYFUNCTION("IMPORTRANGE(""https://docs.google.com/spreadsheets/d/1IYY_tgx_IHuhSq3AJ5eI5OnqOPBNLWSHKh2a30DoXe8/edit?usp=sharing"",""พัทลุง!J397"")"),0.0)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IFERROR(__xludf.DUMMYFUNCTION("IMPORTRANGE(""https://docs.google.com/spreadsheets/d/1IYY_tgx_IHuhSq3AJ5eI5OnqOPBNLWSHKh2a30DoXe8/edit?usp=sharing"",""พัทลุง!I398"")"),0.0)</f>
        <v>0</v>
      </c>
      <c r="J503" s="232">
        <f>IFERROR(__xludf.DUMMYFUNCTION("IMPORTRANGE(""https://docs.google.com/spreadsheets/d/1IYY_tgx_IHuhSq3AJ5eI5OnqOPBNLWSHKh2a30DoXe8/edit?usp=sharing"",""พัทลุง!J398"")"),0.0)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IFERROR(__xludf.DUMMYFUNCTION("IMPORTRANGE(""https://docs.google.com/spreadsheets/d/1IYY_tgx_IHuhSq3AJ5eI5OnqOPBNLWSHKh2a30DoXe8/edit?usp=sharing"",""พัทลุง!I399"")"),0.0)</f>
        <v>0</v>
      </c>
      <c r="J504" s="223">
        <f>IFERROR(__xludf.DUMMYFUNCTION("IMPORTRANGE(""https://docs.google.com/spreadsheets/d/1IYY_tgx_IHuhSq3AJ5eI5OnqOPBNLWSHKh2a30DoXe8/edit?usp=sharing"",""พัทลุง!J399"")"),0.0)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IFERROR(__xludf.DUMMYFUNCTION("IMPORTRANGE(""https://docs.google.com/spreadsheets/d/1IYY_tgx_IHuhSq3AJ5eI5OnqOPBNLWSHKh2a30DoXe8/edit?usp=sharing"",""พัทลุง!I400"")"),0.0)</f>
        <v>0</v>
      </c>
      <c r="J505" s="232">
        <f>IFERROR(__xludf.DUMMYFUNCTION("IMPORTRANGE(""https://docs.google.com/spreadsheets/d/1IYY_tgx_IHuhSq3AJ5eI5OnqOPBNLWSHKh2a30DoXe8/edit?usp=sharing"",""พัทลุง!J400"")"),0.0)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IFERROR(__xludf.DUMMYFUNCTION("IMPORTRANGE(""https://docs.google.com/spreadsheets/d/1IYY_tgx_IHuhSq3AJ5eI5OnqOPBNLWSHKh2a30DoXe8/edit?usp=sharing"",""พัทลุง!I401"")"),0.0)</f>
        <v>0</v>
      </c>
      <c r="J506" s="223">
        <f>IFERROR(__xludf.DUMMYFUNCTION("IMPORTRANGE(""https://docs.google.com/spreadsheets/d/1IYY_tgx_IHuhSq3AJ5eI5OnqOPBNLWSHKh2a30DoXe8/edit?usp=sharing"",""พัทลุง!J401"")"),0.0)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IFERROR(__xludf.DUMMYFUNCTION("IMPORTRANGE(""https://docs.google.com/spreadsheets/d/1IYY_tgx_IHuhSq3AJ5eI5OnqOPBNLWSHKh2a30DoXe8/edit?usp=sharing"",""พัทลุง!I402"")"),0.0)</f>
        <v>0</v>
      </c>
      <c r="J507" s="232">
        <f>IFERROR(__xludf.DUMMYFUNCTION("IMPORTRANGE(""https://docs.google.com/spreadsheets/d/1IYY_tgx_IHuhSq3AJ5eI5OnqOPBNLWSHKh2a30DoXe8/edit?usp=sharing"",""พัทลุง!J402"")"),0.0)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IFERROR(__xludf.DUMMYFUNCTION("IMPORTRANGE(""https://docs.google.com/spreadsheets/d/1IYY_tgx_IHuhSq3AJ5eI5OnqOPBNLWSHKh2a30DoXe8/edit?usp=sharing"",""พัทลุง!I403"")"),0.0)</f>
        <v>0</v>
      </c>
      <c r="J508" s="195">
        <f>IFERROR(__xludf.DUMMYFUNCTION("IMPORTRANGE(""https://docs.google.com/spreadsheets/d/1IYY_tgx_IHuhSq3AJ5eI5OnqOPBNLWSHKh2a30DoXe8/edit?usp=sharing"",""พัทลุง!J403"")"),0.0)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IFERROR(__xludf.DUMMYFUNCTION("IMPORTRANGE(""https://docs.google.com/spreadsheets/d/1IYY_tgx_IHuhSq3AJ5eI5OnqOPBNLWSHKh2a30DoXe8/edit?usp=sharing"",""พัทลุง!I404"")"),0.0)</f>
        <v>0</v>
      </c>
      <c r="J509" s="195">
        <f>IFERROR(__xludf.DUMMYFUNCTION("IMPORTRANGE(""https://docs.google.com/spreadsheets/d/1IYY_tgx_IHuhSq3AJ5eI5OnqOPBNLWSHKh2a30DoXe8/edit?usp=sharing"",""พัทลุง!J404"")"),0.0)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IFERROR(__xludf.DUMMYFUNCTION("IMPORTRANGE(""https://docs.google.com/spreadsheets/d/1IYY_tgx_IHuhSq3AJ5eI5OnqOPBNLWSHKh2a30DoXe8/edit?usp=sharing"",""พัทลุง!I405"")"),0.0)</f>
        <v>0</v>
      </c>
      <c r="J510" s="232">
        <f>IFERROR(__xludf.DUMMYFUNCTION("IMPORTRANGE(""https://docs.google.com/spreadsheets/d/1IYY_tgx_IHuhSq3AJ5eI5OnqOPBNLWSHKh2a30DoXe8/edit?usp=sharing"",""พัทลุง!J405"")"),0.0)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IFERROR(__xludf.DUMMYFUNCTION("IMPORTRANGE(""https://docs.google.com/spreadsheets/d/1IYY_tgx_IHuhSq3AJ5eI5OnqOPBNLWSHKh2a30DoXe8/edit?usp=sharing"",""พัทลุง!I406"")"),0.0)</f>
        <v>0</v>
      </c>
      <c r="J511" s="232">
        <f>IFERROR(__xludf.DUMMYFUNCTION("IMPORTRANGE(""https://docs.google.com/spreadsheets/d/1IYY_tgx_IHuhSq3AJ5eI5OnqOPBNLWSHKh2a30DoXe8/edit?usp=sharing"",""พัทลุง!J406"")"),0.0)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IFERROR(__xludf.DUMMYFUNCTION("IMPORTRANGE(""https://docs.google.com/spreadsheets/d/1IYY_tgx_IHuhSq3AJ5eI5OnqOPBNLWSHKh2a30DoXe8/edit?usp=sharing"",""พัทลุง!I407"")"),0.0)</f>
        <v>0</v>
      </c>
      <c r="J512" s="232">
        <f>IFERROR(__xludf.DUMMYFUNCTION("IMPORTRANGE(""https://docs.google.com/spreadsheets/d/1IYY_tgx_IHuhSq3AJ5eI5OnqOPBNLWSHKh2a30DoXe8/edit?usp=sharing"",""พัทลุง!J407"")"),0.0)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IFERROR(__xludf.DUMMYFUNCTION("IMPORTRANGE(""https://docs.google.com/spreadsheets/d/1IYY_tgx_IHuhSq3AJ5eI5OnqOPBNLWSHKh2a30DoXe8/edit?usp=sharing"",""พัทลุง!I408"")"),0.0)</f>
        <v>0</v>
      </c>
      <c r="J513" s="232">
        <f>IFERROR(__xludf.DUMMYFUNCTION("IMPORTRANGE(""https://docs.google.com/spreadsheets/d/1IYY_tgx_IHuhSq3AJ5eI5OnqOPBNLWSHKh2a30DoXe8/edit?usp=sharing"",""พัทลุง!J408"")"),0.0)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IFERROR(__xludf.DUMMYFUNCTION("IMPORTRANGE(""https://docs.google.com/spreadsheets/d/1IYY_tgx_IHuhSq3AJ5eI5OnqOPBNLWSHKh2a30DoXe8/edit?usp=sharing"",""พัทลุง!I409"")"),0.0)</f>
        <v>0</v>
      </c>
      <c r="J514" s="232">
        <f>IFERROR(__xludf.DUMMYFUNCTION("IMPORTRANGE(""https://docs.google.com/spreadsheets/d/1IYY_tgx_IHuhSq3AJ5eI5OnqOPBNLWSHKh2a30DoXe8/edit?usp=sharing"",""พัทลุง!J409"")"),0.0)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IFERROR(__xludf.DUMMYFUNCTION("IMPORTRANGE(""https://docs.google.com/spreadsheets/d/1IYY_tgx_IHuhSq3AJ5eI5OnqOPBNLWSHKh2a30DoXe8/edit?usp=sharing"",""พัทลุง!I410"")"),0.0)</f>
        <v>0</v>
      </c>
      <c r="J515" s="232">
        <f>IFERROR(__xludf.DUMMYFUNCTION("IMPORTRANGE(""https://docs.google.com/spreadsheets/d/1IYY_tgx_IHuhSq3AJ5eI5OnqOPBNLWSHKh2a30DoXe8/edit?usp=sharing"",""พัทลุง!J410"")"),0.0)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IFERROR(__xludf.DUMMYFUNCTION("IMPORTRANGE(""https://docs.google.com/spreadsheets/d/1IYY_tgx_IHuhSq3AJ5eI5OnqOPBNLWSHKh2a30DoXe8/edit?usp=sharing"",""พัทลุง!I411"")"),0.0)</f>
        <v>0</v>
      </c>
      <c r="J516" s="301">
        <f>IFERROR(__xludf.DUMMYFUNCTION("IMPORTRANGE(""https://docs.google.com/spreadsheets/d/1IYY_tgx_IHuhSq3AJ5eI5OnqOPBNLWSHKh2a30DoXe8/edit?usp=sharing"",""พัทลุง!J411"")"),0.0)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IFERROR(__xludf.DUMMYFUNCTION("IMPORTRANGE(""https://docs.google.com/spreadsheets/d/1IYY_tgx_IHuhSq3AJ5eI5OnqOPBNLWSHKh2a30DoXe8/edit?usp=sharing"",""พัทลุง!I412"")"),0.0)</f>
        <v>0</v>
      </c>
      <c r="J517" s="317">
        <f>IFERROR(__xludf.DUMMYFUNCTION("IMPORTRANGE(""https://docs.google.com/spreadsheets/d/1IYY_tgx_IHuhSq3AJ5eI5OnqOPBNLWSHKh2a30DoXe8/edit?usp=sharing"",""พัทลุง!J412"")"),0.0)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IFERROR(__xludf.DUMMYFUNCTION("IMPORTRANGE(""https://docs.google.com/spreadsheets/d/1IYY_tgx_IHuhSq3AJ5eI5OnqOPBNLWSHKh2a30DoXe8/edit?usp=sharing"",""พัทลุง!I413"")"),0.0)</f>
        <v>0</v>
      </c>
      <c r="J518" s="317">
        <f>IFERROR(__xludf.DUMMYFUNCTION("IMPORTRANGE(""https://docs.google.com/spreadsheets/d/1IYY_tgx_IHuhSq3AJ5eI5OnqOPBNLWSHKh2a30DoXe8/edit?usp=sharing"",""พัทลุง!J413"")"),0.0)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IFERROR(__xludf.DUMMYFUNCTION("IMPORTRANGE(""https://docs.google.com/spreadsheets/d/1IYY_tgx_IHuhSq3AJ5eI5OnqOPBNLWSHKh2a30DoXe8/edit?usp=sharing"",""พัทลุง!I414"")"),0.0)</f>
        <v>0</v>
      </c>
      <c r="J519" s="222">
        <f>IFERROR(__xludf.DUMMYFUNCTION("IMPORTRANGE(""https://docs.google.com/spreadsheets/d/1IYY_tgx_IHuhSq3AJ5eI5OnqOPBNLWSHKh2a30DoXe8/edit?usp=sharing"",""พัทลุง!J414"")"),0.0)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IFERROR(__xludf.DUMMYFUNCTION("IMPORTRANGE(""https://docs.google.com/spreadsheets/d/1IYY_tgx_IHuhSq3AJ5eI5OnqOPBNLWSHKh2a30DoXe8/edit?usp=sharing"",""พัทลุง!I415"")"),0.0)</f>
        <v>0</v>
      </c>
      <c r="J520" s="222">
        <f>IFERROR(__xludf.DUMMYFUNCTION("IMPORTRANGE(""https://docs.google.com/spreadsheets/d/1IYY_tgx_IHuhSq3AJ5eI5OnqOPBNLWSHKh2a30DoXe8/edit?usp=sharing"",""พัทลุง!J415"")"),0.0)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IFERROR(__xludf.DUMMYFUNCTION("IMPORTRANGE(""https://docs.google.com/spreadsheets/d/1IYY_tgx_IHuhSq3AJ5eI5OnqOPBNLWSHKh2a30DoXe8/edit?usp=sharing"",""พัทลุง!I416"")"),0.0)</f>
        <v>0</v>
      </c>
      <c r="J521" s="222">
        <f>IFERROR(__xludf.DUMMYFUNCTION("IMPORTRANGE(""https://docs.google.com/spreadsheets/d/1IYY_tgx_IHuhSq3AJ5eI5OnqOPBNLWSHKh2a30DoXe8/edit?usp=sharing"",""พัทลุง!J416"")"),0.0)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IFERROR(__xludf.DUMMYFUNCTION("IMPORTRANGE(""https://docs.google.com/spreadsheets/d/1IYY_tgx_IHuhSq3AJ5eI5OnqOPBNLWSHKh2a30DoXe8/edit?usp=sharing"",""พัทลุง!I417"")"),0.0)</f>
        <v>0</v>
      </c>
      <c r="J522" s="222">
        <f>IFERROR(__xludf.DUMMYFUNCTION("IMPORTRANGE(""https://docs.google.com/spreadsheets/d/1IYY_tgx_IHuhSq3AJ5eI5OnqOPBNLWSHKh2a30DoXe8/edit?usp=sharing"",""พัทลุง!J417"")"),0.0)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IFERROR(__xludf.DUMMYFUNCTION("IMPORTRANGE(""https://docs.google.com/spreadsheets/d/1IYY_tgx_IHuhSq3AJ5eI5OnqOPBNLWSHKh2a30DoXe8/edit?usp=sharing"",""พัทลุง!I418"")"),0.0)</f>
        <v>0</v>
      </c>
      <c r="J523" s="222">
        <f>IFERROR(__xludf.DUMMYFUNCTION("IMPORTRANGE(""https://docs.google.com/spreadsheets/d/1IYY_tgx_IHuhSq3AJ5eI5OnqOPBNLWSHKh2a30DoXe8/edit?usp=sharing"",""พัทลุง!J418"")"),29.0)</f>
        <v>29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IFERROR(__xludf.DUMMYFUNCTION("IMPORTRANGE(""https://docs.google.com/spreadsheets/d/1IYY_tgx_IHuhSq3AJ5eI5OnqOPBNLWSHKh2a30DoXe8/edit?usp=sharing"",""พัทลุง!I419"")"),0.0)</f>
        <v>0</v>
      </c>
      <c r="J524" s="222">
        <f>IFERROR(__xludf.DUMMYFUNCTION("IMPORTRANGE(""https://docs.google.com/spreadsheets/d/1IYY_tgx_IHuhSq3AJ5eI5OnqOPBNLWSHKh2a30DoXe8/edit?usp=sharing"",""พัทลุง!J419"")"),10.0)</f>
        <v>10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IFERROR(__xludf.DUMMYFUNCTION("IMPORTRANGE(""https://docs.google.com/spreadsheets/d/1IYY_tgx_IHuhSq3AJ5eI5OnqOPBNLWSHKh2a30DoXe8/edit?usp=sharing"",""พัทลุง!I420"")"),29.0)</f>
        <v>29</v>
      </c>
      <c r="J525" s="317">
        <f>IFERROR(__xludf.DUMMYFUNCTION("IMPORTRANGE(""https://docs.google.com/spreadsheets/d/1IYY_tgx_IHuhSq3AJ5eI5OnqOPBNLWSHKh2a30DoXe8/edit?usp=sharing"",""พัทลุง!J420"")"),0.0)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IFERROR(__xludf.DUMMYFUNCTION("IMPORTRANGE(""https://docs.google.com/spreadsheets/d/1IYY_tgx_IHuhSq3AJ5eI5OnqOPBNLWSHKh2a30DoXe8/edit?usp=sharing"",""พัทลุง!I421"")"),10.0)</f>
        <v>10</v>
      </c>
      <c r="J526" s="317">
        <f>IFERROR(__xludf.DUMMYFUNCTION("IMPORTRANGE(""https://docs.google.com/spreadsheets/d/1IYY_tgx_IHuhSq3AJ5eI5OnqOPBNLWSHKh2a30DoXe8/edit?usp=sharing"",""พัทลุง!J421"")"),0.0)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IFERROR(__xludf.DUMMYFUNCTION("IMPORTRANGE(""https://docs.google.com/spreadsheets/d/1IYY_tgx_IHuhSq3AJ5eI5OnqOPBNLWSHKh2a30DoXe8/edit?usp=sharing"",""พัทลุง!I422"")"),0.0)</f>
        <v>0</v>
      </c>
      <c r="J527" s="232">
        <f>IFERROR(__xludf.DUMMYFUNCTION("IMPORTRANGE(""https://docs.google.com/spreadsheets/d/1IYY_tgx_IHuhSq3AJ5eI5OnqOPBNLWSHKh2a30DoXe8/edit?usp=sharing"",""พัทลุง!J422"")"),0.0)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IFERROR(__xludf.DUMMYFUNCTION("IMPORTRANGE(""https://docs.google.com/spreadsheets/d/1IYY_tgx_IHuhSq3AJ5eI5OnqOPBNLWSHKh2a30DoXe8/edit?usp=sharing"",""พัทลุง!I423"")"),0.0)</f>
        <v>0</v>
      </c>
      <c r="J528" s="232">
        <f>IFERROR(__xludf.DUMMYFUNCTION("IMPORTRANGE(""https://docs.google.com/spreadsheets/d/1IYY_tgx_IHuhSq3AJ5eI5OnqOPBNLWSHKh2a30DoXe8/edit?usp=sharing"",""พัทลุง!J423"")"),0.0)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IFERROR(__xludf.DUMMYFUNCTION("IMPORTRANGE(""https://docs.google.com/spreadsheets/d/1IYY_tgx_IHuhSq3AJ5eI5OnqOPBNLWSHKh2a30DoXe8/edit?usp=sharing"",""พัทลุง!I424"")"),0.0)</f>
        <v>0</v>
      </c>
      <c r="J529" s="232">
        <f>IFERROR(__xludf.DUMMYFUNCTION("IMPORTRANGE(""https://docs.google.com/spreadsheets/d/1IYY_tgx_IHuhSq3AJ5eI5OnqOPBNLWSHKh2a30DoXe8/edit?usp=sharing"",""พัทลุง!J424"")"),0.0)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IFERROR(__xludf.DUMMYFUNCTION("IMPORTRANGE(""https://docs.google.com/spreadsheets/d/1IYY_tgx_IHuhSq3AJ5eI5OnqOPBNLWSHKh2a30DoXe8/edit?usp=sharing"",""พัทลุง!I425"")"),0.0)</f>
        <v>0</v>
      </c>
      <c r="J530" s="232">
        <f>IFERROR(__xludf.DUMMYFUNCTION("IMPORTRANGE(""https://docs.google.com/spreadsheets/d/1IYY_tgx_IHuhSq3AJ5eI5OnqOPBNLWSHKh2a30DoXe8/edit?usp=sharing"",""พัทลุง!J425"")"),0.0)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IFERROR(__xludf.DUMMYFUNCTION("IMPORTRANGE(""https://docs.google.com/spreadsheets/d/1IYY_tgx_IHuhSq3AJ5eI5OnqOPBNLWSHKh2a30DoXe8/edit?usp=sharing"",""พัทลุง!I426"")"),0.0)</f>
        <v>0</v>
      </c>
      <c r="J531" s="232">
        <f>IFERROR(__xludf.DUMMYFUNCTION("IMPORTRANGE(""https://docs.google.com/spreadsheets/d/1IYY_tgx_IHuhSq3AJ5eI5OnqOPBNLWSHKh2a30DoXe8/edit?usp=sharing"",""พัทลุง!J426"")"),0.0)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IFERROR(__xludf.DUMMYFUNCTION("IMPORTRANGE(""https://docs.google.com/spreadsheets/d/1IYY_tgx_IHuhSq3AJ5eI5OnqOPBNLWSHKh2a30DoXe8/edit?usp=sharing"",""พัทลุง!I427"")"),0.0)</f>
        <v>0</v>
      </c>
      <c r="J532" s="499">
        <f>IFERROR(__xludf.DUMMYFUNCTION("IMPORTRANGE(""https://docs.google.com/spreadsheets/d/1IYY_tgx_IHuhSq3AJ5eI5OnqOPBNLWSHKh2a30DoXe8/edit?usp=sharing"",""พัทลุง!J427"")"),0.0)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IFERROR(__xludf.DUMMYFUNCTION("IMPORTRANGE(""https://docs.google.com/spreadsheets/d/1IYY_tgx_IHuhSq3AJ5eI5OnqOPBNLWSHKh2a30DoXe8/edit?usp=sharing"",""พัทลุง!I428"")"),20.0)</f>
        <v>20</v>
      </c>
      <c r="J533" s="443">
        <f>IFERROR(__xludf.DUMMYFUNCTION("IMPORTRANGE(""https://docs.google.com/spreadsheets/d/1IYY_tgx_IHuhSq3AJ5eI5OnqOPBNLWSHKh2a30DoXe8/edit?usp=sharing"",""พัทลุง!J428"")"),20.0)</f>
        <v>20</v>
      </c>
      <c r="K533" s="444">
        <f>IF(I533&gt;0,J533*100/I533,0)</f>
        <v>100</v>
      </c>
      <c r="L533" s="445">
        <f>IFERROR(__xludf.DUMMYFUNCTION("IMPORTRANGE(""https://docs.google.com/spreadsheets/d/1IYY_tgx_IHuhSq3AJ5eI5OnqOPBNLWSHKh2a30DoXe8/edit?usp=sharing"",""พัทลุง!L428"")"),32640.0)</f>
        <v>32640</v>
      </c>
      <c r="M533" s="445"/>
      <c r="N533" s="445">
        <f>IFERROR(__xludf.DUMMYFUNCTION("IMPORTRANGE(""https://docs.google.com/spreadsheets/d/1IYY_tgx_IHuhSq3AJ5eI5OnqOPBNLWSHKh2a30DoXe8/edit?usp=sharing"",""พัทลุง!M428"")"),22310.0)</f>
        <v>22310</v>
      </c>
      <c r="O533" s="445">
        <f t="shared" ref="O533:O537" si="119">+IF(L533&gt;0,N533*100/L533,0)</f>
        <v>68.35171569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IFERROR(__xludf.DUMMYFUNCTION("IMPORTRANGE(""https://docs.google.com/spreadsheets/d/1IYY_tgx_IHuhSq3AJ5eI5OnqOPBNLWSHKh2a30DoXe8/edit?usp=sharing"",""พัทลุง!L429"")"),0.0)</f>
        <v>0</v>
      </c>
      <c r="M534" s="197"/>
      <c r="N534" s="203">
        <f>IFERROR(__xludf.DUMMYFUNCTION("IMPORTRANGE(""https://docs.google.com/spreadsheets/d/1IYY_tgx_IHuhSq3AJ5eI5OnqOPBNLWSHKh2a30DoXe8/edit?usp=sharing"",""พัทลุง!M429"")"),0.0)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IFERROR(__xludf.DUMMYFUNCTION("IMPORTRANGE(""https://docs.google.com/spreadsheets/d/1IYY_tgx_IHuhSq3AJ5eI5OnqOPBNLWSHKh2a30DoXe8/edit?usp=sharing"",""พัทลุง!L430"")"),32640.0)</f>
        <v>32640</v>
      </c>
      <c r="M535" s="198"/>
      <c r="N535" s="203">
        <f>IFERROR(__xludf.DUMMYFUNCTION("IMPORTRANGE(""https://docs.google.com/spreadsheets/d/1IYY_tgx_IHuhSq3AJ5eI5OnqOPBNLWSHKh2a30DoXe8/edit?usp=sharing"",""พัทลุง!M430"")"),22310.0)</f>
        <v>22310</v>
      </c>
      <c r="O535" s="203">
        <f t="shared" si="119"/>
        <v>68.35171569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IFERROR(__xludf.DUMMYFUNCTION("IMPORTRANGE(""https://docs.google.com/spreadsheets/d/1IYY_tgx_IHuhSq3AJ5eI5OnqOPBNLWSHKh2a30DoXe8/edit?usp=sharing"",""พัทลุง!L431"")"),0.0)</f>
        <v>0</v>
      </c>
      <c r="M536" s="203"/>
      <c r="N536" s="203">
        <f>IFERROR(__xludf.DUMMYFUNCTION("IMPORTRANGE(""https://docs.google.com/spreadsheets/d/1IYY_tgx_IHuhSq3AJ5eI5OnqOPBNLWSHKh2a30DoXe8/edit?usp=sharing"",""พัทลุง!M431"")"),0.0)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IFERROR(__xludf.DUMMYFUNCTION("IMPORTRANGE(""https://docs.google.com/spreadsheets/d/1IYY_tgx_IHuhSq3AJ5eI5OnqOPBNLWSHKh2a30DoXe8/edit?usp=sharing"",""พัทลุง!L432"")"),32640.0)</f>
        <v>32640</v>
      </c>
      <c r="M537" s="203"/>
      <c r="N537" s="203">
        <f>IFERROR(__xludf.DUMMYFUNCTION("IMPORTRANGE(""https://docs.google.com/spreadsheets/d/1IYY_tgx_IHuhSq3AJ5eI5OnqOPBNLWSHKh2a30DoXe8/edit?usp=sharing"",""พัทลุง!M432"")"),22310.0)</f>
        <v>22310</v>
      </c>
      <c r="O537" s="203">
        <f t="shared" si="119"/>
        <v>68.35171569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IFERROR(__xludf.DUMMYFUNCTION("IMPORTRANGE(""https://docs.google.com/spreadsheets/d/1IYY_tgx_IHuhSq3AJ5eI5OnqOPBNLWSHKh2a30DoXe8/edit?usp=sharing"",""พัทลุง!M433"")"),14560.0)</f>
        <v>14560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IFERROR(__xludf.DUMMYFUNCTION("IMPORTRANGE(""https://docs.google.com/spreadsheets/d/1IYY_tgx_IHuhSq3AJ5eI5OnqOPBNLWSHKh2a30DoXe8/edit?usp=sharing"",""พัทลุง!M434"")"),0.0)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IFERROR(__xludf.DUMMYFUNCTION("IMPORTRANGE(""https://docs.google.com/spreadsheets/d/1IYY_tgx_IHuhSq3AJ5eI5OnqOPBNLWSHKh2a30DoXe8/edit?usp=sharing"",""พัทลุง!M435"")"),0.0)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IFERROR(__xludf.DUMMYFUNCTION("IMPORTRANGE(""https://docs.google.com/spreadsheets/d/1IYY_tgx_IHuhSq3AJ5eI5OnqOPBNLWSHKh2a30DoXe8/edit?usp=sharing"",""พัทลุง!M436"")"),7750.0)</f>
        <v>7750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IFERROR(__xludf.DUMMYFUNCTION("IMPORTRANGE(""https://docs.google.com/spreadsheets/d/1IYY_tgx_IHuhSq3AJ5eI5OnqOPBNLWSHKh2a30DoXe8/edit?usp=sharing"",""พัทลุง!J438"")"),0.0)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IFERROR(__xludf.DUMMYFUNCTION("IMPORTRANGE(""https://docs.google.com/spreadsheets/d/1IYY_tgx_IHuhSq3AJ5eI5OnqOPBNLWSHKh2a30DoXe8/edit?usp=sharing"",""พัทลุง!J439"")"),1.0)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IFERROR(__xludf.DUMMYFUNCTION("IMPORTRANGE(""https://docs.google.com/spreadsheets/d/1IYY_tgx_IHuhSq3AJ5eI5OnqOPBNLWSHKh2a30DoXe8/edit?usp=sharing"",""พัทลุง!J440"")"),1.0)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IFERROR(__xludf.DUMMYFUNCTION("IMPORTRANGE(""https://docs.google.com/spreadsheets/d/1IYY_tgx_IHuhSq3AJ5eI5OnqOPBNLWSHKh2a30DoXe8/edit?usp=sharing"",""พัทลุง!J441"")"),1.0)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IFERROR(__xludf.DUMMYFUNCTION("IMPORTRANGE(""https://docs.google.com/spreadsheets/d/1IYY_tgx_IHuhSq3AJ5eI5OnqOPBNLWSHKh2a30DoXe8/edit?usp=sharing"",""พัทลุง!I442"")"),20.0)</f>
        <v>20</v>
      </c>
      <c r="J547" s="223">
        <f>IFERROR(__xludf.DUMMYFUNCTION("IMPORTRANGE(""https://docs.google.com/spreadsheets/d/1IYY_tgx_IHuhSq3AJ5eI5OnqOPBNLWSHKh2a30DoXe8/edit?usp=sharing"",""พัทลุง!J442"")"),20.0)</f>
        <v>20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IFERROR(__xludf.DUMMYFUNCTION("IMPORTRANGE(""https://docs.google.com/spreadsheets/d/1IYY_tgx_IHuhSq3AJ5eI5OnqOPBNLWSHKh2a30DoXe8/edit?usp=sharing"",""พัทลุง!J166"")"),0.0)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IFERROR(__xludf.DUMMYFUNCTION("IMPORTRANGE(""https://docs.google.com/spreadsheets/d/1IYY_tgx_IHuhSq3AJ5eI5OnqOPBNLWSHKh2a30DoXe8/edit?usp=sharing"",""พัทลุง!J444"")"),0.0)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IFERROR(__xludf.DUMMYFUNCTION("IMPORTRANGE(""https://docs.google.com/spreadsheets/d/1IYY_tgx_IHuhSq3AJ5eI5OnqOPBNLWSHKh2a30DoXe8/edit?usp=sharing"",""พัทลุง!J445"")"),0.0)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IFERROR(__xludf.DUMMYFUNCTION("IMPORTRANGE(""https://docs.google.com/spreadsheets/d/1IYY_tgx_IHuhSq3AJ5eI5OnqOPBNLWSHKh2a30DoXe8/edit?usp=sharing"",""พัทลุง!I446"")"),0.0)</f>
        <v>0</v>
      </c>
      <c r="J551" s="443">
        <f>IFERROR(__xludf.DUMMYFUNCTION("IMPORTRANGE(""https://docs.google.com/spreadsheets/d/1IYY_tgx_IHuhSq3AJ5eI5OnqOPBNLWSHKh2a30DoXe8/edit?usp=sharing"",""พัทลุง!J446"")"),0.0)</f>
        <v>0</v>
      </c>
      <c r="K551" s="444">
        <f>IF(I551&gt;0,J551*100/I551,0)</f>
        <v>0</v>
      </c>
      <c r="L551" s="445">
        <f>IFERROR(__xludf.DUMMYFUNCTION("IMPORTRANGE(""https://docs.google.com/spreadsheets/d/1IYY_tgx_IHuhSq3AJ5eI5OnqOPBNLWSHKh2a30DoXe8/edit?usp=sharing"",""พัทลุง!L446"")"),0.0)</f>
        <v>0</v>
      </c>
      <c r="M551" s="445"/>
      <c r="N551" s="445">
        <f>IFERROR(__xludf.DUMMYFUNCTION("IMPORTRANGE(""https://docs.google.com/spreadsheets/d/1IYY_tgx_IHuhSq3AJ5eI5OnqOPBNLWSHKh2a30DoXe8/edit?usp=sharing"",""พัทลุง!M446"")"),0.0)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IFERROR(__xludf.DUMMYFUNCTION("IMPORTRANGE(""https://docs.google.com/spreadsheets/d/1IYY_tgx_IHuhSq3AJ5eI5OnqOPBNLWSHKh2a30DoXe8/edit?usp=sharing"",""พัทลุง!L447"")"),0.0)</f>
        <v>0</v>
      </c>
      <c r="M552" s="197"/>
      <c r="N552" s="203">
        <f>IFERROR(__xludf.DUMMYFUNCTION("IMPORTRANGE(""https://docs.google.com/spreadsheets/d/1IYY_tgx_IHuhSq3AJ5eI5OnqOPBNLWSHKh2a30DoXe8/edit?usp=sharing"",""พัทลุง!M447"")"),0.0)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IFERROR(__xludf.DUMMYFUNCTION("IMPORTRANGE(""https://docs.google.com/spreadsheets/d/1IYY_tgx_IHuhSq3AJ5eI5OnqOPBNLWSHKh2a30DoXe8/edit?usp=sharing"",""พัทลุง!L448"")"),0.0)</f>
        <v>0</v>
      </c>
      <c r="M553" s="198"/>
      <c r="N553" s="203">
        <f>IFERROR(__xludf.DUMMYFUNCTION("IMPORTRANGE(""https://docs.google.com/spreadsheets/d/1IYY_tgx_IHuhSq3AJ5eI5OnqOPBNLWSHKh2a30DoXe8/edit?usp=sharing"",""พัทลุง!M448"")"),0.0)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IFERROR(__xludf.DUMMYFUNCTION("IMPORTRANGE(""https://docs.google.com/spreadsheets/d/1IYY_tgx_IHuhSq3AJ5eI5OnqOPBNLWSHKh2a30DoXe8/edit?usp=sharing"",""พัทลุง!L449"")"),0.0)</f>
        <v>0</v>
      </c>
      <c r="M554" s="203"/>
      <c r="N554" s="203">
        <f>IFERROR(__xludf.DUMMYFUNCTION("IMPORTRANGE(""https://docs.google.com/spreadsheets/d/1IYY_tgx_IHuhSq3AJ5eI5OnqOPBNLWSHKh2a30DoXe8/edit?usp=sharing"",""พัทลุง!M449"")"),0.0)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IFERROR(__xludf.DUMMYFUNCTION("IMPORTRANGE(""https://docs.google.com/spreadsheets/d/1IYY_tgx_IHuhSq3AJ5eI5OnqOPBNLWSHKh2a30DoXe8/edit?usp=sharing"",""พัทลุง!L450"")"),0.0)</f>
        <v>0</v>
      </c>
      <c r="M555" s="203"/>
      <c r="N555" s="203">
        <f>IFERROR(__xludf.DUMMYFUNCTION("IMPORTRANGE(""https://docs.google.com/spreadsheets/d/1IYY_tgx_IHuhSq3AJ5eI5OnqOPBNLWSHKh2a30DoXe8/edit?usp=sharing"",""พัทลุง!M450"")"),0.0)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IFERROR(__xludf.DUMMYFUNCTION("IMPORTRANGE(""https://docs.google.com/spreadsheets/d/1IYY_tgx_IHuhSq3AJ5eI5OnqOPBNLWSHKh2a30DoXe8/edit?usp=sharing"",""พัทลุง!M451"")"),0.0)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IFERROR(__xludf.DUMMYFUNCTION("IMPORTRANGE(""https://docs.google.com/spreadsheets/d/1IYY_tgx_IHuhSq3AJ5eI5OnqOPBNLWSHKh2a30DoXe8/edit?usp=sharing"",""พัทลุง!M452"")"),0.0)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IFERROR(__xludf.DUMMYFUNCTION("IMPORTRANGE(""https://docs.google.com/spreadsheets/d/1IYY_tgx_IHuhSq3AJ5eI5OnqOPBNLWSHKh2a30DoXe8/edit?usp=sharing"",""พัทลุง!M453"")"),0.0)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IFERROR(__xludf.DUMMYFUNCTION("IMPORTRANGE(""https://docs.google.com/spreadsheets/d/1IYY_tgx_IHuhSq3AJ5eI5OnqOPBNLWSHKh2a30DoXe8/edit?usp=sharing"",""พัทลุง!M454"")"),0.0)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IFERROR(__xludf.DUMMYFUNCTION("IMPORTRANGE(""https://docs.google.com/spreadsheets/d/1IYY_tgx_IHuhSq3AJ5eI5OnqOPBNLWSHKh2a30DoXe8/edit?usp=sharing"",""พัทลุง!I455"")"),0.0)</f>
        <v>0</v>
      </c>
      <c r="J560" s="195">
        <f>IFERROR(__xludf.DUMMYFUNCTION("IMPORTRANGE(""https://docs.google.com/spreadsheets/d/1IYY_tgx_IHuhSq3AJ5eI5OnqOPBNLWSHKh2a30DoXe8/edit?usp=sharing"",""พัทลุง!J455"")"),0.0)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IFERROR(__xludf.DUMMYFUNCTION("IMPORTRANGE(""https://docs.google.com/spreadsheets/d/1IYY_tgx_IHuhSq3AJ5eI5OnqOPBNLWSHKh2a30DoXe8/edit?usp=sharing"",""พัทลุง!I456"")"),0.0)</f>
        <v>0</v>
      </c>
      <c r="J561" s="238">
        <f>IFERROR(__xludf.DUMMYFUNCTION("IMPORTRANGE(""https://docs.google.com/spreadsheets/d/1IYY_tgx_IHuhSq3AJ5eI5OnqOPBNLWSHKh2a30DoXe8/edit?usp=sharing"",""พัทลุง!J456"")"),0.0)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IFERROR(__xludf.DUMMYFUNCTION("IMPORTRANGE(""https://docs.google.com/spreadsheets/d/1IYY_tgx_IHuhSq3AJ5eI5OnqOPBNLWSHKh2a30DoXe8/edit?usp=sharing"",""พัทลุง!I457"")"),"")</f>
        <v/>
      </c>
      <c r="J562" s="238" t="str">
        <f>IFERROR(__xludf.DUMMYFUNCTION("IMPORTRANGE(""https://docs.google.com/spreadsheets/d/1IYY_tgx_IHuhSq3AJ5eI5OnqOPBNLWSHKh2a30DoXe8/edit?usp=sharing"",""พัทลุง!J457"")"),"")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IFERROR(__xludf.DUMMYFUNCTION("IMPORTRANGE(""https://docs.google.com/spreadsheets/d/1IYY_tgx_IHuhSq3AJ5eI5OnqOPBNLWSHKh2a30DoXe8/edit?usp=sharing"",""พัทลุง!I458"")"),"")</f>
        <v/>
      </c>
      <c r="J563" s="222" t="str">
        <f>IFERROR(__xludf.DUMMYFUNCTION("IMPORTRANGE(""https://docs.google.com/spreadsheets/d/1IYY_tgx_IHuhSq3AJ5eI5OnqOPBNLWSHKh2a30DoXe8/edit?usp=sharing"",""พัทลุง!J458"")"),"")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IFERROR(__xludf.DUMMYFUNCTION("IMPORTRANGE(""https://docs.google.com/spreadsheets/d/1IYY_tgx_IHuhSq3AJ5eI5OnqOPBNLWSHKh2a30DoXe8/edit?usp=sharing"",""พัทลุง!I459"")"),1150.0)</f>
        <v>1150</v>
      </c>
      <c r="J564" s="404">
        <f>IFERROR(__xludf.DUMMYFUNCTION("IMPORTRANGE(""https://docs.google.com/spreadsheets/d/1IYY_tgx_IHuhSq3AJ5eI5OnqOPBNLWSHKh2a30DoXe8/edit?usp=sharing"",""พัทลุง!J459"")"),731.0)</f>
        <v>731</v>
      </c>
      <c r="K564" s="405">
        <f t="shared" si="122"/>
        <v>63.56521739</v>
      </c>
      <c r="L564" s="406">
        <f>IFERROR(__xludf.DUMMYFUNCTION("IMPORTRANGE(""https://docs.google.com/spreadsheets/d/1IYY_tgx_IHuhSq3AJ5eI5OnqOPBNLWSHKh2a30DoXe8/edit?usp=sharing"",""พัทลุง!L459"")"),120320.0)</f>
        <v>120320</v>
      </c>
      <c r="M564" s="406"/>
      <c r="N564" s="406">
        <f>IFERROR(__xludf.DUMMYFUNCTION("IMPORTRANGE(""https://docs.google.com/spreadsheets/d/1IYY_tgx_IHuhSq3AJ5eI5OnqOPBNLWSHKh2a30DoXe8/edit?usp=sharing"",""พัทลุง!M459"")"),43032.64)</f>
        <v>43032.64</v>
      </c>
      <c r="O564" s="406">
        <f t="shared" ref="O564:O568" si="123">+IF(L564&gt;0,N564*100/L564,0)</f>
        <v>35.76515957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IFERROR(__xludf.DUMMYFUNCTION("IMPORTRANGE(""https://docs.google.com/spreadsheets/d/1IYY_tgx_IHuhSq3AJ5eI5OnqOPBNLWSHKh2a30DoXe8/edit?usp=sharing"",""พัทลุง!L460"")"),0.0)</f>
        <v>0</v>
      </c>
      <c r="M565" s="197"/>
      <c r="N565" s="203">
        <f>IFERROR(__xludf.DUMMYFUNCTION("IMPORTRANGE(""https://docs.google.com/spreadsheets/d/1IYY_tgx_IHuhSq3AJ5eI5OnqOPBNLWSHKh2a30DoXe8/edit?usp=sharing"",""พัทลุง!M460"")"),0.0)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IFERROR(__xludf.DUMMYFUNCTION("IMPORTRANGE(""https://docs.google.com/spreadsheets/d/1IYY_tgx_IHuhSq3AJ5eI5OnqOPBNLWSHKh2a30DoXe8/edit?usp=sharing"",""พัทลุง!L461"")"),120320.0)</f>
        <v>120320</v>
      </c>
      <c r="M566" s="198"/>
      <c r="N566" s="203">
        <f>IFERROR(__xludf.DUMMYFUNCTION("IMPORTRANGE(""https://docs.google.com/spreadsheets/d/1IYY_tgx_IHuhSq3AJ5eI5OnqOPBNLWSHKh2a30DoXe8/edit?usp=sharing"",""พัทลุง!M461"")"),43032.64)</f>
        <v>43032.64</v>
      </c>
      <c r="O566" s="203">
        <f t="shared" si="123"/>
        <v>35.76515957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IFERROR(__xludf.DUMMYFUNCTION("IMPORTRANGE(""https://docs.google.com/spreadsheets/d/1IYY_tgx_IHuhSq3AJ5eI5OnqOPBNLWSHKh2a30DoXe8/edit?usp=sharing"",""พัทลุง!L462"")"),0.0)</f>
        <v>0</v>
      </c>
      <c r="M567" s="203"/>
      <c r="N567" s="203">
        <f>IFERROR(__xludf.DUMMYFUNCTION("IMPORTRANGE(""https://docs.google.com/spreadsheets/d/1IYY_tgx_IHuhSq3AJ5eI5OnqOPBNLWSHKh2a30DoXe8/edit?usp=sharing"",""พัทลุง!M462"")"),0.0)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IFERROR(__xludf.DUMMYFUNCTION("IMPORTRANGE(""https://docs.google.com/spreadsheets/d/1IYY_tgx_IHuhSq3AJ5eI5OnqOPBNLWSHKh2a30DoXe8/edit?usp=sharing"",""พัทลุง!L463"")"),120320.0)</f>
        <v>120320</v>
      </c>
      <c r="M568" s="203"/>
      <c r="N568" s="203">
        <f>IFERROR(__xludf.DUMMYFUNCTION("IMPORTRANGE(""https://docs.google.com/spreadsheets/d/1IYY_tgx_IHuhSq3AJ5eI5OnqOPBNLWSHKh2a30DoXe8/edit?usp=sharing"",""พัทลุง!M463"")"),43032.64)</f>
        <v>43032.64</v>
      </c>
      <c r="O568" s="203">
        <f t="shared" si="123"/>
        <v>35.76515957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IFERROR(__xludf.DUMMYFUNCTION("IMPORTRANGE(""https://docs.google.com/spreadsheets/d/1IYY_tgx_IHuhSq3AJ5eI5OnqOPBNLWSHKh2a30DoXe8/edit?usp=sharing"",""พัทลุง!M464"")"),0.0)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IFERROR(__xludf.DUMMYFUNCTION("IMPORTRANGE(""https://docs.google.com/spreadsheets/d/1IYY_tgx_IHuhSq3AJ5eI5OnqOPBNLWSHKh2a30DoXe8/edit?usp=sharing"",""พัทลุง!M465"")"),0.0)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IFERROR(__xludf.DUMMYFUNCTION("IMPORTRANGE(""https://docs.google.com/spreadsheets/d/1IYY_tgx_IHuhSq3AJ5eI5OnqOPBNLWSHKh2a30DoXe8/edit?usp=sharing"",""พัทลุง!M466"")"),30492.64)</f>
        <v>30492.64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IFERROR(__xludf.DUMMYFUNCTION("IMPORTRANGE(""https://docs.google.com/spreadsheets/d/1IYY_tgx_IHuhSq3AJ5eI5OnqOPBNLWSHKh2a30DoXe8/edit?usp=sharing"",""พัทลุง!M467"")"),12540.0)</f>
        <v>12540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IFERROR(__xludf.DUMMYFUNCTION("IMPORTRANGE(""https://docs.google.com/spreadsheets/d/1IYY_tgx_IHuhSq3AJ5eI5OnqOPBNLWSHKh2a30DoXe8/edit?usp=sharing"",""พัทลุง!I468"")"),1150.0)</f>
        <v>1150</v>
      </c>
      <c r="J573" s="453">
        <f>IFERROR(__xludf.DUMMYFUNCTION("IMPORTRANGE(""https://docs.google.com/spreadsheets/d/1IYY_tgx_IHuhSq3AJ5eI5OnqOPBNLWSHKh2a30DoXe8/edit?usp=sharing"",""พัทลุง!J468"")"),731.0)</f>
        <v>731</v>
      </c>
      <c r="K573" s="236">
        <f>IF(I573&gt;0,J573*100/I573,0)</f>
        <v>63.56521739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IFERROR(__xludf.DUMMYFUNCTION("IMPORTRANGE(""https://docs.google.com/spreadsheets/d/1IYY_tgx_IHuhSq3AJ5eI5OnqOPBNLWSHKh2a30DoXe8/edit?usp=sharing"",""พัทลุง!I470"")"),0.0)</f>
        <v>0</v>
      </c>
      <c r="J575" s="232">
        <f>IFERROR(__xludf.DUMMYFUNCTION("IMPORTRANGE(""https://docs.google.com/spreadsheets/d/1IYY_tgx_IHuhSq3AJ5eI5OnqOPBNLWSHKh2a30DoXe8/edit?usp=sharing"",""พัทลุง!J470"")"),2.0)</f>
        <v>2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IFERROR(__xludf.DUMMYFUNCTION("IMPORTRANGE(""https://docs.google.com/spreadsheets/d/1IYY_tgx_IHuhSq3AJ5eI5OnqOPBNLWSHKh2a30DoXe8/edit?usp=sharing"",""พัทลุง!I471"")"),0.0)</f>
        <v>0</v>
      </c>
      <c r="J576" s="232">
        <f>IFERROR(__xludf.DUMMYFUNCTION("IMPORTRANGE(""https://docs.google.com/spreadsheets/d/1IYY_tgx_IHuhSq3AJ5eI5OnqOPBNLWSHKh2a30DoXe8/edit?usp=sharing"",""พัทลุง!J471"")"),60.0)</f>
        <v>60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IFERROR(__xludf.DUMMYFUNCTION("IMPORTRANGE(""https://docs.google.com/spreadsheets/d/1IYY_tgx_IHuhSq3AJ5eI5OnqOPBNLWSHKh2a30DoXe8/edit?usp=sharing"",""พัทลุง!I472"")"),0.0)</f>
        <v>0</v>
      </c>
      <c r="J577" s="223">
        <f>IFERROR(__xludf.DUMMYFUNCTION("IMPORTRANGE(""https://docs.google.com/spreadsheets/d/1IYY_tgx_IHuhSq3AJ5eI5OnqOPBNLWSHKh2a30DoXe8/edit?usp=sharing"",""พัทลุง!J472"")"),671.0)</f>
        <v>671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IFERROR(__xludf.DUMMYFUNCTION("IMPORTRANGE(""https://docs.google.com/spreadsheets/d/1IYY_tgx_IHuhSq3AJ5eI5OnqOPBNLWSHKh2a30DoXe8/edit?usp=sharing"",""พัทลุง!I473"")"),0.0)</f>
        <v>0</v>
      </c>
      <c r="J578" s="232">
        <f>IFERROR(__xludf.DUMMYFUNCTION("IMPORTRANGE(""https://docs.google.com/spreadsheets/d/1IYY_tgx_IHuhSq3AJ5eI5OnqOPBNLWSHKh2a30DoXe8/edit?usp=sharing"",""พัทลุง!J473"")"),0.0)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IFERROR(__xludf.DUMMYFUNCTION("IMPORTRANGE(""https://docs.google.com/spreadsheets/d/1IYY_tgx_IHuhSq3AJ5eI5OnqOPBNLWSHKh2a30DoXe8/edit?usp=sharing"",""พัทลุง!I474"")"),0.0)</f>
        <v>0</v>
      </c>
      <c r="J579" s="232">
        <f>IFERROR(__xludf.DUMMYFUNCTION("IMPORTRANGE(""https://docs.google.com/spreadsheets/d/1IYY_tgx_IHuhSq3AJ5eI5OnqOPBNLWSHKh2a30DoXe8/edit?usp=sharing"",""พัทลุง!J474"")"),0.0)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IFERROR(__xludf.DUMMYFUNCTION("IMPORTRANGE(""https://docs.google.com/spreadsheets/d/1IYY_tgx_IHuhSq3AJ5eI5OnqOPBNLWSHKh2a30DoXe8/edit?usp=sharing"",""พัทลุง!I475"")"),45.0)</f>
        <v>45</v>
      </c>
      <c r="J580" s="404">
        <f>IFERROR(__xludf.DUMMYFUNCTION("IMPORTRANGE(""https://docs.google.com/spreadsheets/d/1IYY_tgx_IHuhSq3AJ5eI5OnqOPBNLWSHKh2a30DoXe8/edit?usp=sharing"",""พัทลุง!J475"")"),0.0)</f>
        <v>0</v>
      </c>
      <c r="K580" s="405">
        <f>IF(I580&gt;0,J580*100/I580,0)</f>
        <v>0</v>
      </c>
      <c r="L580" s="406">
        <f>IFERROR(__xludf.DUMMYFUNCTION("IMPORTRANGE(""https://docs.google.com/spreadsheets/d/1IYY_tgx_IHuhSq3AJ5eI5OnqOPBNLWSHKh2a30DoXe8/edit?usp=sharing"",""พัทลุง!L475"")"),143795.0)</f>
        <v>143795</v>
      </c>
      <c r="M580" s="406"/>
      <c r="N580" s="406">
        <f>IFERROR(__xludf.DUMMYFUNCTION("IMPORTRANGE(""https://docs.google.com/spreadsheets/d/1IYY_tgx_IHuhSq3AJ5eI5OnqOPBNLWSHKh2a30DoXe8/edit?usp=sharing"",""พัทลุง!M475"")"),0.0)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IFERROR(__xludf.DUMMYFUNCTION("IMPORTRANGE(""https://docs.google.com/spreadsheets/d/1IYY_tgx_IHuhSq3AJ5eI5OnqOPBNLWSHKh2a30DoXe8/edit?usp=sharing"",""พัทลุง!L476"")"),0.0)</f>
        <v>0</v>
      </c>
      <c r="M581" s="197"/>
      <c r="N581" s="203">
        <f>IFERROR(__xludf.DUMMYFUNCTION("IMPORTRANGE(""https://docs.google.com/spreadsheets/d/1IYY_tgx_IHuhSq3AJ5eI5OnqOPBNLWSHKh2a30DoXe8/edit?usp=sharing"",""พัทลุง!M476"")"),0.0)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IFERROR(__xludf.DUMMYFUNCTION("IMPORTRANGE(""https://docs.google.com/spreadsheets/d/1IYY_tgx_IHuhSq3AJ5eI5OnqOPBNLWSHKh2a30DoXe8/edit?usp=sharing"",""พัทลุง!L477"")"),143795.0)</f>
        <v>143795</v>
      </c>
      <c r="M582" s="198"/>
      <c r="N582" s="203">
        <f>IFERROR(__xludf.DUMMYFUNCTION("IMPORTRANGE(""https://docs.google.com/spreadsheets/d/1IYY_tgx_IHuhSq3AJ5eI5OnqOPBNLWSHKh2a30DoXe8/edit?usp=sharing"",""พัทลุง!M477"")"),0.0)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IFERROR(__xludf.DUMMYFUNCTION("IMPORTRANGE(""https://docs.google.com/spreadsheets/d/1IYY_tgx_IHuhSq3AJ5eI5OnqOPBNLWSHKh2a30DoXe8/edit?usp=sharing"",""พัทลุง!L478"")"),0.0)</f>
        <v>0</v>
      </c>
      <c r="M583" s="203"/>
      <c r="N583" s="203">
        <f>IFERROR(__xludf.DUMMYFUNCTION("IMPORTRANGE(""https://docs.google.com/spreadsheets/d/1IYY_tgx_IHuhSq3AJ5eI5OnqOPBNLWSHKh2a30DoXe8/edit?usp=sharing"",""พัทลุง!M478"")"),0.0)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IFERROR(__xludf.DUMMYFUNCTION("IMPORTRANGE(""https://docs.google.com/spreadsheets/d/1IYY_tgx_IHuhSq3AJ5eI5OnqOPBNLWSHKh2a30DoXe8/edit?usp=sharing"",""พัทลุง!L479"")"),143795.0)</f>
        <v>143795</v>
      </c>
      <c r="M584" s="203"/>
      <c r="N584" s="203">
        <f>IFERROR(__xludf.DUMMYFUNCTION("IMPORTRANGE(""https://docs.google.com/spreadsheets/d/1IYY_tgx_IHuhSq3AJ5eI5OnqOPBNLWSHKh2a30DoXe8/edit?usp=sharing"",""พัทลุง!M479"")"),0.0)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IFERROR(__xludf.DUMMYFUNCTION("IMPORTRANGE(""https://docs.google.com/spreadsheets/d/1IYY_tgx_IHuhSq3AJ5eI5OnqOPBNLWSHKh2a30DoXe8/edit?usp=sharing"",""พัทลุง!M480"")"),0.0)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IFERROR(__xludf.DUMMYFUNCTION("IMPORTRANGE(""https://docs.google.com/spreadsheets/d/1IYY_tgx_IHuhSq3AJ5eI5OnqOPBNLWSHKh2a30DoXe8/edit?usp=sharing"",""พัทลุง!M481"")"),0.0)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IFERROR(__xludf.DUMMYFUNCTION("IMPORTRANGE(""https://docs.google.com/spreadsheets/d/1IYY_tgx_IHuhSq3AJ5eI5OnqOPBNLWSHKh2a30DoXe8/edit?usp=sharing"",""พัทลุง!M482"")"),0.0)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IFERROR(__xludf.DUMMYFUNCTION("IMPORTRANGE(""https://docs.google.com/spreadsheets/d/1IYY_tgx_IHuhSq3AJ5eI5OnqOPBNLWSHKh2a30DoXe8/edit?usp=sharing"",""พัทลุง!M483"")"),0.0)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IFERROR(__xludf.DUMMYFUNCTION("IMPORTRANGE(""https://docs.google.com/spreadsheets/d/1IYY_tgx_IHuhSq3AJ5eI5OnqOPBNLWSHKh2a30DoXe8/edit?usp=sharing"",""พัทลุง!I484"")"),45.0)</f>
        <v>45</v>
      </c>
      <c r="J589" s="222">
        <f>IFERROR(__xludf.DUMMYFUNCTION("IMPORTRANGE(""https://docs.google.com/spreadsheets/d/1IYY_tgx_IHuhSq3AJ5eI5OnqOPBNLWSHKh2a30DoXe8/edit?usp=sharing"",""พัทลุง!J484"")"),0.0)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IFERROR(__xludf.DUMMYFUNCTION("IMPORTRANGE(""https://docs.google.com/spreadsheets/d/1IYY_tgx_IHuhSq3AJ5eI5OnqOPBNLWSHKh2a30DoXe8/edit?usp=sharing"",""พัทลุง!I485"")"),0.0)</f>
        <v>0</v>
      </c>
      <c r="J590" s="222">
        <f>IFERROR(__xludf.DUMMYFUNCTION("IMPORTRANGE(""https://docs.google.com/spreadsheets/d/1IYY_tgx_IHuhSq3AJ5eI5OnqOPBNLWSHKh2a30DoXe8/edit?usp=sharing"",""พัทลุง!J485"")"),0.0)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IFERROR(__xludf.DUMMYFUNCTION("IMPORTRANGE(""https://docs.google.com/spreadsheets/d/1IYY_tgx_IHuhSq3AJ5eI5OnqOPBNLWSHKh2a30DoXe8/edit?usp=sharing"",""พัทลุง!I486"")"),45.0)</f>
        <v>45</v>
      </c>
      <c r="J591" s="222">
        <f>IFERROR(__xludf.DUMMYFUNCTION("IMPORTRANGE(""https://docs.google.com/spreadsheets/d/1IYY_tgx_IHuhSq3AJ5eI5OnqOPBNLWSHKh2a30DoXe8/edit?usp=sharing"",""พัทลุง!J486"")"),0.0)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IFERROR(__xludf.DUMMYFUNCTION("IMPORTRANGE(""https://docs.google.com/spreadsheets/d/1IYY_tgx_IHuhSq3AJ5eI5OnqOPBNLWSHKh2a30DoXe8/edit?usp=sharing"",""พัทลุง!I487"")"),0.0)</f>
        <v>0</v>
      </c>
      <c r="J592" s="222">
        <f>IFERROR(__xludf.DUMMYFUNCTION("IMPORTRANGE(""https://docs.google.com/spreadsheets/d/1IYY_tgx_IHuhSq3AJ5eI5OnqOPBNLWSHKh2a30DoXe8/edit?usp=sharing"",""พัทลุง!J487"")"),0.0)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IFERROR(__xludf.DUMMYFUNCTION("IMPORTRANGE(""https://docs.google.com/spreadsheets/d/1IYY_tgx_IHuhSq3AJ5eI5OnqOPBNLWSHKh2a30DoXe8/edit?usp=sharing"",""พัทลุง!I488"")"),45.0)</f>
        <v>45</v>
      </c>
      <c r="J593" s="222">
        <f>IFERROR(__xludf.DUMMYFUNCTION("IMPORTRANGE(""https://docs.google.com/spreadsheets/d/1IYY_tgx_IHuhSq3AJ5eI5OnqOPBNLWSHKh2a30DoXe8/edit?usp=sharing"",""พัทลุง!J488"")"),0.0)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IFERROR(__xludf.DUMMYFUNCTION("IMPORTRANGE(""https://docs.google.com/spreadsheets/d/1IYY_tgx_IHuhSq3AJ5eI5OnqOPBNLWSHKh2a30DoXe8/edit?usp=sharing"",""พัทลุง!I489"")"),0.0)</f>
        <v>0</v>
      </c>
      <c r="J594" s="222">
        <f>IFERROR(__xludf.DUMMYFUNCTION("IMPORTRANGE(""https://docs.google.com/spreadsheets/d/1IYY_tgx_IHuhSq3AJ5eI5OnqOPBNLWSHKh2a30DoXe8/edit?usp=sharing"",""พัทลุง!J489"")"),0.0)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IFERROR(__xludf.DUMMYFUNCTION("IMPORTRANGE(""https://docs.google.com/spreadsheets/d/1IYY_tgx_IHuhSq3AJ5eI5OnqOPBNLWSHKh2a30DoXe8/edit?usp=sharing"",""พัทลุง!I490"")"),45.0)</f>
        <v>45</v>
      </c>
      <c r="J595" s="222">
        <f>IFERROR(__xludf.DUMMYFUNCTION("IMPORTRANGE(""https://docs.google.com/spreadsheets/d/1IYY_tgx_IHuhSq3AJ5eI5OnqOPBNLWSHKh2a30DoXe8/edit?usp=sharing"",""พัทลุง!J490"")"),0.0)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IFERROR(__xludf.DUMMYFUNCTION("IMPORTRANGE(""https://docs.google.com/spreadsheets/d/1IYY_tgx_IHuhSq3AJ5eI5OnqOPBNLWSHKh2a30DoXe8/edit?usp=sharing"",""พัทลุง!I491"")"),0.0)</f>
        <v>0</v>
      </c>
      <c r="J596" s="275">
        <f>IFERROR(__xludf.DUMMYFUNCTION("IMPORTRANGE(""https://docs.google.com/spreadsheets/d/1IYY_tgx_IHuhSq3AJ5eI5OnqOPBNLWSHKh2a30DoXe8/edit?usp=sharing"",""พัทลุง!J491"")"),0.0)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IFERROR(__xludf.DUMMYFUNCTION("IMPORTRANGE(""https://docs.google.com/spreadsheets/d/1IYY_tgx_IHuhSq3AJ5eI5OnqOPBNLWSHKh2a30DoXe8/edit?usp=sharing"",""พัทลุง!I492"")"),50.0)</f>
        <v>50</v>
      </c>
      <c r="J597" s="520">
        <f>IFERROR(__xludf.DUMMYFUNCTION("IMPORTRANGE(""https://docs.google.com/spreadsheets/d/1IYY_tgx_IHuhSq3AJ5eI5OnqOPBNLWSHKh2a30DoXe8/edit?usp=sharing"",""พัทลุง!J492"")"),0.0)</f>
        <v>0</v>
      </c>
      <c r="K597" s="444">
        <f>IF(I597&gt;0,J597*100/I597,0)</f>
        <v>0</v>
      </c>
      <c r="L597" s="445">
        <f>IFERROR(__xludf.DUMMYFUNCTION("IMPORTRANGE(""https://docs.google.com/spreadsheets/d/1IYY_tgx_IHuhSq3AJ5eI5OnqOPBNLWSHKh2a30DoXe8/edit?usp=sharing"",""พัทลุง!L492"")"),4550.0)</f>
        <v>4550</v>
      </c>
      <c r="M597" s="445"/>
      <c r="N597" s="445">
        <f>IFERROR(__xludf.DUMMYFUNCTION("IMPORTRANGE(""https://docs.google.com/spreadsheets/d/1IYY_tgx_IHuhSq3AJ5eI5OnqOPBNLWSHKh2a30DoXe8/edit?usp=sharing"",""พัทลุง!M492"")"),1400.0)</f>
        <v>1400</v>
      </c>
      <c r="O597" s="445">
        <f t="shared" ref="O597:O601" si="127">+IF(L597&gt;0,N597*100/L597,0)</f>
        <v>30.76923077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IFERROR(__xludf.DUMMYFUNCTION("IMPORTRANGE(""https://docs.google.com/spreadsheets/d/1IYY_tgx_IHuhSq3AJ5eI5OnqOPBNLWSHKh2a30DoXe8/edit?usp=sharing"",""พัทลุง!L493"")"),0.0)</f>
        <v>0</v>
      </c>
      <c r="M598" s="197"/>
      <c r="N598" s="203">
        <f>IFERROR(__xludf.DUMMYFUNCTION("IMPORTRANGE(""https://docs.google.com/spreadsheets/d/1IYY_tgx_IHuhSq3AJ5eI5OnqOPBNLWSHKh2a30DoXe8/edit?usp=sharing"",""พัทลุง!M493"")"),0.0)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IFERROR(__xludf.DUMMYFUNCTION("IMPORTRANGE(""https://docs.google.com/spreadsheets/d/1IYY_tgx_IHuhSq3AJ5eI5OnqOPBNLWSHKh2a30DoXe8/edit?usp=sharing"",""พัทลุง!L494"")"),4550.0)</f>
        <v>4550</v>
      </c>
      <c r="M599" s="198"/>
      <c r="N599" s="203">
        <f>IFERROR(__xludf.DUMMYFUNCTION("IMPORTRANGE(""https://docs.google.com/spreadsheets/d/1IYY_tgx_IHuhSq3AJ5eI5OnqOPBNLWSHKh2a30DoXe8/edit?usp=sharing"",""พัทลุง!M494"")"),1400.0)</f>
        <v>1400</v>
      </c>
      <c r="O599" s="203">
        <f t="shared" si="127"/>
        <v>30.76923077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IFERROR(__xludf.DUMMYFUNCTION("IMPORTRANGE(""https://docs.google.com/spreadsheets/d/1IYY_tgx_IHuhSq3AJ5eI5OnqOPBNLWSHKh2a30DoXe8/edit?usp=sharing"",""พัทลุง!L495"")"),0.0)</f>
        <v>0</v>
      </c>
      <c r="M600" s="203"/>
      <c r="N600" s="203">
        <f>IFERROR(__xludf.DUMMYFUNCTION("IMPORTRANGE(""https://docs.google.com/spreadsheets/d/1IYY_tgx_IHuhSq3AJ5eI5OnqOPBNLWSHKh2a30DoXe8/edit?usp=sharing"",""พัทลุง!M495"")"),0.0)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IFERROR(__xludf.DUMMYFUNCTION("IMPORTRANGE(""https://docs.google.com/spreadsheets/d/1IYY_tgx_IHuhSq3AJ5eI5OnqOPBNLWSHKh2a30DoXe8/edit?usp=sharing"",""พัทลุง!L496"")"),4550.0)</f>
        <v>4550</v>
      </c>
      <c r="M601" s="203"/>
      <c r="N601" s="203">
        <f>IFERROR(__xludf.DUMMYFUNCTION("IMPORTRANGE(""https://docs.google.com/spreadsheets/d/1IYY_tgx_IHuhSq3AJ5eI5OnqOPBNLWSHKh2a30DoXe8/edit?usp=sharing"",""พัทลุง!M496"")"),1400.0)</f>
        <v>1400</v>
      </c>
      <c r="O601" s="203">
        <f t="shared" si="127"/>
        <v>30.76923077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IFERROR(__xludf.DUMMYFUNCTION("IMPORTRANGE(""https://docs.google.com/spreadsheets/d/1IYY_tgx_IHuhSq3AJ5eI5OnqOPBNLWSHKh2a30DoXe8/edit?usp=sharing"",""พัทลุง!M497"")"),0.0)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IFERROR(__xludf.DUMMYFUNCTION("IMPORTRANGE(""https://docs.google.com/spreadsheets/d/1IYY_tgx_IHuhSq3AJ5eI5OnqOPBNLWSHKh2a30DoXe8/edit?usp=sharing"",""พัทลุง!M498"")"),0.0)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IFERROR(__xludf.DUMMYFUNCTION("IMPORTRANGE(""https://docs.google.com/spreadsheets/d/1IYY_tgx_IHuhSq3AJ5eI5OnqOPBNLWSHKh2a30DoXe8/edit?usp=sharing"",""พัทลุง!M499"")"),0.0)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IFERROR(__xludf.DUMMYFUNCTION("IMPORTRANGE(""https://docs.google.com/spreadsheets/d/1IYY_tgx_IHuhSq3AJ5eI5OnqOPBNLWSHKh2a30DoXe8/edit?usp=sharing"",""พัทลุง!M500"")"),1400.0)</f>
        <v>1400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IFERROR(__xludf.DUMMYFUNCTION("IMPORTRANGE(""https://docs.google.com/spreadsheets/d/1IYY_tgx_IHuhSq3AJ5eI5OnqOPBNLWSHKh2a30DoXe8/edit?usp=sharing"",""พัทลุง!J502"")"),0.0)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IFERROR(__xludf.DUMMYFUNCTION("IMPORTRANGE(""https://docs.google.com/spreadsheets/d/1IYY_tgx_IHuhSq3AJ5eI5OnqOPBNLWSHKh2a30DoXe8/edit?usp=sharing"",""พัทลุง!J503"")"),1.0)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IFERROR(__xludf.DUMMYFUNCTION("IMPORTRANGE(""https://docs.google.com/spreadsheets/d/1IYY_tgx_IHuhSq3AJ5eI5OnqOPBNLWSHKh2a30DoXe8/edit?usp=sharing"",""พัทลุง!J166"")"),0.0)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IFERROR(__xludf.DUMMYFUNCTION("IMPORTRANGE(""https://docs.google.com/spreadsheets/d/1IYY_tgx_IHuhSq3AJ5eI5OnqOPBNLWSHKh2a30DoXe8/edit?usp=sharing"",""พัทลุง!J166"")"),0.0)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IFERROR(__xludf.DUMMYFUNCTION("IMPORTRANGE(""https://docs.google.com/spreadsheets/d/1IYY_tgx_IHuhSq3AJ5eI5OnqOPBNLWSHKh2a30DoXe8/edit?usp=sharing"",""พัทลุง!I506"")"),50.0)</f>
        <v>50</v>
      </c>
      <c r="J611" s="195">
        <f>IFERROR(__xludf.DUMMYFUNCTION("IMPORTRANGE(""https://docs.google.com/spreadsheets/d/1IYY_tgx_IHuhSq3AJ5eI5OnqOPBNLWSHKh2a30DoXe8/edit?usp=sharing"",""พัทลุง!J506"")"),0.0)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IFERROR(__xludf.DUMMYFUNCTION("IMPORTRANGE(""https://docs.google.com/spreadsheets/d/1IYY_tgx_IHuhSq3AJ5eI5OnqOPBNLWSHKh2a30DoXe8/edit?usp=sharing"",""พัทลุง!I507"")"),0.0)</f>
        <v>0</v>
      </c>
      <c r="J612" s="232">
        <f>IFERROR(__xludf.DUMMYFUNCTION("IMPORTRANGE(""https://docs.google.com/spreadsheets/d/1IYY_tgx_IHuhSq3AJ5eI5OnqOPBNLWSHKh2a30DoXe8/edit?usp=sharing"",""พัทลุง!J507"")"),30.0)</f>
        <v>30</v>
      </c>
      <c r="K612" s="196">
        <f t="shared" si="128"/>
        <v>60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IFERROR(__xludf.DUMMYFUNCTION("IMPORTRANGE(""https://docs.google.com/spreadsheets/d/1IYY_tgx_IHuhSq3AJ5eI5OnqOPBNLWSHKh2a30DoXe8/edit?usp=sharing"",""พัทลุง!I508"")"),0.0)</f>
        <v>0</v>
      </c>
      <c r="J613" s="232">
        <f>IFERROR(__xludf.DUMMYFUNCTION("IMPORTRANGE(""https://docs.google.com/spreadsheets/d/1IYY_tgx_IHuhSq3AJ5eI5OnqOPBNLWSHKh2a30DoXe8/edit?usp=sharing"",""พัทลุง!J508"")"),30.0)</f>
        <v>30</v>
      </c>
      <c r="K613" s="196">
        <f t="shared" si="128"/>
        <v>60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IFERROR(__xludf.DUMMYFUNCTION("IMPORTRANGE(""https://docs.google.com/spreadsheets/d/1IYY_tgx_IHuhSq3AJ5eI5OnqOPBNLWSHKh2a30DoXe8/edit?usp=sharing"",""พัทลุง!I509"")"),0.0)</f>
        <v>0</v>
      </c>
      <c r="J614" s="232">
        <f>IFERROR(__xludf.DUMMYFUNCTION("IMPORTRANGE(""https://docs.google.com/spreadsheets/d/1IYY_tgx_IHuhSq3AJ5eI5OnqOPBNLWSHKh2a30DoXe8/edit?usp=sharing"",""พัทลุง!J509"")"),30.0)</f>
        <v>30</v>
      </c>
      <c r="K614" s="196">
        <f t="shared" si="128"/>
        <v>60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IFERROR(__xludf.DUMMYFUNCTION("IMPORTRANGE(""https://docs.google.com/spreadsheets/d/1IYY_tgx_IHuhSq3AJ5eI5OnqOPBNLWSHKh2a30DoXe8/edit?usp=sharing"",""พัทลุง!I510"")"),0.0)</f>
        <v>0</v>
      </c>
      <c r="J615" s="232">
        <f>IFERROR(__xludf.DUMMYFUNCTION("IMPORTRANGE(""https://docs.google.com/spreadsheets/d/1IYY_tgx_IHuhSq3AJ5eI5OnqOPBNLWSHKh2a30DoXe8/edit?usp=sharing"",""พัทลุง!J510"")"),0.0)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IFERROR(__xludf.DUMMYFUNCTION("IMPORTRANGE(""https://docs.google.com/spreadsheets/d/1IYY_tgx_IHuhSq3AJ5eI5OnqOPBNLWSHKh2a30DoXe8/edit?usp=sharing"",""พัทลุง!I511"")"),0.0)</f>
        <v>0</v>
      </c>
      <c r="J616" s="232">
        <f>IFERROR(__xludf.DUMMYFUNCTION("IMPORTRANGE(""https://docs.google.com/spreadsheets/d/1IYY_tgx_IHuhSq3AJ5eI5OnqOPBNLWSHKh2a30DoXe8/edit?usp=sharing"",""พัทลุง!J511"")"),0.0)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IFERROR(__xludf.DUMMYFUNCTION("IMPORTRANGE(""https://docs.google.com/spreadsheets/d/1IYY_tgx_IHuhSq3AJ5eI5OnqOPBNLWSHKh2a30DoXe8/edit?usp=sharing"",""พัทลุง!I512"")"),0.0)</f>
        <v>0</v>
      </c>
      <c r="J617" s="222">
        <f>IFERROR(__xludf.DUMMYFUNCTION("IMPORTRANGE(""https://docs.google.com/spreadsheets/d/1IYY_tgx_IHuhSq3AJ5eI5OnqOPBNLWSHKh2a30DoXe8/edit?usp=sharing"",""พัทลุง!J512"")"),0.0)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IFERROR(__xludf.DUMMYFUNCTION("IMPORTRANGE(""https://docs.google.com/spreadsheets/d/1IYY_tgx_IHuhSq3AJ5eI5OnqOPBNLWSHKh2a30DoXe8/edit?usp=sharing"",""พัทลุง!I513"")"),0.0)</f>
        <v>0</v>
      </c>
      <c r="J618" s="223">
        <f>IFERROR(__xludf.DUMMYFUNCTION("IMPORTRANGE(""https://docs.google.com/spreadsheets/d/1IYY_tgx_IHuhSq3AJ5eI5OnqOPBNLWSHKh2a30DoXe8/edit?usp=sharing"",""พัทลุง!J513"")"),0.0)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IFERROR(__xludf.DUMMYFUNCTION("IMPORTRANGE(""https://docs.google.com/spreadsheets/d/1IYY_tgx_IHuhSq3AJ5eI5OnqOPBNLWSHKh2a30DoXe8/edit?usp=sharing"",""พัทลุง!I514"")"),0.0)</f>
        <v>0</v>
      </c>
      <c r="J619" s="223">
        <f>IFERROR(__xludf.DUMMYFUNCTION("IMPORTRANGE(""https://docs.google.com/spreadsheets/d/1IYY_tgx_IHuhSq3AJ5eI5OnqOPBNLWSHKh2a30DoXe8/edit?usp=sharing"",""พัทลุง!J514"")"),0.0)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IFERROR(__xludf.DUMMYFUNCTION("IMPORTRANGE(""https://docs.google.com/spreadsheets/d/1IYY_tgx_IHuhSq3AJ5eI5OnqOPBNLWSHKh2a30DoXe8/edit?usp=sharing"",""พัทลุง!I515"")"),0.0)</f>
        <v>0</v>
      </c>
      <c r="J620" s="237">
        <f>IFERROR(__xludf.DUMMYFUNCTION("IMPORTRANGE(""https://docs.google.com/spreadsheets/d/1IYY_tgx_IHuhSq3AJ5eI5OnqOPBNLWSHKh2a30DoXe8/edit?usp=sharing"",""พัทลุง!J515"")"),0.0)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IFERROR(__xludf.DUMMYFUNCTION("IMPORTRANGE(""https://docs.google.com/spreadsheets/d/1IYY_tgx_IHuhSq3AJ5eI5OnqOPBNLWSHKh2a30DoXe8/edit?usp=sharing"",""พัทลุง!I516"")"),0.0)</f>
        <v>0</v>
      </c>
      <c r="J621" s="237">
        <f>IFERROR(__xludf.DUMMYFUNCTION("IMPORTRANGE(""https://docs.google.com/spreadsheets/d/1IYY_tgx_IHuhSq3AJ5eI5OnqOPBNLWSHKh2a30DoXe8/edit?usp=sharing"",""พัทลุง!J516"")"),0.0)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IFERROR(__xludf.DUMMYFUNCTION("IMPORTRANGE(""https://docs.google.com/spreadsheets/d/1IYY_tgx_IHuhSq3AJ5eI5OnqOPBNLWSHKh2a30DoXe8/edit?usp=sharing"",""พัทลุง!I517"")"),0.0)</f>
        <v>0</v>
      </c>
      <c r="J622" s="223">
        <f>IFERROR(__xludf.DUMMYFUNCTION("IMPORTRANGE(""https://docs.google.com/spreadsheets/d/1IYY_tgx_IHuhSq3AJ5eI5OnqOPBNLWSHKh2a30DoXe8/edit?usp=sharing"",""พัทลุง!J517"")"),0.0)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IFERROR(__xludf.DUMMYFUNCTION("IMPORTRANGE(""https://docs.google.com/spreadsheets/d/1IYY_tgx_IHuhSq3AJ5eI5OnqOPBNLWSHKh2a30DoXe8/edit?usp=sharing"",""พัทลุง!I518"")"),0.0)</f>
        <v>0</v>
      </c>
      <c r="J623" s="223">
        <f>IFERROR(__xludf.DUMMYFUNCTION("IMPORTRANGE(""https://docs.google.com/spreadsheets/d/1IYY_tgx_IHuhSq3AJ5eI5OnqOPBNLWSHKh2a30DoXe8/edit?usp=sharing"",""พัทลุง!J518"")"),0.0)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IFERROR(__xludf.DUMMYFUNCTION("IMPORTRANGE(""https://docs.google.com/spreadsheets/d/1IYY_tgx_IHuhSq3AJ5eI5OnqOPBNLWSHKh2a30DoXe8/edit?usp=sharing"",""พัทลุง!I519"")"),0.0)</f>
        <v>0</v>
      </c>
      <c r="J624" s="222">
        <f>IFERROR(__xludf.DUMMYFUNCTION("IMPORTRANGE(""https://docs.google.com/spreadsheets/d/1IYY_tgx_IHuhSq3AJ5eI5OnqOPBNLWSHKh2a30DoXe8/edit?usp=sharing"",""พัทลุง!J519"")"),0.0)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IFERROR(__xludf.DUMMYFUNCTION("IMPORTRANGE(""https://docs.google.com/spreadsheets/d/1IYY_tgx_IHuhSq3AJ5eI5OnqOPBNLWSHKh2a30DoXe8/edit?usp=sharing"",""พัทลุง!I520"")"),0.0)</f>
        <v>0</v>
      </c>
      <c r="J625" s="223">
        <f>IFERROR(__xludf.DUMMYFUNCTION("IMPORTRANGE(""https://docs.google.com/spreadsheets/d/1IYY_tgx_IHuhSq3AJ5eI5OnqOPBNLWSHKh2a30DoXe8/edit?usp=sharing"",""พัทลุง!J520"")"),0.0)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IFERROR(__xludf.DUMMYFUNCTION("IMPORTRANGE(""https://docs.google.com/spreadsheets/d/1IYY_tgx_IHuhSq3AJ5eI5OnqOPBNLWSHKh2a30DoXe8/edit?usp=sharing"",""พัทลุง!I521"")"),0.0)</f>
        <v>0</v>
      </c>
      <c r="J626" s="223">
        <f>IFERROR(__xludf.DUMMYFUNCTION("IMPORTRANGE(""https://docs.google.com/spreadsheets/d/1IYY_tgx_IHuhSq3AJ5eI5OnqOPBNLWSHKh2a30DoXe8/edit?usp=sharing"",""พัทลุง!J521"")"),0.0)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IFERROR(__xludf.DUMMYFUNCTION("IMPORTRANGE(""https://docs.google.com/spreadsheets/d/1IYY_tgx_IHuhSq3AJ5eI5OnqOPBNLWSHKh2a30DoXe8/edit?usp=sharing"",""พัทลุง!I523"")"),1565319.63)</f>
        <v>1565319.63</v>
      </c>
      <c r="J628" s="374">
        <f>IFERROR(__xludf.DUMMYFUNCTION("IMPORTRANGE(""https://docs.google.com/spreadsheets/d/1IYY_tgx_IHuhSq3AJ5eI5OnqOPBNLWSHKh2a30DoXe8/edit?usp=sharing"",""พัทลุง!J523"")"),9000.0)</f>
        <v>9000</v>
      </c>
      <c r="K628" s="375">
        <f t="shared" ref="K628:K635" si="130">IF(I628&gt;0,J628*100/I628,0)</f>
        <v>0.5749624439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IFERROR(__xludf.DUMMYFUNCTION("IMPORTRANGE(""https://docs.google.com/spreadsheets/d/1IYY_tgx_IHuhSq3AJ5eI5OnqOPBNLWSHKh2a30DoXe8/edit?usp=sharing"",""พัทลุง!I524"")"),158.0)</f>
        <v>158</v>
      </c>
      <c r="J629" s="374">
        <f>IFERROR(__xludf.DUMMYFUNCTION("IMPORTRANGE(""https://docs.google.com/spreadsheets/d/1IYY_tgx_IHuhSq3AJ5eI5OnqOPBNLWSHKh2a30DoXe8/edit?usp=sharing"",""พัทลุง!J524"")"),1.0)</f>
        <v>1</v>
      </c>
      <c r="K629" s="375">
        <f t="shared" si="130"/>
        <v>0.6329113924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IFERROR(__xludf.DUMMYFUNCTION("IMPORTRANGE(""https://docs.google.com/spreadsheets/d/1IYY_tgx_IHuhSq3AJ5eI5OnqOPBNLWSHKh2a30DoXe8/edit?usp=sharing"",""พัทลุง!I525"")"),1351205.29)</f>
        <v>1351205.29</v>
      </c>
      <c r="J630" s="374">
        <f>IFERROR(__xludf.DUMMYFUNCTION("IMPORTRANGE(""https://docs.google.com/spreadsheets/d/1IYY_tgx_IHuhSq3AJ5eI5OnqOPBNLWSHKh2a30DoXe8/edit?usp=sharing"",""พัทลุง!J525"")"),42906.86)</f>
        <v>42906.86</v>
      </c>
      <c r="K630" s="375">
        <f t="shared" si="130"/>
        <v>3.17545086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IFERROR(__xludf.DUMMYFUNCTION("IMPORTRANGE(""https://docs.google.com/spreadsheets/d/1IYY_tgx_IHuhSq3AJ5eI5OnqOPBNLWSHKh2a30DoXe8/edit?usp=sharing"",""พัทลุง!I526"")"),57.0)</f>
        <v>57</v>
      </c>
      <c r="J631" s="374">
        <f>IFERROR(__xludf.DUMMYFUNCTION("IMPORTRANGE(""https://docs.google.com/spreadsheets/d/1IYY_tgx_IHuhSq3AJ5eI5OnqOPBNLWSHKh2a30DoXe8/edit?usp=sharing"",""พัทลุง!J526"")"),32.0)</f>
        <v>32</v>
      </c>
      <c r="K631" s="375">
        <f t="shared" si="130"/>
        <v>56.14035088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IFERROR(__xludf.DUMMYFUNCTION("IMPORTRANGE(""https://docs.google.com/spreadsheets/d/1IYY_tgx_IHuhSq3AJ5eI5OnqOPBNLWSHKh2a30DoXe8/edit?usp=sharing"",""พัทลุง!I527"")"),0.0)</f>
        <v>0</v>
      </c>
      <c r="J632" s="374">
        <f>IFERROR(__xludf.DUMMYFUNCTION("IMPORTRANGE(""https://docs.google.com/spreadsheets/d/1IYY_tgx_IHuhSq3AJ5eI5OnqOPBNLWSHKh2a30DoXe8/edit?usp=sharing"",""พัทลุง!J527"")"),0.0)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IFERROR(__xludf.DUMMYFUNCTION("IMPORTRANGE(""https://docs.google.com/spreadsheets/d/1IYY_tgx_IHuhSq3AJ5eI5OnqOPBNLWSHKh2a30DoXe8/edit?usp=sharing"",""พัทลุง!I528"")"),0.0)</f>
        <v>0</v>
      </c>
      <c r="J633" s="374">
        <f>IFERROR(__xludf.DUMMYFUNCTION("IMPORTRANGE(""https://docs.google.com/spreadsheets/d/1IYY_tgx_IHuhSq3AJ5eI5OnqOPBNLWSHKh2a30DoXe8/edit?usp=sharing"",""พัทลุง!J528"")"),0.0)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IFERROR(__xludf.DUMMYFUNCTION("IMPORTRANGE(""https://docs.google.com/spreadsheets/d/1IYY_tgx_IHuhSq3AJ5eI5OnqOPBNLWSHKh2a30DoXe8/edit?usp=sharing"",""พัทลุง!I529"")"),1220000.0)</f>
        <v>1220000</v>
      </c>
      <c r="J634" s="374">
        <f>IFERROR(__xludf.DUMMYFUNCTION("IMPORTRANGE(""https://docs.google.com/spreadsheets/d/1IYY_tgx_IHuhSq3AJ5eI5OnqOPBNLWSHKh2a30DoXe8/edit?usp=sharing"",""พัทลุง!J529"")"),0.0)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IFERROR(__xludf.DUMMYFUNCTION("IMPORTRANGE(""https://docs.google.com/spreadsheets/d/1IYY_tgx_IHuhSq3AJ5eI5OnqOPBNLWSHKh2a30DoXe8/edit?usp=sharing"",""พัทลุง!I530"")"),41.0)</f>
        <v>41</v>
      </c>
      <c r="J635" s="544">
        <f>IFERROR(__xludf.DUMMYFUNCTION("IMPORTRANGE(""https://docs.google.com/spreadsheets/d/1IYY_tgx_IHuhSq3AJ5eI5OnqOPBNLWSHKh2a30DoXe8/edit?usp=sharing"",""พัทลุง!J530"")"),0.0)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